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80" windowHeight="8640" tabRatio="634"/>
  </bookViews>
  <sheets>
    <sheet name="Att GG True Up" sheetId="1" r:id="rId1"/>
    <sheet name="Proof of True-Up" sheetId="8" r:id="rId2"/>
    <sheet name="Actual Load" sheetId="3" r:id="rId3"/>
    <sheet name="Zonal Load" sheetId="2" r:id="rId4"/>
    <sheet name="Interest Under Collect" sheetId="5" r:id="rId5"/>
    <sheet name="Interest Over Collect " sheetId="6" r:id="rId6"/>
    <sheet name="Attachment GG Actuals" sheetId="9" r:id="rId7"/>
    <sheet name="Attachment GG Supporting Data" sheetId="12" r:id="rId8"/>
    <sheet name="Att MM True Up" sheetId="11" r:id="rId9"/>
    <sheet name="Attachment MM Actuals" sheetId="10" r:id="rId10"/>
    <sheet name="Attachment MM Supporting Data" sheetId="13" r:id="rId11"/>
  </sheets>
  <definedNames>
    <definedName name="_xlnm.Print_Area" localSheetId="2">'Actual Load'!$A$1:$E$138</definedName>
    <definedName name="_xlnm.Print_Area" localSheetId="0">'Att GG True Up'!$B$1:$N$710</definedName>
    <definedName name="_xlnm.Print_Area" localSheetId="5">'Interest Over Collect '!$A$1:$J$36</definedName>
    <definedName name="_xlnm.Print_Area" localSheetId="4">'Interest Under Collect'!$A$1:$J$33</definedName>
    <definedName name="_xlnm.Print_Area" localSheetId="3">'Zonal Load'!$A$1:$P$116</definedName>
  </definedNames>
  <calcPr calcId="145621"/>
</workbook>
</file>

<file path=xl/calcChain.xml><?xml version="1.0" encoding="utf-8"?>
<calcChain xmlns="http://schemas.openxmlformats.org/spreadsheetml/2006/main">
  <c r="C61" i="13" l="1"/>
  <c r="C55" i="13"/>
  <c r="C54" i="13"/>
  <c r="C53" i="13"/>
  <c r="C52" i="13"/>
  <c r="C51" i="13"/>
  <c r="C50" i="13"/>
  <c r="C49" i="13"/>
  <c r="C48" i="13"/>
  <c r="C47" i="13"/>
  <c r="C46" i="13"/>
  <c r="C45" i="13"/>
  <c r="C44" i="13"/>
  <c r="C43" i="13"/>
  <c r="C39" i="13"/>
  <c r="C23" i="13"/>
  <c r="B22" i="13"/>
  <c r="B38" i="13" s="1"/>
  <c r="B55" i="13" s="1"/>
  <c r="B11" i="13"/>
  <c r="B44" i="13" s="1"/>
  <c r="B10" i="13"/>
  <c r="B43" i="13" s="1"/>
  <c r="O61" i="12"/>
  <c r="N61" i="12"/>
  <c r="M61" i="12"/>
  <c r="L61" i="12"/>
  <c r="K61" i="12"/>
  <c r="J61" i="12"/>
  <c r="I61" i="12"/>
  <c r="H61" i="12"/>
  <c r="G61" i="12"/>
  <c r="F61" i="12"/>
  <c r="E61" i="12"/>
  <c r="D61" i="12"/>
  <c r="C61" i="12"/>
  <c r="O55" i="12"/>
  <c r="N55" i="12"/>
  <c r="M55" i="12"/>
  <c r="L55" i="12"/>
  <c r="K55" i="12"/>
  <c r="J55" i="12"/>
  <c r="I55" i="12"/>
  <c r="H55" i="12"/>
  <c r="G55" i="12"/>
  <c r="F55" i="12"/>
  <c r="E55" i="12"/>
  <c r="D55" i="12"/>
  <c r="C55" i="12"/>
  <c r="O54" i="12"/>
  <c r="N54" i="12"/>
  <c r="M54" i="12"/>
  <c r="L54" i="12"/>
  <c r="K54" i="12"/>
  <c r="J54" i="12"/>
  <c r="I54" i="12"/>
  <c r="H54" i="12"/>
  <c r="G54" i="12"/>
  <c r="F54" i="12"/>
  <c r="E54" i="12"/>
  <c r="D54" i="12"/>
  <c r="C54" i="12"/>
  <c r="O53" i="12"/>
  <c r="N53" i="12"/>
  <c r="M53" i="12"/>
  <c r="L53" i="12"/>
  <c r="K53" i="12"/>
  <c r="J53" i="12"/>
  <c r="I53" i="12"/>
  <c r="H53" i="12"/>
  <c r="G53" i="12"/>
  <c r="F53" i="12"/>
  <c r="E53" i="12"/>
  <c r="D53" i="12"/>
  <c r="C53" i="12"/>
  <c r="O52" i="12"/>
  <c r="N52" i="12"/>
  <c r="M52" i="12"/>
  <c r="L52" i="12"/>
  <c r="K52" i="12"/>
  <c r="J52" i="12"/>
  <c r="I52" i="12"/>
  <c r="H52" i="12"/>
  <c r="G52" i="12"/>
  <c r="F52" i="12"/>
  <c r="E52" i="12"/>
  <c r="D52" i="12"/>
  <c r="C52" i="12"/>
  <c r="O51" i="12"/>
  <c r="N51" i="12"/>
  <c r="M51" i="12"/>
  <c r="L51" i="12"/>
  <c r="K51" i="12"/>
  <c r="J51" i="12"/>
  <c r="I51" i="12"/>
  <c r="H51" i="12"/>
  <c r="G51" i="12"/>
  <c r="F51" i="12"/>
  <c r="E51" i="12"/>
  <c r="D51" i="12"/>
  <c r="C51" i="12"/>
  <c r="O50" i="12"/>
  <c r="N50" i="12"/>
  <c r="M50" i="12"/>
  <c r="L50" i="12"/>
  <c r="K50" i="12"/>
  <c r="J50" i="12"/>
  <c r="I50" i="12"/>
  <c r="H50" i="12"/>
  <c r="G50" i="12"/>
  <c r="F50" i="12"/>
  <c r="E50" i="12"/>
  <c r="D50" i="12"/>
  <c r="C50" i="12"/>
  <c r="O49" i="12"/>
  <c r="N49" i="12"/>
  <c r="M49" i="12"/>
  <c r="L49" i="12"/>
  <c r="K49" i="12"/>
  <c r="J49" i="12"/>
  <c r="I49" i="12"/>
  <c r="H49" i="12"/>
  <c r="G49" i="12"/>
  <c r="F49" i="12"/>
  <c r="E49" i="12"/>
  <c r="D49" i="12"/>
  <c r="C49" i="12"/>
  <c r="O48" i="12"/>
  <c r="N48" i="12"/>
  <c r="M48" i="12"/>
  <c r="L48" i="12"/>
  <c r="K48" i="12"/>
  <c r="J48" i="12"/>
  <c r="I48" i="12"/>
  <c r="H48" i="12"/>
  <c r="G48" i="12"/>
  <c r="F48" i="12"/>
  <c r="E48" i="12"/>
  <c r="D48" i="12"/>
  <c r="C48" i="12"/>
  <c r="O47" i="12"/>
  <c r="N47" i="12"/>
  <c r="M47" i="12"/>
  <c r="L47" i="12"/>
  <c r="K47" i="12"/>
  <c r="J47" i="12"/>
  <c r="I47" i="12"/>
  <c r="H47" i="12"/>
  <c r="G47" i="12"/>
  <c r="F47" i="12"/>
  <c r="E47" i="12"/>
  <c r="D47" i="12"/>
  <c r="C47" i="12"/>
  <c r="O46" i="12"/>
  <c r="N46" i="12"/>
  <c r="M46" i="12"/>
  <c r="L46" i="12"/>
  <c r="K46" i="12"/>
  <c r="J46" i="12"/>
  <c r="I46" i="12"/>
  <c r="H46" i="12"/>
  <c r="G46" i="12"/>
  <c r="F46" i="12"/>
  <c r="E46" i="12"/>
  <c r="D46" i="12"/>
  <c r="C46" i="12"/>
  <c r="O45" i="12"/>
  <c r="N45" i="12"/>
  <c r="M45" i="12"/>
  <c r="L45" i="12"/>
  <c r="K45" i="12"/>
  <c r="J45" i="12"/>
  <c r="I45" i="12"/>
  <c r="H45" i="12"/>
  <c r="G45" i="12"/>
  <c r="F45" i="12"/>
  <c r="E45" i="12"/>
  <c r="D45" i="12"/>
  <c r="C45" i="12"/>
  <c r="O44" i="12"/>
  <c r="N44" i="12"/>
  <c r="M44" i="12"/>
  <c r="L44" i="12"/>
  <c r="K44" i="12"/>
  <c r="J44" i="12"/>
  <c r="I44" i="12"/>
  <c r="H44" i="12"/>
  <c r="G44" i="12"/>
  <c r="F44" i="12"/>
  <c r="E44" i="12"/>
  <c r="D44" i="12"/>
  <c r="C44" i="12"/>
  <c r="O43" i="12"/>
  <c r="N43" i="12"/>
  <c r="M43" i="12"/>
  <c r="L43" i="12"/>
  <c r="K43" i="12"/>
  <c r="J43" i="12"/>
  <c r="I43" i="12"/>
  <c r="H43" i="12"/>
  <c r="G43" i="12"/>
  <c r="F43" i="12"/>
  <c r="E43" i="12"/>
  <c r="D43" i="12"/>
  <c r="C43" i="12"/>
  <c r="O39" i="12"/>
  <c r="N39" i="12"/>
  <c r="M39" i="12"/>
  <c r="L39" i="12"/>
  <c r="K39" i="12"/>
  <c r="J39" i="12"/>
  <c r="I39" i="12"/>
  <c r="H39" i="12"/>
  <c r="G39" i="12"/>
  <c r="F39" i="12"/>
  <c r="E39" i="12"/>
  <c r="D39" i="12"/>
  <c r="C39" i="12"/>
  <c r="O23" i="12"/>
  <c r="N23" i="12"/>
  <c r="M23" i="12"/>
  <c r="L23" i="12"/>
  <c r="K23" i="12"/>
  <c r="J23" i="12"/>
  <c r="I23" i="12"/>
  <c r="H23" i="12"/>
  <c r="G23" i="12"/>
  <c r="F23" i="12"/>
  <c r="E23" i="12"/>
  <c r="D23" i="12"/>
  <c r="C23" i="12"/>
  <c r="B22" i="12"/>
  <c r="B38" i="12" s="1"/>
  <c r="B55" i="12" s="1"/>
  <c r="B11" i="12"/>
  <c r="B44" i="12" s="1"/>
  <c r="B10" i="12"/>
  <c r="B43" i="12" s="1"/>
  <c r="C56" i="13" l="1"/>
  <c r="C56" i="12"/>
  <c r="G56" i="12"/>
  <c r="K56" i="12"/>
  <c r="O56" i="12"/>
  <c r="D56" i="12"/>
  <c r="H56" i="12"/>
  <c r="L56" i="12"/>
  <c r="F56" i="12"/>
  <c r="J56" i="12"/>
  <c r="N56" i="12"/>
  <c r="E56" i="12"/>
  <c r="I56" i="12"/>
  <c r="M56" i="12"/>
  <c r="B27" i="13"/>
  <c r="B26" i="13"/>
  <c r="B27" i="12"/>
  <c r="B26" i="12"/>
  <c r="J35" i="11"/>
  <c r="F30" i="11"/>
  <c r="G23" i="11"/>
  <c r="I23" i="11" s="1"/>
  <c r="H30" i="11"/>
  <c r="F27" i="6"/>
  <c r="J27" i="10"/>
  <c r="J29" i="10"/>
  <c r="L29" i="10" s="1"/>
  <c r="J33" i="10"/>
  <c r="J34" i="10" s="1"/>
  <c r="J38" i="10"/>
  <c r="L38" i="10"/>
  <c r="J42" i="10"/>
  <c r="L42" i="10"/>
  <c r="L72" i="10"/>
  <c r="J20" i="10"/>
  <c r="J52" i="10" s="1"/>
  <c r="L52" i="10" s="1"/>
  <c r="L73" i="10"/>
  <c r="L75" i="10" s="1"/>
  <c r="Q92" i="10"/>
  <c r="E75" i="10"/>
  <c r="J64" i="10"/>
  <c r="J62" i="10"/>
  <c r="R61" i="10"/>
  <c r="J61" i="10"/>
  <c r="C61" i="10"/>
  <c r="G23" i="9"/>
  <c r="L23" i="9" s="1"/>
  <c r="L33" i="9" s="1"/>
  <c r="F73" i="9" s="1"/>
  <c r="G27" i="9"/>
  <c r="L27" i="9" s="1"/>
  <c r="G31" i="9"/>
  <c r="L31" i="9" s="1"/>
  <c r="G37" i="9"/>
  <c r="L37" i="9"/>
  <c r="L43" i="9" s="1"/>
  <c r="I73" i="9" s="1"/>
  <c r="G41" i="9"/>
  <c r="L41" i="9"/>
  <c r="P93" i="9"/>
  <c r="M93" i="9"/>
  <c r="F65" i="9"/>
  <c r="G63" i="9"/>
  <c r="N62" i="9"/>
  <c r="G62" i="9"/>
  <c r="C62" i="9"/>
  <c r="F627" i="1"/>
  <c r="F628" i="1"/>
  <c r="F631" i="1"/>
  <c r="E53" i="1"/>
  <c r="F53" i="1" s="1"/>
  <c r="E93" i="1"/>
  <c r="F93" i="1"/>
  <c r="E173" i="1"/>
  <c r="F173" i="1"/>
  <c r="E215" i="1"/>
  <c r="F215" i="1" s="1"/>
  <c r="E421" i="1"/>
  <c r="F421" i="1" s="1"/>
  <c r="E463" i="1"/>
  <c r="F463" i="1"/>
  <c r="F632" i="1"/>
  <c r="E216" i="1"/>
  <c r="F216" i="1" s="1"/>
  <c r="F633" i="1"/>
  <c r="F634" i="1"/>
  <c r="F635" i="1"/>
  <c r="F636" i="1"/>
  <c r="F637" i="1"/>
  <c r="F639" i="1"/>
  <c r="F638" i="1"/>
  <c r="F640" i="1"/>
  <c r="F641" i="1"/>
  <c r="F642" i="1"/>
  <c r="F643" i="1"/>
  <c r="F644" i="1"/>
  <c r="F645" i="1"/>
  <c r="F646" i="1"/>
  <c r="F647" i="1"/>
  <c r="F648" i="1"/>
  <c r="F649" i="1"/>
  <c r="F650" i="1"/>
  <c r="F651" i="1"/>
  <c r="F652" i="1"/>
  <c r="F653" i="1"/>
  <c r="G627" i="1"/>
  <c r="G628" i="1"/>
  <c r="G631" i="1"/>
  <c r="G632" i="1"/>
  <c r="G633" i="1"/>
  <c r="G634" i="1"/>
  <c r="G635" i="1"/>
  <c r="G636" i="1"/>
  <c r="G637" i="1"/>
  <c r="G638" i="1"/>
  <c r="G639" i="1"/>
  <c r="G640" i="1"/>
  <c r="G641" i="1"/>
  <c r="G642" i="1"/>
  <c r="G643" i="1"/>
  <c r="G644" i="1"/>
  <c r="G645" i="1"/>
  <c r="G646" i="1"/>
  <c r="G647" i="1"/>
  <c r="G648" i="1"/>
  <c r="G649" i="1"/>
  <c r="G650" i="1"/>
  <c r="G651" i="1"/>
  <c r="G652" i="1"/>
  <c r="G33" i="1" s="1"/>
  <c r="G653" i="1"/>
  <c r="G34" i="1" s="1"/>
  <c r="G53" i="1"/>
  <c r="G93" i="1"/>
  <c r="G173" i="1"/>
  <c r="G215" i="1"/>
  <c r="G216" i="1"/>
  <c r="G421" i="1"/>
  <c r="G463" i="1"/>
  <c r="F6" i="5"/>
  <c r="F12" i="5" s="1"/>
  <c r="H7" i="5" s="1"/>
  <c r="F7" i="5"/>
  <c r="F5" i="6"/>
  <c r="F6" i="6"/>
  <c r="F7" i="6"/>
  <c r="F8" i="6"/>
  <c r="F9" i="6"/>
  <c r="F10" i="6"/>
  <c r="F11" i="6"/>
  <c r="F12" i="6"/>
  <c r="F13" i="6"/>
  <c r="F14" i="6"/>
  <c r="F15" i="6"/>
  <c r="F16" i="6"/>
  <c r="F17" i="6"/>
  <c r="F18" i="6" s="1"/>
  <c r="H11" i="6"/>
  <c r="H12" i="6"/>
  <c r="H13" i="6"/>
  <c r="H14" i="6"/>
  <c r="H15" i="6"/>
  <c r="H16" i="6"/>
  <c r="H17" i="6"/>
  <c r="G608" i="1"/>
  <c r="G586" i="1"/>
  <c r="G587" i="1"/>
  <c r="G588" i="1"/>
  <c r="G589" i="1"/>
  <c r="G590" i="1"/>
  <c r="G591" i="1"/>
  <c r="G592" i="1"/>
  <c r="G593" i="1"/>
  <c r="G594" i="1"/>
  <c r="G595" i="1"/>
  <c r="G596" i="1"/>
  <c r="G597" i="1"/>
  <c r="G598" i="1"/>
  <c r="G599" i="1"/>
  <c r="G600" i="1"/>
  <c r="G601" i="1"/>
  <c r="G602" i="1"/>
  <c r="G603" i="1"/>
  <c r="G604" i="1"/>
  <c r="G605" i="1"/>
  <c r="G606" i="1"/>
  <c r="G607" i="1"/>
  <c r="G585" i="1"/>
  <c r="F545" i="1"/>
  <c r="F546" i="1"/>
  <c r="F662" i="1"/>
  <c r="F663" i="1"/>
  <c r="N35" i="2"/>
  <c r="N36" i="2"/>
  <c r="N37" i="2"/>
  <c r="M133" i="2"/>
  <c r="M127" i="2"/>
  <c r="M124" i="2"/>
  <c r="M119" i="2"/>
  <c r="L119" i="2"/>
  <c r="K119" i="2"/>
  <c r="J119" i="2"/>
  <c r="I119" i="2"/>
  <c r="H119" i="2"/>
  <c r="G119" i="2"/>
  <c r="F119" i="2"/>
  <c r="E119" i="2"/>
  <c r="D119" i="2"/>
  <c r="C119" i="2"/>
  <c r="B119" i="2"/>
  <c r="C111" i="2"/>
  <c r="D111" i="2" s="1"/>
  <c r="C113" i="2"/>
  <c r="C114" i="2" s="1"/>
  <c r="C116" i="2" s="1"/>
  <c r="C55" i="2" s="1"/>
  <c r="C18" i="2" s="1"/>
  <c r="C39" i="2" s="1"/>
  <c r="B113" i="2"/>
  <c r="B114" i="2"/>
  <c r="B116" i="2" s="1"/>
  <c r="B55" i="2" s="1"/>
  <c r="B18" i="2" s="1"/>
  <c r="M109" i="2"/>
  <c r="L109" i="2"/>
  <c r="K109" i="2"/>
  <c r="J109" i="2"/>
  <c r="I109" i="2"/>
  <c r="H109" i="2"/>
  <c r="G109" i="2"/>
  <c r="F109" i="2"/>
  <c r="E109" i="2"/>
  <c r="D109" i="2"/>
  <c r="C109" i="2"/>
  <c r="B109" i="2"/>
  <c r="M106" i="2"/>
  <c r="L106" i="2"/>
  <c r="K106" i="2"/>
  <c r="J106" i="2"/>
  <c r="I106" i="2"/>
  <c r="H106" i="2"/>
  <c r="G106" i="2"/>
  <c r="F106" i="2"/>
  <c r="E106" i="2"/>
  <c r="D106" i="2"/>
  <c r="C106" i="2"/>
  <c r="B106" i="2"/>
  <c r="M102" i="2"/>
  <c r="L102" i="2"/>
  <c r="K102" i="2"/>
  <c r="J102" i="2"/>
  <c r="I102" i="2"/>
  <c r="H102" i="2"/>
  <c r="G102" i="2"/>
  <c r="F102" i="2"/>
  <c r="E102" i="2"/>
  <c r="D102" i="2"/>
  <c r="C102" i="2"/>
  <c r="B102" i="2"/>
  <c r="C91" i="2"/>
  <c r="D91" i="2" s="1"/>
  <c r="C99" i="2"/>
  <c r="B99" i="2"/>
  <c r="C89" i="2"/>
  <c r="D89" i="2" s="1"/>
  <c r="C90" i="2"/>
  <c r="B90" i="2"/>
  <c r="C76" i="2"/>
  <c r="D76" i="2" s="1"/>
  <c r="C77" i="2"/>
  <c r="D77" i="2" s="1"/>
  <c r="E77" i="2" s="1"/>
  <c r="F77" i="2" s="1"/>
  <c r="G77" i="2" s="1"/>
  <c r="H77" i="2" s="1"/>
  <c r="I77" i="2" s="1"/>
  <c r="J77" i="2" s="1"/>
  <c r="K77" i="2" s="1"/>
  <c r="L77" i="2" s="1"/>
  <c r="M77" i="2" s="1"/>
  <c r="C80" i="2"/>
  <c r="D80" i="2" s="1"/>
  <c r="E80" i="2" s="1"/>
  <c r="F80" i="2" s="1"/>
  <c r="G80" i="2" s="1"/>
  <c r="H80" i="2" s="1"/>
  <c r="I80" i="2" s="1"/>
  <c r="J80" i="2" s="1"/>
  <c r="K80" i="2" s="1"/>
  <c r="L80" i="2" s="1"/>
  <c r="M80" i="2" s="1"/>
  <c r="C81" i="2"/>
  <c r="B81" i="2"/>
  <c r="C73" i="2"/>
  <c r="D73" i="2" s="1"/>
  <c r="C74" i="2"/>
  <c r="D74" i="2"/>
  <c r="E74" i="2" s="1"/>
  <c r="F74" i="2" s="1"/>
  <c r="G74" i="2" s="1"/>
  <c r="H74" i="2" s="1"/>
  <c r="I74" i="2" s="1"/>
  <c r="J74" i="2" s="1"/>
  <c r="K74" i="2" s="1"/>
  <c r="L74" i="2" s="1"/>
  <c r="M74" i="2" s="1"/>
  <c r="C75" i="2"/>
  <c r="B75" i="2"/>
  <c r="M72" i="2"/>
  <c r="L72" i="2"/>
  <c r="K72" i="2"/>
  <c r="J72" i="2"/>
  <c r="I72" i="2"/>
  <c r="H72" i="2"/>
  <c r="G72" i="2"/>
  <c r="F72" i="2"/>
  <c r="E72" i="2"/>
  <c r="D72" i="2"/>
  <c r="C72" i="2"/>
  <c r="B72" i="2"/>
  <c r="C63" i="2"/>
  <c r="D63" i="2" s="1"/>
  <c r="C64" i="2"/>
  <c r="B64" i="2"/>
  <c r="C56" i="2"/>
  <c r="D56" i="2" s="1"/>
  <c r="C58" i="2"/>
  <c r="B58" i="2"/>
  <c r="M48" i="2"/>
  <c r="L48" i="2"/>
  <c r="K48" i="2"/>
  <c r="J48" i="2"/>
  <c r="I48" i="2"/>
  <c r="H48" i="2"/>
  <c r="G48" i="2"/>
  <c r="F48" i="2"/>
  <c r="E48" i="2"/>
  <c r="D48" i="2"/>
  <c r="C48" i="2"/>
  <c r="B48" i="2"/>
  <c r="M45" i="2"/>
  <c r="L45" i="2"/>
  <c r="K45" i="2"/>
  <c r="J45" i="2"/>
  <c r="I45" i="2"/>
  <c r="H45" i="2"/>
  <c r="G45" i="2"/>
  <c r="F45" i="2"/>
  <c r="E45" i="2"/>
  <c r="D45" i="2"/>
  <c r="C45" i="2"/>
  <c r="B45" i="2"/>
  <c r="M4" i="2"/>
  <c r="C5" i="2"/>
  <c r="D5" i="2" s="1"/>
  <c r="M6" i="2"/>
  <c r="M10" i="2"/>
  <c r="M25" i="2"/>
  <c r="C26" i="2"/>
  <c r="D26" i="2" s="1"/>
  <c r="M29" i="2"/>
  <c r="M31" i="2"/>
  <c r="N31" i="2" s="1"/>
  <c r="M32" i="2"/>
  <c r="N32" i="2" s="1"/>
  <c r="M33" i="2"/>
  <c r="N33" i="2" s="1"/>
  <c r="M34" i="2"/>
  <c r="N34" i="2" s="1"/>
  <c r="L4" i="2"/>
  <c r="L6" i="2"/>
  <c r="L10" i="2"/>
  <c r="L25" i="2"/>
  <c r="L29" i="2"/>
  <c r="K4" i="2"/>
  <c r="K6" i="2"/>
  <c r="K10" i="2"/>
  <c r="K25" i="2"/>
  <c r="K29" i="2"/>
  <c r="J4" i="2"/>
  <c r="J6" i="2"/>
  <c r="J10" i="2"/>
  <c r="J25" i="2"/>
  <c r="J29" i="2"/>
  <c r="I4" i="2"/>
  <c r="I6" i="2"/>
  <c r="I10" i="2"/>
  <c r="I25" i="2"/>
  <c r="I29" i="2"/>
  <c r="H4" i="2"/>
  <c r="H6" i="2"/>
  <c r="H10" i="2"/>
  <c r="H25" i="2"/>
  <c r="H29" i="2"/>
  <c r="G4" i="2"/>
  <c r="G6" i="2"/>
  <c r="G10" i="2"/>
  <c r="G25" i="2"/>
  <c r="G29" i="2"/>
  <c r="F4" i="2"/>
  <c r="F6" i="2"/>
  <c r="F10" i="2"/>
  <c r="F25" i="2"/>
  <c r="F29" i="2"/>
  <c r="E4" i="2"/>
  <c r="E6" i="2"/>
  <c r="E10" i="2"/>
  <c r="E25" i="2"/>
  <c r="E29" i="2"/>
  <c r="D4" i="2"/>
  <c r="D6" i="2"/>
  <c r="D10" i="2"/>
  <c r="D25" i="2"/>
  <c r="D29" i="2"/>
  <c r="C4" i="2"/>
  <c r="C6" i="2"/>
  <c r="C10" i="2"/>
  <c r="C13" i="2"/>
  <c r="C15" i="2"/>
  <c r="C17" i="2"/>
  <c r="C19" i="2"/>
  <c r="C21" i="2"/>
  <c r="C23" i="2"/>
  <c r="C25" i="2"/>
  <c r="C27" i="2"/>
  <c r="C29" i="2"/>
  <c r="B4" i="2"/>
  <c r="B6" i="2"/>
  <c r="B10" i="2"/>
  <c r="B13" i="2"/>
  <c r="B15" i="2"/>
  <c r="B17" i="2"/>
  <c r="B19" i="2"/>
  <c r="B21" i="2"/>
  <c r="B23" i="2"/>
  <c r="B25" i="2"/>
  <c r="B27" i="2"/>
  <c r="B29" i="2"/>
  <c r="B33" i="3"/>
  <c r="B119" i="3"/>
  <c r="B31" i="3" s="1"/>
  <c r="B124" i="3"/>
  <c r="B32" i="3" s="1"/>
  <c r="B127" i="3"/>
  <c r="B133" i="3"/>
  <c r="B34" i="3" s="1"/>
  <c r="B105" i="3"/>
  <c r="B71" i="3"/>
  <c r="B44" i="3"/>
  <c r="B10" i="3" s="1"/>
  <c r="N10" i="2"/>
  <c r="N9" i="2"/>
  <c r="B57" i="3"/>
  <c r="B15" i="3" s="1"/>
  <c r="B63" i="3"/>
  <c r="B13" i="3" s="1"/>
  <c r="N8" i="2"/>
  <c r="N14" i="2"/>
  <c r="H628" i="1" s="1"/>
  <c r="N16" i="2"/>
  <c r="H632" i="1" s="1"/>
  <c r="N22" i="2"/>
  <c r="B112" i="3"/>
  <c r="B17" i="3" s="1"/>
  <c r="B4" i="3"/>
  <c r="N4" i="2"/>
  <c r="N11" i="2"/>
  <c r="H637" i="1" s="1"/>
  <c r="B6" i="3"/>
  <c r="N6" i="2"/>
  <c r="N7" i="2"/>
  <c r="H638" i="1" s="1"/>
  <c r="N12" i="2"/>
  <c r="N24" i="2"/>
  <c r="H643" i="1" s="1"/>
  <c r="B89" i="3"/>
  <c r="B21" i="3"/>
  <c r="B74" i="3"/>
  <c r="B19" i="3" s="1"/>
  <c r="B108" i="3"/>
  <c r="B25" i="3"/>
  <c r="H647" i="1" s="1"/>
  <c r="N25" i="2"/>
  <c r="B80" i="3"/>
  <c r="B23" i="3" s="1"/>
  <c r="N20" i="2"/>
  <c r="B98" i="3"/>
  <c r="B27" i="3" s="1"/>
  <c r="N28" i="2"/>
  <c r="B101" i="3"/>
  <c r="B29" i="3" s="1"/>
  <c r="H653" i="1" s="1"/>
  <c r="N29" i="2"/>
  <c r="G393" i="1"/>
  <c r="G251" i="1"/>
  <c r="G252" i="1"/>
  <c r="G255" i="1"/>
  <c r="G256" i="1"/>
  <c r="G257" i="1"/>
  <c r="G258" i="1"/>
  <c r="G259" i="1"/>
  <c r="G260" i="1"/>
  <c r="G261" i="1"/>
  <c r="G262" i="1"/>
  <c r="G263" i="1"/>
  <c r="G264" i="1"/>
  <c r="G265" i="1"/>
  <c r="G266" i="1"/>
  <c r="G267" i="1"/>
  <c r="G268" i="1"/>
  <c r="G269" i="1"/>
  <c r="G270" i="1"/>
  <c r="G271" i="1"/>
  <c r="G272" i="1"/>
  <c r="G273" i="1"/>
  <c r="G274" i="1"/>
  <c r="G435" i="1"/>
  <c r="G477" i="1"/>
  <c r="G503" i="1"/>
  <c r="G504" i="1"/>
  <c r="G505" i="1"/>
  <c r="G506" i="1"/>
  <c r="G507" i="1"/>
  <c r="G508" i="1"/>
  <c r="G509" i="1"/>
  <c r="G510" i="1"/>
  <c r="G511" i="1"/>
  <c r="G512" i="1"/>
  <c r="G513" i="1"/>
  <c r="G514" i="1"/>
  <c r="G515" i="1"/>
  <c r="G516" i="1"/>
  <c r="G517" i="1"/>
  <c r="G518" i="1"/>
  <c r="G519" i="1"/>
  <c r="G520" i="1"/>
  <c r="G521" i="1"/>
  <c r="G522" i="1"/>
  <c r="G523" i="1"/>
  <c r="G524" i="1"/>
  <c r="G545" i="1"/>
  <c r="G546" i="1"/>
  <c r="G547" i="1"/>
  <c r="G548" i="1"/>
  <c r="G549" i="1"/>
  <c r="G550" i="1"/>
  <c r="G551" i="1"/>
  <c r="G552" i="1"/>
  <c r="G553" i="1"/>
  <c r="G554" i="1"/>
  <c r="G555" i="1"/>
  <c r="G556" i="1"/>
  <c r="G557" i="1"/>
  <c r="G558" i="1"/>
  <c r="G559" i="1"/>
  <c r="G560" i="1"/>
  <c r="G561" i="1"/>
  <c r="G562" i="1"/>
  <c r="G563" i="1"/>
  <c r="G564" i="1"/>
  <c r="G565" i="1"/>
  <c r="G566" i="1"/>
  <c r="G525" i="1"/>
  <c r="G567" i="1"/>
  <c r="G609" i="1"/>
  <c r="E662" i="1"/>
  <c r="G502" i="1"/>
  <c r="G544" i="1"/>
  <c r="G501" i="1"/>
  <c r="G543" i="1"/>
  <c r="H34" i="1"/>
  <c r="G32" i="1"/>
  <c r="F34" i="1"/>
  <c r="F33" i="1"/>
  <c r="F32" i="1"/>
  <c r="E629" i="1"/>
  <c r="E630" i="1"/>
  <c r="E49" i="1"/>
  <c r="F49" i="1"/>
  <c r="E89" i="1"/>
  <c r="F89" i="1" s="1"/>
  <c r="C129" i="1"/>
  <c r="E129" i="1"/>
  <c r="F129" i="1"/>
  <c r="E169" i="1"/>
  <c r="E211" i="1"/>
  <c r="F211" i="1"/>
  <c r="F251" i="1"/>
  <c r="E293" i="1"/>
  <c r="F293" i="1"/>
  <c r="C335" i="1"/>
  <c r="E335" i="1" s="1"/>
  <c r="E375" i="1"/>
  <c r="F375" i="1"/>
  <c r="E417" i="1"/>
  <c r="E459" i="1"/>
  <c r="F459" i="1"/>
  <c r="F501" i="1"/>
  <c r="H501" i="1" s="1"/>
  <c r="F543" i="1"/>
  <c r="F585" i="1"/>
  <c r="H585" i="1" s="1"/>
  <c r="E50" i="1"/>
  <c r="F50" i="1" s="1"/>
  <c r="E90" i="1"/>
  <c r="F90" i="1"/>
  <c r="H90" i="1" s="1"/>
  <c r="C130" i="1"/>
  <c r="E130" i="1" s="1"/>
  <c r="E170" i="1"/>
  <c r="F170" i="1"/>
  <c r="H170" i="1" s="1"/>
  <c r="E212" i="1"/>
  <c r="F252" i="1"/>
  <c r="H252" i="1" s="1"/>
  <c r="E294" i="1"/>
  <c r="F294" i="1" s="1"/>
  <c r="H294" i="1" s="1"/>
  <c r="C336" i="1"/>
  <c r="E336" i="1"/>
  <c r="F336" i="1"/>
  <c r="H336" i="1" s="1"/>
  <c r="E376" i="1"/>
  <c r="E418" i="1"/>
  <c r="F418" i="1"/>
  <c r="H418" i="1" s="1"/>
  <c r="E460" i="1"/>
  <c r="F502" i="1"/>
  <c r="H502" i="1" s="1"/>
  <c r="F544" i="1"/>
  <c r="H544" i="1" s="1"/>
  <c r="F586" i="1"/>
  <c r="H586" i="1" s="1"/>
  <c r="C51" i="1"/>
  <c r="D51" i="1"/>
  <c r="C91" i="1"/>
  <c r="E91" i="1" s="1"/>
  <c r="D91" i="1"/>
  <c r="C131" i="1"/>
  <c r="D131" i="1"/>
  <c r="C171" i="1"/>
  <c r="E171" i="1" s="1"/>
  <c r="D171" i="1"/>
  <c r="C213" i="1"/>
  <c r="D213" i="1"/>
  <c r="E253" i="1"/>
  <c r="F253" i="1" s="1"/>
  <c r="H253" i="1" s="1"/>
  <c r="C295" i="1"/>
  <c r="D295" i="1"/>
  <c r="C337" i="1"/>
  <c r="E337" i="1" s="1"/>
  <c r="D337" i="1"/>
  <c r="C377" i="1"/>
  <c r="D377" i="1"/>
  <c r="C419" i="1"/>
  <c r="E419" i="1" s="1"/>
  <c r="D419" i="1"/>
  <c r="C461" i="1"/>
  <c r="D461" i="1"/>
  <c r="F503" i="1"/>
  <c r="H503" i="1" s="1"/>
  <c r="F587" i="1"/>
  <c r="H587" i="1" s="1"/>
  <c r="C52" i="1"/>
  <c r="D52" i="1"/>
  <c r="C92" i="1"/>
  <c r="E92" i="1" s="1"/>
  <c r="D92" i="1"/>
  <c r="C132" i="1"/>
  <c r="D132" i="1"/>
  <c r="C172" i="1"/>
  <c r="E172" i="1" s="1"/>
  <c r="D172" i="1"/>
  <c r="C214" i="1"/>
  <c r="D214" i="1"/>
  <c r="E254" i="1"/>
  <c r="F254" i="1" s="1"/>
  <c r="H254" i="1" s="1"/>
  <c r="C296" i="1"/>
  <c r="D296" i="1"/>
  <c r="C338" i="1"/>
  <c r="E338" i="1" s="1"/>
  <c r="D338" i="1"/>
  <c r="C378" i="1"/>
  <c r="D378" i="1"/>
  <c r="C420" i="1"/>
  <c r="E420" i="1" s="1"/>
  <c r="D420" i="1"/>
  <c r="C462" i="1"/>
  <c r="D462" i="1"/>
  <c r="F504" i="1"/>
  <c r="H504" i="1" s="1"/>
  <c r="F588" i="1"/>
  <c r="H588" i="1" s="1"/>
  <c r="C133" i="1"/>
  <c r="E133" i="1" s="1"/>
  <c r="F255" i="1"/>
  <c r="E297" i="1"/>
  <c r="F297" i="1" s="1"/>
  <c r="C339" i="1"/>
  <c r="E339" i="1" s="1"/>
  <c r="E379" i="1"/>
  <c r="F379" i="1"/>
  <c r="F505" i="1"/>
  <c r="F547" i="1"/>
  <c r="F589" i="1"/>
  <c r="E54" i="1"/>
  <c r="F54" i="1" s="1"/>
  <c r="E94" i="1"/>
  <c r="F94" i="1"/>
  <c r="H94" i="1" s="1"/>
  <c r="C134" i="1"/>
  <c r="E134" i="1" s="1"/>
  <c r="E174" i="1"/>
  <c r="F256" i="1"/>
  <c r="H256" i="1" s="1"/>
  <c r="E298" i="1"/>
  <c r="F298" i="1" s="1"/>
  <c r="H298" i="1" s="1"/>
  <c r="C340" i="1"/>
  <c r="E340" i="1"/>
  <c r="F340" i="1"/>
  <c r="H340" i="1" s="1"/>
  <c r="E380" i="1"/>
  <c r="E422" i="1"/>
  <c r="F422" i="1"/>
  <c r="H422" i="1" s="1"/>
  <c r="E464" i="1"/>
  <c r="F506" i="1"/>
  <c r="H506" i="1" s="1"/>
  <c r="F548" i="1"/>
  <c r="H548" i="1" s="1"/>
  <c r="F590" i="1"/>
  <c r="H590" i="1" s="1"/>
  <c r="E55" i="1"/>
  <c r="F55" i="1"/>
  <c r="H55" i="1" s="1"/>
  <c r="E95" i="1"/>
  <c r="F95" i="1" s="1"/>
  <c r="H95" i="1" s="1"/>
  <c r="C135" i="1"/>
  <c r="E135" i="1"/>
  <c r="F135" i="1"/>
  <c r="H135" i="1" s="1"/>
  <c r="E175" i="1"/>
  <c r="E217" i="1"/>
  <c r="F217" i="1"/>
  <c r="H217" i="1" s="1"/>
  <c r="F257" i="1"/>
  <c r="H257" i="1" s="1"/>
  <c r="E299" i="1"/>
  <c r="F299" i="1"/>
  <c r="H299" i="1" s="1"/>
  <c r="C341" i="1"/>
  <c r="E341" i="1" s="1"/>
  <c r="E381" i="1"/>
  <c r="F381" i="1"/>
  <c r="H381" i="1" s="1"/>
  <c r="E423" i="1"/>
  <c r="E465" i="1"/>
  <c r="F465" i="1"/>
  <c r="H465" i="1" s="1"/>
  <c r="F507" i="1"/>
  <c r="H507" i="1" s="1"/>
  <c r="F549" i="1"/>
  <c r="H549" i="1" s="1"/>
  <c r="F591" i="1"/>
  <c r="H591" i="1" s="1"/>
  <c r="E56" i="1"/>
  <c r="F56" i="1" s="1"/>
  <c r="E96" i="1"/>
  <c r="F96" i="1"/>
  <c r="C136" i="1"/>
  <c r="E136" i="1" s="1"/>
  <c r="E176" i="1"/>
  <c r="F176" i="1"/>
  <c r="E218" i="1"/>
  <c r="F258" i="1"/>
  <c r="E300" i="1"/>
  <c r="F300" i="1" s="1"/>
  <c r="C342" i="1"/>
  <c r="E342" i="1"/>
  <c r="F342" i="1"/>
  <c r="E382" i="1"/>
  <c r="E424" i="1"/>
  <c r="F424" i="1"/>
  <c r="E466" i="1"/>
  <c r="F508" i="1"/>
  <c r="F550" i="1"/>
  <c r="F592" i="1"/>
  <c r="E57" i="1"/>
  <c r="F57" i="1"/>
  <c r="E97" i="1"/>
  <c r="F97" i="1" s="1"/>
  <c r="C137" i="1"/>
  <c r="E137" i="1"/>
  <c r="F137" i="1"/>
  <c r="E177" i="1"/>
  <c r="E219" i="1"/>
  <c r="F219" i="1"/>
  <c r="F259" i="1"/>
  <c r="E301" i="1"/>
  <c r="F301" i="1"/>
  <c r="C343" i="1"/>
  <c r="E343" i="1" s="1"/>
  <c r="E383" i="1"/>
  <c r="F383" i="1"/>
  <c r="E425" i="1"/>
  <c r="E467" i="1"/>
  <c r="F467" i="1"/>
  <c r="F509" i="1"/>
  <c r="F551" i="1"/>
  <c r="F593" i="1"/>
  <c r="E58" i="1"/>
  <c r="F58" i="1" s="1"/>
  <c r="E98" i="1"/>
  <c r="F98" i="1"/>
  <c r="H98" i="1" s="1"/>
  <c r="C138" i="1"/>
  <c r="E138" i="1" s="1"/>
  <c r="E178" i="1"/>
  <c r="F178" i="1"/>
  <c r="H178" i="1" s="1"/>
  <c r="E220" i="1"/>
  <c r="F260" i="1"/>
  <c r="H260" i="1" s="1"/>
  <c r="E302" i="1"/>
  <c r="F302" i="1" s="1"/>
  <c r="H302" i="1" s="1"/>
  <c r="C344" i="1"/>
  <c r="E344" i="1"/>
  <c r="F344" i="1"/>
  <c r="H344" i="1" s="1"/>
  <c r="E384" i="1"/>
  <c r="E426" i="1"/>
  <c r="F426" i="1"/>
  <c r="H426" i="1" s="1"/>
  <c r="E468" i="1"/>
  <c r="F510" i="1"/>
  <c r="H510" i="1" s="1"/>
  <c r="F552" i="1"/>
  <c r="H552" i="1" s="1"/>
  <c r="F594" i="1"/>
  <c r="H594" i="1" s="1"/>
  <c r="E59" i="1"/>
  <c r="F59" i="1"/>
  <c r="H59" i="1" s="1"/>
  <c r="E99" i="1"/>
  <c r="F99" i="1" s="1"/>
  <c r="H99" i="1" s="1"/>
  <c r="C139" i="1"/>
  <c r="E139" i="1"/>
  <c r="F139" i="1"/>
  <c r="H139" i="1" s="1"/>
  <c r="E179" i="1"/>
  <c r="E221" i="1"/>
  <c r="F221" i="1"/>
  <c r="H221" i="1" s="1"/>
  <c r="F261" i="1"/>
  <c r="H261" i="1" s="1"/>
  <c r="E303" i="1"/>
  <c r="F303" i="1"/>
  <c r="H303" i="1" s="1"/>
  <c r="C345" i="1"/>
  <c r="E345" i="1" s="1"/>
  <c r="E385" i="1"/>
  <c r="F385" i="1"/>
  <c r="H385" i="1" s="1"/>
  <c r="E427" i="1"/>
  <c r="E469" i="1"/>
  <c r="F469" i="1"/>
  <c r="H469" i="1" s="1"/>
  <c r="F511" i="1"/>
  <c r="H511" i="1" s="1"/>
  <c r="F553" i="1"/>
  <c r="H553" i="1" s="1"/>
  <c r="F595" i="1"/>
  <c r="H595" i="1" s="1"/>
  <c r="E60" i="1"/>
  <c r="F60" i="1" s="1"/>
  <c r="E100" i="1"/>
  <c r="F100" i="1"/>
  <c r="H100" i="1" s="1"/>
  <c r="C140" i="1"/>
  <c r="E140" i="1" s="1"/>
  <c r="E181" i="1"/>
  <c r="F181" i="1"/>
  <c r="H181" i="1" s="1"/>
  <c r="E222" i="1"/>
  <c r="F263" i="1"/>
  <c r="H263" i="1" s="1"/>
  <c r="E305" i="1"/>
  <c r="F305" i="1" s="1"/>
  <c r="H305" i="1" s="1"/>
  <c r="C346" i="1"/>
  <c r="E346" i="1"/>
  <c r="F346" i="1"/>
  <c r="H346" i="1" s="1"/>
  <c r="E387" i="1"/>
  <c r="E429" i="1"/>
  <c r="F429" i="1"/>
  <c r="H429" i="1" s="1"/>
  <c r="E471" i="1"/>
  <c r="F513" i="1"/>
  <c r="H513" i="1" s="1"/>
  <c r="F555" i="1"/>
  <c r="H555" i="1" s="1"/>
  <c r="F597" i="1"/>
  <c r="H597" i="1" s="1"/>
  <c r="E61" i="1"/>
  <c r="F61" i="1"/>
  <c r="H61" i="1" s="1"/>
  <c r="E101" i="1"/>
  <c r="F101" i="1" s="1"/>
  <c r="H101" i="1" s="1"/>
  <c r="C141" i="1"/>
  <c r="E141" i="1"/>
  <c r="F141" i="1"/>
  <c r="H141" i="1" s="1"/>
  <c r="E180" i="1"/>
  <c r="E223" i="1"/>
  <c r="F223" i="1"/>
  <c r="H223" i="1" s="1"/>
  <c r="F262" i="1"/>
  <c r="H262" i="1" s="1"/>
  <c r="E304" i="1"/>
  <c r="F304" i="1"/>
  <c r="H304" i="1" s="1"/>
  <c r="C347" i="1"/>
  <c r="E347" i="1" s="1"/>
  <c r="E386" i="1"/>
  <c r="F386" i="1"/>
  <c r="H386" i="1" s="1"/>
  <c r="E428" i="1"/>
  <c r="E470" i="1"/>
  <c r="F470" i="1"/>
  <c r="H470" i="1" s="1"/>
  <c r="F512" i="1"/>
  <c r="H512" i="1" s="1"/>
  <c r="F554" i="1"/>
  <c r="H554" i="1" s="1"/>
  <c r="F596" i="1"/>
  <c r="H596" i="1" s="1"/>
  <c r="E182" i="1"/>
  <c r="F182" i="1" s="1"/>
  <c r="F264" i="1"/>
  <c r="E306" i="1"/>
  <c r="F306" i="1"/>
  <c r="E388" i="1"/>
  <c r="E430" i="1"/>
  <c r="F430" i="1"/>
  <c r="E472" i="1"/>
  <c r="F514" i="1"/>
  <c r="F556" i="1"/>
  <c r="F598" i="1"/>
  <c r="E183" i="1"/>
  <c r="F183" i="1"/>
  <c r="F265" i="1"/>
  <c r="E307" i="1"/>
  <c r="E389" i="1"/>
  <c r="F389" i="1"/>
  <c r="E431" i="1"/>
  <c r="E473" i="1"/>
  <c r="F473" i="1"/>
  <c r="F515" i="1"/>
  <c r="F557" i="1"/>
  <c r="F599" i="1"/>
  <c r="E62" i="1"/>
  <c r="F62" i="1" s="1"/>
  <c r="E102" i="1"/>
  <c r="F102" i="1"/>
  <c r="H102" i="1" s="1"/>
  <c r="C142" i="1"/>
  <c r="E142" i="1" s="1"/>
  <c r="E184" i="1"/>
  <c r="F184" i="1"/>
  <c r="H184" i="1" s="1"/>
  <c r="E224" i="1"/>
  <c r="F266" i="1"/>
  <c r="H266" i="1" s="1"/>
  <c r="E308" i="1"/>
  <c r="F308" i="1" s="1"/>
  <c r="H308" i="1" s="1"/>
  <c r="C348" i="1"/>
  <c r="E348" i="1"/>
  <c r="F348" i="1"/>
  <c r="H348" i="1" s="1"/>
  <c r="E390" i="1"/>
  <c r="E432" i="1"/>
  <c r="F432" i="1"/>
  <c r="H432" i="1" s="1"/>
  <c r="E474" i="1"/>
  <c r="F516" i="1"/>
  <c r="H516" i="1" s="1"/>
  <c r="F558" i="1"/>
  <c r="H558" i="1" s="1"/>
  <c r="F600" i="1"/>
  <c r="H600" i="1" s="1"/>
  <c r="E63" i="1"/>
  <c r="F63" i="1"/>
  <c r="H63" i="1" s="1"/>
  <c r="E103" i="1"/>
  <c r="F103" i="1" s="1"/>
  <c r="H103" i="1" s="1"/>
  <c r="C143" i="1"/>
  <c r="E143" i="1"/>
  <c r="F143" i="1"/>
  <c r="H143" i="1" s="1"/>
  <c r="E185" i="1"/>
  <c r="E225" i="1"/>
  <c r="F225" i="1"/>
  <c r="H225" i="1" s="1"/>
  <c r="F267" i="1"/>
  <c r="H267" i="1" s="1"/>
  <c r="E309" i="1"/>
  <c r="F309" i="1"/>
  <c r="H309" i="1" s="1"/>
  <c r="C349" i="1"/>
  <c r="E349" i="1" s="1"/>
  <c r="E391" i="1"/>
  <c r="F391" i="1"/>
  <c r="H391" i="1" s="1"/>
  <c r="E433" i="1"/>
  <c r="E475" i="1"/>
  <c r="F475" i="1"/>
  <c r="H475" i="1" s="1"/>
  <c r="F517" i="1"/>
  <c r="H517" i="1" s="1"/>
  <c r="F559" i="1"/>
  <c r="H559" i="1" s="1"/>
  <c r="F601" i="1"/>
  <c r="H601" i="1" s="1"/>
  <c r="E64" i="1"/>
  <c r="F64" i="1" s="1"/>
  <c r="E104" i="1"/>
  <c r="F104" i="1"/>
  <c r="C144" i="1"/>
  <c r="E144" i="1" s="1"/>
  <c r="E186" i="1"/>
  <c r="F186" i="1"/>
  <c r="E226" i="1"/>
  <c r="F268" i="1"/>
  <c r="E310" i="1"/>
  <c r="F310" i="1" s="1"/>
  <c r="C350" i="1"/>
  <c r="E350" i="1"/>
  <c r="F350" i="1"/>
  <c r="E392" i="1"/>
  <c r="E434" i="1"/>
  <c r="F434" i="1"/>
  <c r="E476" i="1"/>
  <c r="F518" i="1"/>
  <c r="F525" i="1" s="1"/>
  <c r="F560" i="1"/>
  <c r="F602" i="1"/>
  <c r="E65" i="1"/>
  <c r="F65" i="1"/>
  <c r="E105" i="1"/>
  <c r="C145" i="1"/>
  <c r="D145" i="1"/>
  <c r="D151" i="1" s="1"/>
  <c r="E145" i="1"/>
  <c r="F145" i="1" s="1"/>
  <c r="E187" i="1"/>
  <c r="F187" i="1"/>
  <c r="E227" i="1"/>
  <c r="F227" i="1" s="1"/>
  <c r="F269" i="1"/>
  <c r="E311" i="1"/>
  <c r="F311" i="1"/>
  <c r="C351" i="1"/>
  <c r="D351" i="1"/>
  <c r="E351" i="1"/>
  <c r="F351" i="1"/>
  <c r="F393" i="1"/>
  <c r="F435" i="1"/>
  <c r="F477" i="1"/>
  <c r="F519" i="1"/>
  <c r="F561" i="1"/>
  <c r="F603" i="1"/>
  <c r="E66" i="1"/>
  <c r="F66" i="1"/>
  <c r="E106" i="1"/>
  <c r="C146" i="1"/>
  <c r="E146" i="1"/>
  <c r="F146" i="1" s="1"/>
  <c r="E188" i="1"/>
  <c r="F188" i="1"/>
  <c r="E228" i="1"/>
  <c r="F228" i="1" s="1"/>
  <c r="F270" i="1"/>
  <c r="E312" i="1"/>
  <c r="F312" i="1"/>
  <c r="C352" i="1"/>
  <c r="E352" i="1" s="1"/>
  <c r="E394" i="1"/>
  <c r="F394" i="1" s="1"/>
  <c r="E436" i="1"/>
  <c r="F436" i="1"/>
  <c r="E478" i="1"/>
  <c r="F478" i="1" s="1"/>
  <c r="F520" i="1"/>
  <c r="F562" i="1"/>
  <c r="F604" i="1"/>
  <c r="E67" i="1"/>
  <c r="E107" i="1"/>
  <c r="F107" i="1"/>
  <c r="H107" i="1" s="1"/>
  <c r="C147" i="1"/>
  <c r="E147" i="1" s="1"/>
  <c r="E189" i="1"/>
  <c r="F189" i="1" s="1"/>
  <c r="H189" i="1" s="1"/>
  <c r="E229" i="1"/>
  <c r="F229" i="1"/>
  <c r="H229" i="1" s="1"/>
  <c r="F271" i="1"/>
  <c r="H271" i="1" s="1"/>
  <c r="E313" i="1"/>
  <c r="C353" i="1"/>
  <c r="E353" i="1"/>
  <c r="F353" i="1" s="1"/>
  <c r="H353" i="1" s="1"/>
  <c r="E395" i="1"/>
  <c r="F395" i="1"/>
  <c r="H395" i="1" s="1"/>
  <c r="E437" i="1"/>
  <c r="F437" i="1" s="1"/>
  <c r="H437" i="1" s="1"/>
  <c r="E479" i="1"/>
  <c r="F479" i="1"/>
  <c r="H479" i="1" s="1"/>
  <c r="F521" i="1"/>
  <c r="H521" i="1" s="1"/>
  <c r="F563" i="1"/>
  <c r="H563" i="1" s="1"/>
  <c r="F605" i="1"/>
  <c r="H605" i="1" s="1"/>
  <c r="E68" i="1"/>
  <c r="F68" i="1"/>
  <c r="E108" i="1"/>
  <c r="C148" i="1"/>
  <c r="E148" i="1"/>
  <c r="F148" i="1" s="1"/>
  <c r="E190" i="1"/>
  <c r="F190" i="1"/>
  <c r="E230" i="1"/>
  <c r="F230" i="1" s="1"/>
  <c r="F272" i="1"/>
  <c r="E314" i="1"/>
  <c r="F314" i="1"/>
  <c r="C354" i="1"/>
  <c r="E354" i="1" s="1"/>
  <c r="E396" i="1"/>
  <c r="F396" i="1" s="1"/>
  <c r="E438" i="1"/>
  <c r="F438" i="1"/>
  <c r="E480" i="1"/>
  <c r="F522" i="1"/>
  <c r="F564" i="1"/>
  <c r="F606" i="1"/>
  <c r="E69" i="1"/>
  <c r="E109" i="1"/>
  <c r="F109" i="1"/>
  <c r="C149" i="1"/>
  <c r="E149" i="1" s="1"/>
  <c r="E191" i="1"/>
  <c r="F191" i="1" s="1"/>
  <c r="E231" i="1"/>
  <c r="F231" i="1"/>
  <c r="F273" i="1"/>
  <c r="E315" i="1"/>
  <c r="C355" i="1"/>
  <c r="E355" i="1"/>
  <c r="F355" i="1" s="1"/>
  <c r="E397" i="1"/>
  <c r="F397" i="1"/>
  <c r="E439" i="1"/>
  <c r="F439" i="1" s="1"/>
  <c r="E481" i="1"/>
  <c r="F481" i="1"/>
  <c r="F523" i="1"/>
  <c r="F565" i="1"/>
  <c r="F607" i="1"/>
  <c r="E70" i="1"/>
  <c r="F70" i="1"/>
  <c r="H70" i="1" s="1"/>
  <c r="E110" i="1"/>
  <c r="C150" i="1"/>
  <c r="E150" i="1"/>
  <c r="F150" i="1" s="1"/>
  <c r="H150" i="1" s="1"/>
  <c r="E192" i="1"/>
  <c r="F192" i="1"/>
  <c r="H192" i="1" s="1"/>
  <c r="E232" i="1"/>
  <c r="F274" i="1"/>
  <c r="H274" i="1" s="1"/>
  <c r="E316" i="1"/>
  <c r="F316" i="1"/>
  <c r="H316" i="1" s="1"/>
  <c r="C356" i="1"/>
  <c r="E356" i="1" s="1"/>
  <c r="E398" i="1"/>
  <c r="F398" i="1" s="1"/>
  <c r="H398" i="1" s="1"/>
  <c r="E440" i="1"/>
  <c r="F440" i="1"/>
  <c r="H440" i="1" s="1"/>
  <c r="E482" i="1"/>
  <c r="F524" i="1"/>
  <c r="H524" i="1" s="1"/>
  <c r="F566" i="1"/>
  <c r="H566" i="1" s="1"/>
  <c r="F608" i="1"/>
  <c r="H608" i="1" s="1"/>
  <c r="E658" i="1"/>
  <c r="E657" i="1"/>
  <c r="E656" i="1"/>
  <c r="E654" i="1"/>
  <c r="D629" i="1"/>
  <c r="D654" i="1" s="1"/>
  <c r="D630" i="1"/>
  <c r="C629" i="1"/>
  <c r="C630" i="1"/>
  <c r="C654" i="1"/>
  <c r="E613" i="1"/>
  <c r="E612" i="1"/>
  <c r="E611" i="1"/>
  <c r="E609" i="1"/>
  <c r="D587" i="1"/>
  <c r="D588" i="1"/>
  <c r="D609" i="1"/>
  <c r="C587" i="1"/>
  <c r="C609" i="1" s="1"/>
  <c r="C588" i="1"/>
  <c r="D254" i="1"/>
  <c r="C254" i="1"/>
  <c r="D253" i="1"/>
  <c r="C253" i="1"/>
  <c r="D546" i="1"/>
  <c r="D567" i="1" s="1"/>
  <c r="C546" i="1"/>
  <c r="D545" i="1"/>
  <c r="C545" i="1"/>
  <c r="D504" i="1"/>
  <c r="D525" i="1" s="1"/>
  <c r="C504" i="1"/>
  <c r="D503" i="1"/>
  <c r="C503" i="1"/>
  <c r="C525" i="1" s="1"/>
  <c r="E571" i="1"/>
  <c r="E570" i="1"/>
  <c r="E569" i="1"/>
  <c r="E567" i="1"/>
  <c r="C567" i="1"/>
  <c r="A114" i="2"/>
  <c r="N30" i="2"/>
  <c r="A113" i="3"/>
  <c r="B47" i="3"/>
  <c r="B136" i="3"/>
  <c r="B137" i="3"/>
  <c r="B138" i="3"/>
  <c r="E113" i="1"/>
  <c r="E114" i="1"/>
  <c r="E115" i="1"/>
  <c r="E153" i="1"/>
  <c r="E154" i="1"/>
  <c r="E155" i="1"/>
  <c r="E195" i="1"/>
  <c r="E196" i="1"/>
  <c r="E197" i="1"/>
  <c r="E235" i="1"/>
  <c r="E236" i="1"/>
  <c r="E237" i="1"/>
  <c r="E277" i="1"/>
  <c r="E278" i="1"/>
  <c r="E279" i="1"/>
  <c r="E319" i="1"/>
  <c r="E320" i="1"/>
  <c r="E321" i="1"/>
  <c r="E529" i="1"/>
  <c r="E528" i="1"/>
  <c r="E527" i="1"/>
  <c r="E525" i="1"/>
  <c r="E403" i="1"/>
  <c r="E359" i="1"/>
  <c r="E360" i="1"/>
  <c r="E361" i="1"/>
  <c r="E401" i="1"/>
  <c r="E402" i="1"/>
  <c r="E487" i="1"/>
  <c r="E486" i="1"/>
  <c r="E485" i="1"/>
  <c r="D483" i="1"/>
  <c r="C483" i="1"/>
  <c r="E445" i="1"/>
  <c r="E444" i="1"/>
  <c r="E443" i="1"/>
  <c r="D441" i="1"/>
  <c r="C441" i="1"/>
  <c r="E14" i="8"/>
  <c r="C71" i="1"/>
  <c r="D71" i="1"/>
  <c r="C111" i="1"/>
  <c r="D111" i="1"/>
  <c r="C193" i="1"/>
  <c r="D193" i="1"/>
  <c r="C233" i="1"/>
  <c r="D233" i="1"/>
  <c r="C275" i="1"/>
  <c r="D275" i="1"/>
  <c r="E275" i="1"/>
  <c r="C317" i="1"/>
  <c r="D317" i="1"/>
  <c r="D357" i="1"/>
  <c r="C399" i="1"/>
  <c r="D399" i="1"/>
  <c r="C357" i="1"/>
  <c r="H11" i="5" l="1"/>
  <c r="H10" i="5"/>
  <c r="H8" i="5"/>
  <c r="H9" i="5"/>
  <c r="G354" i="1"/>
  <c r="F354" i="1"/>
  <c r="H89" i="1"/>
  <c r="G149" i="1"/>
  <c r="F149" i="1"/>
  <c r="H60" i="1"/>
  <c r="H58" i="1"/>
  <c r="H50" i="1"/>
  <c r="G356" i="1"/>
  <c r="F356" i="1"/>
  <c r="H356" i="1" s="1"/>
  <c r="G352" i="1"/>
  <c r="F352" i="1"/>
  <c r="H62" i="1"/>
  <c r="G347" i="1"/>
  <c r="F347" i="1"/>
  <c r="H347" i="1" s="1"/>
  <c r="G140" i="1"/>
  <c r="F140" i="1"/>
  <c r="H140" i="1" s="1"/>
  <c r="G345" i="1"/>
  <c r="F345" i="1"/>
  <c r="H345" i="1" s="1"/>
  <c r="G138" i="1"/>
  <c r="F138" i="1"/>
  <c r="H138" i="1" s="1"/>
  <c r="G343" i="1"/>
  <c r="F343" i="1"/>
  <c r="G136" i="1"/>
  <c r="F136" i="1"/>
  <c r="G341" i="1"/>
  <c r="F341" i="1"/>
  <c r="H341" i="1" s="1"/>
  <c r="G130" i="1"/>
  <c r="F130" i="1"/>
  <c r="H130" i="1" s="1"/>
  <c r="G335" i="1"/>
  <c r="F335" i="1"/>
  <c r="E357" i="1"/>
  <c r="G147" i="1"/>
  <c r="F147" i="1"/>
  <c r="H147" i="1" s="1"/>
  <c r="G144" i="1"/>
  <c r="F144" i="1"/>
  <c r="G349" i="1"/>
  <c r="F349" i="1"/>
  <c r="H349" i="1" s="1"/>
  <c r="G142" i="1"/>
  <c r="F142" i="1"/>
  <c r="H142" i="1" s="1"/>
  <c r="H54" i="1"/>
  <c r="G482" i="1"/>
  <c r="G232" i="1"/>
  <c r="G480" i="1"/>
  <c r="G105" i="1"/>
  <c r="E193" i="1"/>
  <c r="C151" i="1"/>
  <c r="F482" i="1"/>
  <c r="H482" i="1" s="1"/>
  <c r="F232" i="1"/>
  <c r="H232" i="1" s="1"/>
  <c r="G110" i="1"/>
  <c r="G315" i="1"/>
  <c r="G69" i="1"/>
  <c r="F480" i="1"/>
  <c r="G108" i="1"/>
  <c r="G313" i="1"/>
  <c r="G67" i="1"/>
  <c r="G106" i="1"/>
  <c r="F105" i="1"/>
  <c r="G476" i="1"/>
  <c r="G392" i="1"/>
  <c r="G226" i="1"/>
  <c r="G433" i="1"/>
  <c r="G185" i="1"/>
  <c r="G474" i="1"/>
  <c r="G390" i="1"/>
  <c r="G224" i="1"/>
  <c r="G431" i="1"/>
  <c r="G307" i="1"/>
  <c r="G472" i="1"/>
  <c r="G388" i="1"/>
  <c r="G428" i="1"/>
  <c r="G180" i="1"/>
  <c r="G471" i="1"/>
  <c r="G387" i="1"/>
  <c r="G222" i="1"/>
  <c r="G427" i="1"/>
  <c r="G179" i="1"/>
  <c r="G468" i="1"/>
  <c r="G384" i="1"/>
  <c r="G220" i="1"/>
  <c r="G425" i="1"/>
  <c r="G177" i="1"/>
  <c r="G466" i="1"/>
  <c r="G382" i="1"/>
  <c r="G218" i="1"/>
  <c r="G423" i="1"/>
  <c r="G175" i="1"/>
  <c r="G464" i="1"/>
  <c r="G380" i="1"/>
  <c r="G174" i="1"/>
  <c r="G460" i="1"/>
  <c r="G376" i="1"/>
  <c r="G212" i="1"/>
  <c r="H251" i="1"/>
  <c r="F275" i="1"/>
  <c r="G169" i="1"/>
  <c r="F630" i="1"/>
  <c r="H630" i="1" s="1"/>
  <c r="G630" i="1"/>
  <c r="G150" i="1"/>
  <c r="G353" i="1"/>
  <c r="G189" i="1"/>
  <c r="G478" i="1"/>
  <c r="G146" i="1"/>
  <c r="G227" i="1"/>
  <c r="G310" i="1"/>
  <c r="G64" i="1"/>
  <c r="G103" i="1"/>
  <c r="G308" i="1"/>
  <c r="G62" i="1"/>
  <c r="G182" i="1"/>
  <c r="G101" i="1"/>
  <c r="G305" i="1"/>
  <c r="G60" i="1"/>
  <c r="G99" i="1"/>
  <c r="G302" i="1"/>
  <c r="G58" i="1"/>
  <c r="G97" i="1"/>
  <c r="G300" i="1"/>
  <c r="G56" i="1"/>
  <c r="G95" i="1"/>
  <c r="G298" i="1"/>
  <c r="F134" i="1"/>
  <c r="H134" i="1" s="1"/>
  <c r="G134" i="1"/>
  <c r="G54" i="1"/>
  <c r="G297" i="1"/>
  <c r="F420" i="1"/>
  <c r="H420" i="1" s="1"/>
  <c r="G420" i="1"/>
  <c r="F338" i="1"/>
  <c r="H338" i="1" s="1"/>
  <c r="G338" i="1"/>
  <c r="G254" i="1"/>
  <c r="F172" i="1"/>
  <c r="H172" i="1" s="1"/>
  <c r="G172" i="1"/>
  <c r="F92" i="1"/>
  <c r="H92" i="1" s="1"/>
  <c r="G92" i="1"/>
  <c r="F419" i="1"/>
  <c r="H419" i="1" s="1"/>
  <c r="G419" i="1"/>
  <c r="F337" i="1"/>
  <c r="H337" i="1" s="1"/>
  <c r="G337" i="1"/>
  <c r="G253" i="1"/>
  <c r="F171" i="1"/>
  <c r="H171" i="1" s="1"/>
  <c r="G171" i="1"/>
  <c r="F91" i="1"/>
  <c r="H91" i="1" s="1"/>
  <c r="G91" i="1"/>
  <c r="G294" i="1"/>
  <c r="G50" i="1"/>
  <c r="H459" i="1"/>
  <c r="H375" i="1"/>
  <c r="H211" i="1"/>
  <c r="H129" i="1"/>
  <c r="G89" i="1"/>
  <c r="F629" i="1"/>
  <c r="G629" i="1"/>
  <c r="G398" i="1"/>
  <c r="G355" i="1"/>
  <c r="G191" i="1"/>
  <c r="G148" i="1"/>
  <c r="G394" i="1"/>
  <c r="G145" i="1"/>
  <c r="G70" i="1"/>
  <c r="G109" i="1"/>
  <c r="G314" i="1"/>
  <c r="G107" i="1"/>
  <c r="G312" i="1"/>
  <c r="G66" i="1"/>
  <c r="G351" i="1"/>
  <c r="G311" i="1"/>
  <c r="G434" i="1"/>
  <c r="G350" i="1"/>
  <c r="G186" i="1"/>
  <c r="G475" i="1"/>
  <c r="G391" i="1"/>
  <c r="G225" i="1"/>
  <c r="G143" i="1"/>
  <c r="G432" i="1"/>
  <c r="G348" i="1"/>
  <c r="G184" i="1"/>
  <c r="G473" i="1"/>
  <c r="G389" i="1"/>
  <c r="G430" i="1"/>
  <c r="G306" i="1"/>
  <c r="G470" i="1"/>
  <c r="G386" i="1"/>
  <c r="G223" i="1"/>
  <c r="G141" i="1"/>
  <c r="G429" i="1"/>
  <c r="G346" i="1"/>
  <c r="G181" i="1"/>
  <c r="G469" i="1"/>
  <c r="G385" i="1"/>
  <c r="G221" i="1"/>
  <c r="G139" i="1"/>
  <c r="G426" i="1"/>
  <c r="G344" i="1"/>
  <c r="G178" i="1"/>
  <c r="G467" i="1"/>
  <c r="G383" i="1"/>
  <c r="G219" i="1"/>
  <c r="G137" i="1"/>
  <c r="G424" i="1"/>
  <c r="G342" i="1"/>
  <c r="G176" i="1"/>
  <c r="G465" i="1"/>
  <c r="G381" i="1"/>
  <c r="G217" i="1"/>
  <c r="G135" i="1"/>
  <c r="G422" i="1"/>
  <c r="G340" i="1"/>
  <c r="G379" i="1"/>
  <c r="G418" i="1"/>
  <c r="G336" i="1"/>
  <c r="G170" i="1"/>
  <c r="G375" i="1"/>
  <c r="H293" i="1"/>
  <c r="G211" i="1"/>
  <c r="G129" i="1"/>
  <c r="H49" i="1"/>
  <c r="F26" i="1"/>
  <c r="G459" i="1"/>
  <c r="G417" i="1"/>
  <c r="G439" i="1"/>
  <c r="G396" i="1"/>
  <c r="G230" i="1"/>
  <c r="G437" i="1"/>
  <c r="G228" i="1"/>
  <c r="G316" i="1"/>
  <c r="G68" i="1"/>
  <c r="E111" i="1"/>
  <c r="E441" i="1"/>
  <c r="F609" i="1"/>
  <c r="G440" i="1"/>
  <c r="G192" i="1"/>
  <c r="F110" i="1"/>
  <c r="H110" i="1" s="1"/>
  <c r="G481" i="1"/>
  <c r="G397" i="1"/>
  <c r="F315" i="1"/>
  <c r="G231" i="1"/>
  <c r="F69" i="1"/>
  <c r="G438" i="1"/>
  <c r="G190" i="1"/>
  <c r="F108" i="1"/>
  <c r="G479" i="1"/>
  <c r="G395" i="1"/>
  <c r="F313" i="1"/>
  <c r="H313" i="1" s="1"/>
  <c r="G229" i="1"/>
  <c r="F67" i="1"/>
  <c r="G436" i="1"/>
  <c r="G188" i="1"/>
  <c r="F106" i="1"/>
  <c r="G187" i="1"/>
  <c r="G65" i="1"/>
  <c r="F476" i="1"/>
  <c r="F392" i="1"/>
  <c r="F226" i="1"/>
  <c r="G104" i="1"/>
  <c r="F433" i="1"/>
  <c r="H433" i="1" s="1"/>
  <c r="G309" i="1"/>
  <c r="F185" i="1"/>
  <c r="H185" i="1" s="1"/>
  <c r="G63" i="1"/>
  <c r="F474" i="1"/>
  <c r="H474" i="1" s="1"/>
  <c r="F390" i="1"/>
  <c r="H390" i="1" s="1"/>
  <c r="F224" i="1"/>
  <c r="H224" i="1" s="1"/>
  <c r="G102" i="1"/>
  <c r="F431" i="1"/>
  <c r="F307" i="1"/>
  <c r="G183" i="1"/>
  <c r="F472" i="1"/>
  <c r="F388" i="1"/>
  <c r="F428" i="1"/>
  <c r="H428" i="1" s="1"/>
  <c r="G304" i="1"/>
  <c r="F180" i="1"/>
  <c r="H180" i="1" s="1"/>
  <c r="G61" i="1"/>
  <c r="F471" i="1"/>
  <c r="H471" i="1" s="1"/>
  <c r="F387" i="1"/>
  <c r="H387" i="1" s="1"/>
  <c r="F222" i="1"/>
  <c r="H222" i="1" s="1"/>
  <c r="G100" i="1"/>
  <c r="F427" i="1"/>
  <c r="H427" i="1" s="1"/>
  <c r="G303" i="1"/>
  <c r="F179" i="1"/>
  <c r="H179" i="1" s="1"/>
  <c r="G59" i="1"/>
  <c r="F468" i="1"/>
  <c r="H468" i="1" s="1"/>
  <c r="F384" i="1"/>
  <c r="H384" i="1" s="1"/>
  <c r="F220" i="1"/>
  <c r="H220" i="1" s="1"/>
  <c r="G98" i="1"/>
  <c r="F425" i="1"/>
  <c r="G301" i="1"/>
  <c r="F177" i="1"/>
  <c r="G57" i="1"/>
  <c r="F466" i="1"/>
  <c r="F382" i="1"/>
  <c r="F218" i="1"/>
  <c r="G96" i="1"/>
  <c r="F423" i="1"/>
  <c r="H423" i="1" s="1"/>
  <c r="G299" i="1"/>
  <c r="F175" i="1"/>
  <c r="G55" i="1"/>
  <c r="F464" i="1"/>
  <c r="H464" i="1" s="1"/>
  <c r="F380" i="1"/>
  <c r="H380" i="1" s="1"/>
  <c r="F174" i="1"/>
  <c r="H174" i="1" s="1"/>
  <c r="G94" i="1"/>
  <c r="F339" i="1"/>
  <c r="G339" i="1"/>
  <c r="F133" i="1"/>
  <c r="G133" i="1"/>
  <c r="E462" i="1"/>
  <c r="E378" i="1"/>
  <c r="E296" i="1"/>
  <c r="E214" i="1"/>
  <c r="E132" i="1"/>
  <c r="E52" i="1"/>
  <c r="E461" i="1"/>
  <c r="E377" i="1"/>
  <c r="E295" i="1"/>
  <c r="E213" i="1"/>
  <c r="E131" i="1"/>
  <c r="E151" i="1" s="1"/>
  <c r="E51" i="1"/>
  <c r="F460" i="1"/>
  <c r="F376" i="1"/>
  <c r="F212" i="1"/>
  <c r="H212" i="1" s="1"/>
  <c r="G90" i="1"/>
  <c r="H543" i="1"/>
  <c r="F567" i="1"/>
  <c r="F417" i="1"/>
  <c r="G293" i="1"/>
  <c r="F169" i="1"/>
  <c r="G49" i="1"/>
  <c r="F22" i="1"/>
  <c r="F29" i="1"/>
  <c r="E26" i="2"/>
  <c r="F26" i="2" s="1"/>
  <c r="G26" i="2" s="1"/>
  <c r="H26" i="2" s="1"/>
  <c r="I26" i="2" s="1"/>
  <c r="J26" i="2" s="1"/>
  <c r="K26" i="2" s="1"/>
  <c r="L26" i="2" s="1"/>
  <c r="M26" i="2" s="1"/>
  <c r="E5" i="2"/>
  <c r="F5" i="2" s="1"/>
  <c r="G5" i="2" s="1"/>
  <c r="H5" i="2" s="1"/>
  <c r="I5" i="2" s="1"/>
  <c r="J5" i="2" s="1"/>
  <c r="K5" i="2" s="1"/>
  <c r="L5" i="2" s="1"/>
  <c r="M5" i="2" s="1"/>
  <c r="N5" i="2"/>
  <c r="E56" i="2"/>
  <c r="D58" i="2"/>
  <c r="D15" i="2" s="1"/>
  <c r="E73" i="2"/>
  <c r="D75" i="2"/>
  <c r="D19" i="2" s="1"/>
  <c r="E89" i="2"/>
  <c r="D90" i="2"/>
  <c r="D21" i="2" s="1"/>
  <c r="B39" i="2"/>
  <c r="E76" i="2"/>
  <c r="D81" i="2"/>
  <c r="D23" i="2" s="1"/>
  <c r="H704" i="1"/>
  <c r="D64" i="2"/>
  <c r="D13" i="2" s="1"/>
  <c r="E63" i="2"/>
  <c r="E91" i="2"/>
  <c r="D99" i="2"/>
  <c r="D27" i="2" s="1"/>
  <c r="E111" i="2"/>
  <c r="D113" i="2"/>
  <c r="B113" i="3"/>
  <c r="B115" i="3" s="1"/>
  <c r="B54" i="3" s="1"/>
  <c r="B18" i="3" s="1"/>
  <c r="H545" i="1"/>
  <c r="H5" i="6"/>
  <c r="H6" i="6"/>
  <c r="H7" i="6"/>
  <c r="H9" i="6"/>
  <c r="H8" i="6"/>
  <c r="H10" i="6"/>
  <c r="H546" i="1"/>
  <c r="H6" i="5"/>
  <c r="H652" i="1"/>
  <c r="H644" i="1"/>
  <c r="H636" i="1"/>
  <c r="H650" i="1"/>
  <c r="H642" i="1"/>
  <c r="H639" i="1"/>
  <c r="H633" i="1"/>
  <c r="J73" i="9"/>
  <c r="I74" i="9"/>
  <c r="G73" i="9"/>
  <c r="F74" i="9"/>
  <c r="L34" i="10"/>
  <c r="L44" i="10" s="1"/>
  <c r="J44" i="10"/>
  <c r="H216" i="1"/>
  <c r="G72" i="10"/>
  <c r="H72" i="10" s="1"/>
  <c r="G73" i="10"/>
  <c r="H73" i="10" s="1"/>
  <c r="J23" i="11"/>
  <c r="K23" i="11" s="1"/>
  <c r="K32" i="11" s="1"/>
  <c r="I32" i="11"/>
  <c r="H627" i="1"/>
  <c r="J48" i="10"/>
  <c r="L48" i="10" s="1"/>
  <c r="L54" i="10" s="1"/>
  <c r="G30" i="11"/>
  <c r="L73" i="9" l="1"/>
  <c r="N73" i="9"/>
  <c r="H31" i="1"/>
  <c r="H12" i="5"/>
  <c r="H18" i="6"/>
  <c r="F91" i="2"/>
  <c r="E99" i="2"/>
  <c r="E27" i="2" s="1"/>
  <c r="F89" i="2"/>
  <c r="E90" i="2"/>
  <c r="E21" i="2" s="1"/>
  <c r="F56" i="2"/>
  <c r="E58" i="2"/>
  <c r="E15" i="2" s="1"/>
  <c r="H169" i="1"/>
  <c r="F193" i="1"/>
  <c r="F8" i="1"/>
  <c r="H376" i="1"/>
  <c r="F213" i="1"/>
  <c r="H213" i="1" s="1"/>
  <c r="G213" i="1"/>
  <c r="E233" i="1"/>
  <c r="F52" i="1"/>
  <c r="G52" i="1"/>
  <c r="F378" i="1"/>
  <c r="H378" i="1" s="1"/>
  <c r="G378" i="1"/>
  <c r="H701" i="1"/>
  <c r="M72" i="10"/>
  <c r="N72" i="10" s="1"/>
  <c r="M73" i="10"/>
  <c r="N73" i="10" s="1"/>
  <c r="J74" i="9"/>
  <c r="I75" i="9"/>
  <c r="H703" i="1"/>
  <c r="H33" i="1"/>
  <c r="D114" i="2"/>
  <c r="D116" i="2" s="1"/>
  <c r="D55" i="2" s="1"/>
  <c r="D18" i="2" s="1"/>
  <c r="D17" i="2"/>
  <c r="F63" i="2"/>
  <c r="E64" i="2"/>
  <c r="E13" i="2" s="1"/>
  <c r="F76" i="2"/>
  <c r="E81" i="2"/>
  <c r="E23" i="2" s="1"/>
  <c r="H434" i="1"/>
  <c r="H186" i="1"/>
  <c r="H350" i="1"/>
  <c r="H310" i="1"/>
  <c r="H602" i="1"/>
  <c r="H518" i="1"/>
  <c r="H104" i="1"/>
  <c r="H560" i="1"/>
  <c r="H64" i="1"/>
  <c r="H268" i="1"/>
  <c r="H460" i="1"/>
  <c r="F295" i="1"/>
  <c r="G295" i="1"/>
  <c r="E317" i="1"/>
  <c r="F132" i="1"/>
  <c r="H132" i="1" s="1"/>
  <c r="G132" i="1"/>
  <c r="F462" i="1"/>
  <c r="H462" i="1" s="1"/>
  <c r="G462" i="1"/>
  <c r="H175" i="1"/>
  <c r="F14" i="1"/>
  <c r="I73" i="10"/>
  <c r="J73" i="10" s="1"/>
  <c r="I72" i="10"/>
  <c r="J72" i="10" s="1"/>
  <c r="K72" i="10" s="1"/>
  <c r="P72" i="10" s="1"/>
  <c r="B38" i="3"/>
  <c r="F111" i="2"/>
  <c r="E113" i="2"/>
  <c r="E75" i="2"/>
  <c r="E19" i="2" s="1"/>
  <c r="F73" i="2"/>
  <c r="F16" i="1"/>
  <c r="L23" i="11"/>
  <c r="L32" i="11" s="1"/>
  <c r="K73" i="10"/>
  <c r="P73" i="10" s="1"/>
  <c r="R73" i="10" s="1"/>
  <c r="G74" i="9"/>
  <c r="L74" i="9" s="1"/>
  <c r="N74" i="9" s="1"/>
  <c r="F75" i="9"/>
  <c r="N26" i="2"/>
  <c r="G8" i="1"/>
  <c r="F12" i="1"/>
  <c r="G22" i="1"/>
  <c r="H392" i="1"/>
  <c r="H67" i="1"/>
  <c r="F28" i="1"/>
  <c r="F30" i="1"/>
  <c r="G29" i="1"/>
  <c r="H18" i="1"/>
  <c r="F18" i="1"/>
  <c r="F31" i="1"/>
  <c r="H629" i="1"/>
  <c r="F654" i="1"/>
  <c r="H693" i="1"/>
  <c r="H23" i="1"/>
  <c r="H687" i="1"/>
  <c r="H17" i="1"/>
  <c r="H476" i="1"/>
  <c r="H688" i="1"/>
  <c r="G27" i="1"/>
  <c r="F20" i="1"/>
  <c r="G111" i="1"/>
  <c r="G275" i="1"/>
  <c r="G13" i="1"/>
  <c r="G15" i="1"/>
  <c r="G19" i="1"/>
  <c r="G25" i="1"/>
  <c r="F24" i="1"/>
  <c r="G193" i="1"/>
  <c r="F13" i="1"/>
  <c r="H144" i="1"/>
  <c r="H335" i="1"/>
  <c r="F357" i="1"/>
  <c r="F9" i="1"/>
  <c r="H20" i="1"/>
  <c r="F111" i="1"/>
  <c r="H417" i="1"/>
  <c r="F441" i="1"/>
  <c r="F51" i="1"/>
  <c r="G51" i="1"/>
  <c r="G71" i="1" s="1"/>
  <c r="E71" i="1"/>
  <c r="F377" i="1"/>
  <c r="H377" i="1" s="1"/>
  <c r="G377" i="1"/>
  <c r="E399" i="1"/>
  <c r="F214" i="1"/>
  <c r="H214" i="1" s="1"/>
  <c r="G214" i="1"/>
  <c r="G233" i="1" s="1"/>
  <c r="G14" i="1"/>
  <c r="G16" i="1"/>
  <c r="G18" i="1"/>
  <c r="G20" i="1"/>
  <c r="G24" i="1"/>
  <c r="G26" i="1"/>
  <c r="H678" i="1"/>
  <c r="H8" i="1"/>
  <c r="H690" i="1"/>
  <c r="H694" i="1"/>
  <c r="G31" i="1"/>
  <c r="H683" i="1"/>
  <c r="H13" i="1"/>
  <c r="G357" i="1"/>
  <c r="H24" i="1"/>
  <c r="H679" i="1"/>
  <c r="H9" i="1"/>
  <c r="F19" i="1"/>
  <c r="F21" i="1"/>
  <c r="F131" i="1"/>
  <c r="G131" i="1"/>
  <c r="F461" i="1"/>
  <c r="H461" i="1" s="1"/>
  <c r="G461" i="1"/>
  <c r="E483" i="1"/>
  <c r="F296" i="1"/>
  <c r="H296" i="1" s="1"/>
  <c r="G296" i="1"/>
  <c r="G317" i="1" s="1"/>
  <c r="G12" i="1"/>
  <c r="H339" i="1"/>
  <c r="H226" i="1"/>
  <c r="G151" i="1"/>
  <c r="F27" i="1"/>
  <c r="G654" i="1"/>
  <c r="G9" i="1"/>
  <c r="G441" i="1"/>
  <c r="G17" i="1"/>
  <c r="G21" i="1"/>
  <c r="G23" i="1"/>
  <c r="G28" i="1"/>
  <c r="G30" i="1"/>
  <c r="F23" i="1"/>
  <c r="F25" i="1"/>
  <c r="F15" i="1"/>
  <c r="F17" i="1"/>
  <c r="H689" i="1"/>
  <c r="H19" i="1"/>
  <c r="P92" i="10" l="1"/>
  <c r="P94" i="10" s="1"/>
  <c r="R72" i="10"/>
  <c r="R92" i="10" s="1"/>
  <c r="H51" i="1"/>
  <c r="F10" i="1"/>
  <c r="F71" i="1"/>
  <c r="H505" i="1"/>
  <c r="H589" i="1"/>
  <c r="H297" i="1"/>
  <c r="H379" i="1"/>
  <c r="H255" i="1"/>
  <c r="H547" i="1"/>
  <c r="H631" i="1"/>
  <c r="H173" i="1"/>
  <c r="H421" i="1"/>
  <c r="H215" i="1"/>
  <c r="H53" i="1"/>
  <c r="H93" i="1"/>
  <c r="H463" i="1"/>
  <c r="E114" i="2"/>
  <c r="E116" i="2" s="1"/>
  <c r="E55" i="2" s="1"/>
  <c r="E18" i="2" s="1"/>
  <c r="E39" i="2" s="1"/>
  <c r="E17" i="2"/>
  <c r="H295" i="1"/>
  <c r="F317" i="1"/>
  <c r="G63" i="2"/>
  <c r="F64" i="2"/>
  <c r="F13" i="2" s="1"/>
  <c r="G73" i="2"/>
  <c r="F75" i="2"/>
  <c r="F19" i="2" s="1"/>
  <c r="G111" i="2"/>
  <c r="F113" i="2"/>
  <c r="F483" i="1"/>
  <c r="G11" i="1"/>
  <c r="F58" i="2"/>
  <c r="F15" i="2" s="1"/>
  <c r="G56" i="2"/>
  <c r="F233" i="1"/>
  <c r="H14" i="1"/>
  <c r="H684" i="1"/>
  <c r="G76" i="2"/>
  <c r="F81" i="2"/>
  <c r="F23" i="2" s="1"/>
  <c r="D39" i="2"/>
  <c r="J75" i="9"/>
  <c r="I76" i="9"/>
  <c r="H52" i="1"/>
  <c r="F11" i="1"/>
  <c r="F35" i="1" s="1"/>
  <c r="F99" i="2"/>
  <c r="F27" i="2" s="1"/>
  <c r="G91" i="2"/>
  <c r="G483" i="1"/>
  <c r="H131" i="1"/>
  <c r="F151" i="1"/>
  <c r="G399" i="1"/>
  <c r="G669" i="1" s="1"/>
  <c r="D5" i="8" s="1"/>
  <c r="G10" i="1"/>
  <c r="H698" i="1"/>
  <c r="H28" i="1"/>
  <c r="H133" i="1"/>
  <c r="G75" i="9"/>
  <c r="F76" i="9"/>
  <c r="H695" i="1"/>
  <c r="H25" i="1"/>
  <c r="F399" i="1"/>
  <c r="F90" i="2"/>
  <c r="F21" i="2" s="1"/>
  <c r="G89" i="2"/>
  <c r="G35" i="1" l="1"/>
  <c r="L75" i="9"/>
  <c r="N75" i="9" s="1"/>
  <c r="J76" i="9"/>
  <c r="I77" i="9"/>
  <c r="H56" i="2"/>
  <c r="G58" i="2"/>
  <c r="G15" i="2" s="1"/>
  <c r="H111" i="2"/>
  <c r="G113" i="2"/>
  <c r="H680" i="1"/>
  <c r="H10" i="1"/>
  <c r="G81" i="2"/>
  <c r="G23" i="2" s="1"/>
  <c r="H76" i="2"/>
  <c r="H89" i="2"/>
  <c r="G90" i="2"/>
  <c r="G21" i="2" s="1"/>
  <c r="H91" i="2"/>
  <c r="G99" i="2"/>
  <c r="G27" i="2" s="1"/>
  <c r="H681" i="1"/>
  <c r="H11" i="1"/>
  <c r="G75" i="2"/>
  <c r="G19" i="2" s="1"/>
  <c r="H73" i="2"/>
  <c r="H682" i="1"/>
  <c r="H12" i="1"/>
  <c r="F669" i="1"/>
  <c r="G76" i="9"/>
  <c r="L76" i="9" s="1"/>
  <c r="N76" i="9" s="1"/>
  <c r="F77" i="9"/>
  <c r="F114" i="2"/>
  <c r="F116" i="2" s="1"/>
  <c r="F55" i="2" s="1"/>
  <c r="F18" i="2" s="1"/>
  <c r="F17" i="2"/>
  <c r="H63" i="2"/>
  <c r="G64" i="2"/>
  <c r="G13" i="2" s="1"/>
  <c r="H64" i="2" l="1"/>
  <c r="H13" i="2" s="1"/>
  <c r="I63" i="2"/>
  <c r="G77" i="9"/>
  <c r="F78" i="9"/>
  <c r="I91" i="2"/>
  <c r="H99" i="2"/>
  <c r="H27" i="2" s="1"/>
  <c r="I56" i="2"/>
  <c r="H58" i="2"/>
  <c r="H15" i="2" s="1"/>
  <c r="I76" i="2"/>
  <c r="H81" i="2"/>
  <c r="H23" i="2" s="1"/>
  <c r="G17" i="2"/>
  <c r="G114" i="2"/>
  <c r="G116" i="2" s="1"/>
  <c r="G55" i="2" s="1"/>
  <c r="G18" i="2" s="1"/>
  <c r="G39" i="2" s="1"/>
  <c r="J77" i="9"/>
  <c r="I78" i="9"/>
  <c r="F39" i="2"/>
  <c r="I73" i="2"/>
  <c r="H75" i="2"/>
  <c r="H19" i="2" s="1"/>
  <c r="I89" i="2"/>
  <c r="H90" i="2"/>
  <c r="H21" i="2" s="1"/>
  <c r="I111" i="2"/>
  <c r="H113" i="2"/>
  <c r="J89" i="2" l="1"/>
  <c r="I90" i="2"/>
  <c r="I21" i="2" s="1"/>
  <c r="J91" i="2"/>
  <c r="I99" i="2"/>
  <c r="I27" i="2" s="1"/>
  <c r="H114" i="2"/>
  <c r="H116" i="2" s="1"/>
  <c r="H55" i="2" s="1"/>
  <c r="H18" i="2" s="1"/>
  <c r="H17" i="2"/>
  <c r="J78" i="9"/>
  <c r="I79" i="9"/>
  <c r="G78" i="9"/>
  <c r="F79" i="9"/>
  <c r="J111" i="2"/>
  <c r="I113" i="2"/>
  <c r="I75" i="2"/>
  <c r="I19" i="2" s="1"/>
  <c r="J73" i="2"/>
  <c r="J56" i="2"/>
  <c r="I58" i="2"/>
  <c r="I15" i="2" s="1"/>
  <c r="L77" i="9"/>
  <c r="J76" i="2"/>
  <c r="I81" i="2"/>
  <c r="I23" i="2" s="1"/>
  <c r="J63" i="2"/>
  <c r="I64" i="2"/>
  <c r="I13" i="2" s="1"/>
  <c r="L78" i="9" l="1"/>
  <c r="N78" i="9" s="1"/>
  <c r="I114" i="2"/>
  <c r="I116" i="2" s="1"/>
  <c r="I55" i="2" s="1"/>
  <c r="I18" i="2" s="1"/>
  <c r="I39" i="2" s="1"/>
  <c r="I17" i="2"/>
  <c r="K76" i="2"/>
  <c r="J81" i="2"/>
  <c r="J23" i="2" s="1"/>
  <c r="J58" i="2"/>
  <c r="J15" i="2" s="1"/>
  <c r="K56" i="2"/>
  <c r="K111" i="2"/>
  <c r="J113" i="2"/>
  <c r="J99" i="2"/>
  <c r="J27" i="2" s="1"/>
  <c r="K91" i="2"/>
  <c r="J79" i="9"/>
  <c r="I80" i="9"/>
  <c r="K63" i="2"/>
  <c r="J64" i="2"/>
  <c r="J13" i="2" s="1"/>
  <c r="K73" i="2"/>
  <c r="J75" i="2"/>
  <c r="J19" i="2" s="1"/>
  <c r="G79" i="9"/>
  <c r="L79" i="9" s="1"/>
  <c r="N79" i="9" s="1"/>
  <c r="F80" i="9"/>
  <c r="N77" i="9"/>
  <c r="H39" i="2"/>
  <c r="J90" i="2"/>
  <c r="J21" i="2" s="1"/>
  <c r="K89" i="2"/>
  <c r="L89" i="2" l="1"/>
  <c r="K90" i="2"/>
  <c r="K21" i="2" s="1"/>
  <c r="J80" i="9"/>
  <c r="I81" i="9"/>
  <c r="J114" i="2"/>
  <c r="J116" i="2" s="1"/>
  <c r="J55" i="2" s="1"/>
  <c r="J18" i="2" s="1"/>
  <c r="J17" i="2"/>
  <c r="K75" i="2"/>
  <c r="K19" i="2" s="1"/>
  <c r="L73" i="2"/>
  <c r="L111" i="2"/>
  <c r="K113" i="2"/>
  <c r="K81" i="2"/>
  <c r="K23" i="2" s="1"/>
  <c r="L76" i="2"/>
  <c r="G80" i="9"/>
  <c r="F81" i="9"/>
  <c r="L91" i="2"/>
  <c r="K99" i="2"/>
  <c r="K27" i="2" s="1"/>
  <c r="L56" i="2"/>
  <c r="K58" i="2"/>
  <c r="K15" i="2" s="1"/>
  <c r="L63" i="2"/>
  <c r="K64" i="2"/>
  <c r="K13" i="2" s="1"/>
  <c r="L80" i="9" l="1"/>
  <c r="N80" i="9" s="1"/>
  <c r="M76" i="2"/>
  <c r="M81" i="2" s="1"/>
  <c r="M23" i="2" s="1"/>
  <c r="N23" i="2" s="1"/>
  <c r="L81" i="2"/>
  <c r="L23" i="2" s="1"/>
  <c r="M73" i="2"/>
  <c r="M75" i="2" s="1"/>
  <c r="M19" i="2" s="1"/>
  <c r="N19" i="2" s="1"/>
  <c r="L75" i="2"/>
  <c r="L19" i="2" s="1"/>
  <c r="J81" i="9"/>
  <c r="I82" i="9"/>
  <c r="L64" i="2"/>
  <c r="L13" i="2" s="1"/>
  <c r="M63" i="2"/>
  <c r="M64" i="2" s="1"/>
  <c r="M13" i="2" s="1"/>
  <c r="M91" i="2"/>
  <c r="M99" i="2" s="1"/>
  <c r="M27" i="2" s="1"/>
  <c r="N27" i="2" s="1"/>
  <c r="H651" i="1" s="1"/>
  <c r="L99" i="2"/>
  <c r="L27" i="2" s="1"/>
  <c r="G81" i="9"/>
  <c r="F82" i="9"/>
  <c r="K17" i="2"/>
  <c r="K114" i="2"/>
  <c r="K116" i="2" s="1"/>
  <c r="K55" i="2" s="1"/>
  <c r="K18" i="2" s="1"/>
  <c r="M56" i="2"/>
  <c r="M58" i="2" s="1"/>
  <c r="M15" i="2" s="1"/>
  <c r="N15" i="2" s="1"/>
  <c r="L58" i="2"/>
  <c r="L15" i="2" s="1"/>
  <c r="M111" i="2"/>
  <c r="M113" i="2" s="1"/>
  <c r="L113" i="2"/>
  <c r="J39" i="2"/>
  <c r="M89" i="2"/>
  <c r="M90" i="2" s="1"/>
  <c r="M21" i="2" s="1"/>
  <c r="N21" i="2" s="1"/>
  <c r="L90" i="2"/>
  <c r="L21" i="2" s="1"/>
  <c r="L81" i="9" l="1"/>
  <c r="N81" i="9" s="1"/>
  <c r="G82" i="9"/>
  <c r="F83" i="9"/>
  <c r="N13" i="2"/>
  <c r="H137" i="1"/>
  <c r="H97" i="1"/>
  <c r="H259" i="1"/>
  <c r="H467" i="1"/>
  <c r="H593" i="1"/>
  <c r="H509" i="1"/>
  <c r="H383" i="1"/>
  <c r="H301" i="1"/>
  <c r="H219" i="1"/>
  <c r="H57" i="1"/>
  <c r="H551" i="1"/>
  <c r="H635" i="1"/>
  <c r="H343" i="1"/>
  <c r="H425" i="1"/>
  <c r="H177" i="1"/>
  <c r="H478" i="1"/>
  <c r="H228" i="1"/>
  <c r="H562" i="1"/>
  <c r="H188" i="1"/>
  <c r="H520" i="1"/>
  <c r="H394" i="1"/>
  <c r="H312" i="1"/>
  <c r="H436" i="1"/>
  <c r="H146" i="1"/>
  <c r="H66" i="1"/>
  <c r="H604" i="1"/>
  <c r="H270" i="1"/>
  <c r="H646" i="1"/>
  <c r="H352" i="1"/>
  <c r="H106" i="1"/>
  <c r="L114" i="2"/>
  <c r="L116" i="2" s="1"/>
  <c r="L55" i="2" s="1"/>
  <c r="L18" i="2" s="1"/>
  <c r="L39" i="2" s="1"/>
  <c r="L17" i="2"/>
  <c r="K39" i="2"/>
  <c r="J82" i="9"/>
  <c r="I83" i="9"/>
  <c r="H393" i="1"/>
  <c r="H351" i="1"/>
  <c r="H519" i="1"/>
  <c r="H187" i="1"/>
  <c r="H435" i="1"/>
  <c r="H145" i="1"/>
  <c r="H311" i="1"/>
  <c r="H65" i="1"/>
  <c r="H269" i="1"/>
  <c r="H227" i="1"/>
  <c r="H561" i="1"/>
  <c r="H477" i="1"/>
  <c r="H603" i="1"/>
  <c r="H645" i="1"/>
  <c r="H105" i="1"/>
  <c r="M114" i="2"/>
  <c r="M116" i="2" s="1"/>
  <c r="M55" i="2" s="1"/>
  <c r="M18" i="2" s="1"/>
  <c r="M17" i="2"/>
  <c r="N17" i="2" s="1"/>
  <c r="H702" i="1"/>
  <c r="H32" i="1"/>
  <c r="H565" i="1"/>
  <c r="H191" i="1"/>
  <c r="H439" i="1"/>
  <c r="H273" i="1"/>
  <c r="H523" i="1"/>
  <c r="H355" i="1"/>
  <c r="H109" i="1"/>
  <c r="H231" i="1"/>
  <c r="H481" i="1"/>
  <c r="H397" i="1"/>
  <c r="H607" i="1"/>
  <c r="H649" i="1"/>
  <c r="H149" i="1"/>
  <c r="H69" i="1"/>
  <c r="H315" i="1"/>
  <c r="H700" i="1" l="1"/>
  <c r="H30" i="1"/>
  <c r="H697" i="1"/>
  <c r="H27" i="1"/>
  <c r="H592" i="1"/>
  <c r="H424" i="1"/>
  <c r="H176" i="1"/>
  <c r="H599" i="1"/>
  <c r="H508" i="1"/>
  <c r="H96" i="1"/>
  <c r="H473" i="1"/>
  <c r="H342" i="1"/>
  <c r="H183" i="1"/>
  <c r="H258" i="1"/>
  <c r="H300" i="1"/>
  <c r="H515" i="1"/>
  <c r="H389" i="1"/>
  <c r="H56" i="1"/>
  <c r="H265" i="1"/>
  <c r="H550" i="1"/>
  <c r="H557" i="1"/>
  <c r="H634" i="1"/>
  <c r="H641" i="1"/>
  <c r="H466" i="1"/>
  <c r="H136" i="1"/>
  <c r="H307" i="1"/>
  <c r="H431" i="1"/>
  <c r="H382" i="1"/>
  <c r="H218" i="1"/>
  <c r="H68" i="1"/>
  <c r="H564" i="1"/>
  <c r="H522" i="1"/>
  <c r="H230" i="1"/>
  <c r="H438" i="1"/>
  <c r="H190" i="1"/>
  <c r="H396" i="1"/>
  <c r="H314" i="1"/>
  <c r="H148" i="1"/>
  <c r="H606" i="1"/>
  <c r="H272" i="1"/>
  <c r="H648" i="1"/>
  <c r="H480" i="1"/>
  <c r="H354" i="1"/>
  <c r="H108" i="1"/>
  <c r="M39" i="2"/>
  <c r="N18" i="2"/>
  <c r="H696" i="1"/>
  <c r="H26" i="1"/>
  <c r="J83" i="9"/>
  <c r="I84" i="9"/>
  <c r="G83" i="9"/>
  <c r="L83" i="9" s="1"/>
  <c r="N83" i="9" s="1"/>
  <c r="F84" i="9"/>
  <c r="H686" i="1"/>
  <c r="H16" i="1"/>
  <c r="L82" i="9"/>
  <c r="N82" i="9" s="1"/>
  <c r="G84" i="9" l="1"/>
  <c r="F85" i="9"/>
  <c r="N39" i="2"/>
  <c r="H640" i="1"/>
  <c r="H556" i="1"/>
  <c r="H264" i="1"/>
  <c r="H430" i="1"/>
  <c r="H598" i="1"/>
  <c r="H472" i="1"/>
  <c r="H306" i="1"/>
  <c r="H182" i="1"/>
  <c r="H514" i="1"/>
  <c r="H388" i="1"/>
  <c r="H399" i="1"/>
  <c r="H483" i="1"/>
  <c r="H567" i="1"/>
  <c r="H357" i="1"/>
  <c r="J84" i="9"/>
  <c r="I85" i="9"/>
  <c r="H317" i="1"/>
  <c r="H193" i="1"/>
  <c r="H654" i="1"/>
  <c r="H685" i="1"/>
  <c r="H15" i="1"/>
  <c r="H71" i="1"/>
  <c r="H275" i="1"/>
  <c r="H111" i="1"/>
  <c r="H441" i="1"/>
  <c r="H699" i="1"/>
  <c r="H29" i="1"/>
  <c r="H233" i="1"/>
  <c r="H151" i="1"/>
  <c r="H692" i="1"/>
  <c r="H22" i="1"/>
  <c r="H525" i="1"/>
  <c r="H609" i="1"/>
  <c r="J85" i="9" l="1"/>
  <c r="I86" i="9"/>
  <c r="H669" i="1"/>
  <c r="H691" i="1"/>
  <c r="H706" i="1" s="1"/>
  <c r="H21" i="1"/>
  <c r="H35" i="1"/>
  <c r="G85" i="9"/>
  <c r="L85" i="9" s="1"/>
  <c r="N85" i="9" s="1"/>
  <c r="F86" i="9"/>
  <c r="L84" i="9"/>
  <c r="N84" i="9" s="1"/>
  <c r="J707" i="1" l="1"/>
  <c r="I398" i="1"/>
  <c r="J398" i="1" s="1"/>
  <c r="K398" i="1" s="1"/>
  <c r="I99" i="1"/>
  <c r="J99" i="1" s="1"/>
  <c r="K99" i="1" s="1"/>
  <c r="I501" i="1"/>
  <c r="J501" i="1" s="1"/>
  <c r="K501" i="1" s="1"/>
  <c r="I150" i="1"/>
  <c r="J150" i="1" s="1"/>
  <c r="K150" i="1" s="1"/>
  <c r="I437" i="1"/>
  <c r="J437" i="1" s="1"/>
  <c r="K437" i="1" s="1"/>
  <c r="I294" i="1"/>
  <c r="J294" i="1" s="1"/>
  <c r="K294" i="1" s="1"/>
  <c r="I271" i="1"/>
  <c r="J271" i="1" s="1"/>
  <c r="K271" i="1" s="1"/>
  <c r="I563" i="1"/>
  <c r="J563" i="1" s="1"/>
  <c r="K563" i="1" s="1"/>
  <c r="I267" i="1"/>
  <c r="J267" i="1" s="1"/>
  <c r="K267" i="1" s="1"/>
  <c r="I512" i="1"/>
  <c r="J512" i="1" s="1"/>
  <c r="K512" i="1" s="1"/>
  <c r="I261" i="1"/>
  <c r="J261" i="1" s="1"/>
  <c r="K261" i="1" s="1"/>
  <c r="I391" i="1"/>
  <c r="J391" i="1" s="1"/>
  <c r="K391" i="1" s="1"/>
  <c r="I141" i="1"/>
  <c r="J141" i="1" s="1"/>
  <c r="K141" i="1" s="1"/>
  <c r="I429" i="1"/>
  <c r="J429" i="1" s="1"/>
  <c r="K429" i="1" s="1"/>
  <c r="I181" i="1"/>
  <c r="J181" i="1" s="1"/>
  <c r="K181" i="1" s="1"/>
  <c r="I385" i="1"/>
  <c r="J385" i="1" s="1"/>
  <c r="K385" i="1" s="1"/>
  <c r="I381" i="1"/>
  <c r="J381" i="1" s="1"/>
  <c r="K381" i="1" s="1"/>
  <c r="I479" i="1"/>
  <c r="J479" i="1" s="1"/>
  <c r="K479" i="1" s="1"/>
  <c r="I309" i="1"/>
  <c r="J309" i="1" s="1"/>
  <c r="K309" i="1" s="1"/>
  <c r="I266" i="1"/>
  <c r="J266" i="1" s="1"/>
  <c r="K266" i="1" s="1"/>
  <c r="I304" i="1"/>
  <c r="J304" i="1" s="1"/>
  <c r="K304" i="1" s="1"/>
  <c r="I263" i="1"/>
  <c r="J263" i="1" s="1"/>
  <c r="K263" i="1" s="1"/>
  <c r="I595" i="1"/>
  <c r="J595" i="1" s="1"/>
  <c r="K595" i="1" s="1"/>
  <c r="I510" i="1"/>
  <c r="J510" i="1" s="1"/>
  <c r="K510" i="1" s="1"/>
  <c r="I98" i="1"/>
  <c r="J98" i="1" s="1"/>
  <c r="K98" i="1" s="1"/>
  <c r="I55" i="1"/>
  <c r="I252" i="1"/>
  <c r="J252" i="1" s="1"/>
  <c r="K252" i="1" s="1"/>
  <c r="I70" i="1"/>
  <c r="I395" i="1"/>
  <c r="J395" i="1" s="1"/>
  <c r="K395" i="1" s="1"/>
  <c r="I524" i="1"/>
  <c r="J524" i="1" s="1"/>
  <c r="K524" i="1" s="1"/>
  <c r="I298" i="1"/>
  <c r="J298" i="1" s="1"/>
  <c r="K298" i="1" s="1"/>
  <c r="I566" i="1"/>
  <c r="J566" i="1" s="1"/>
  <c r="K566" i="1" s="1"/>
  <c r="I517" i="1"/>
  <c r="J517" i="1" s="1"/>
  <c r="K517" i="1" s="1"/>
  <c r="I511" i="1"/>
  <c r="J511" i="1" s="1"/>
  <c r="K511" i="1" s="1"/>
  <c r="I590" i="1"/>
  <c r="J590" i="1" s="1"/>
  <c r="K590" i="1" s="1"/>
  <c r="I588" i="1"/>
  <c r="J588" i="1" s="1"/>
  <c r="K588" i="1" s="1"/>
  <c r="I225" i="1"/>
  <c r="J225" i="1" s="1"/>
  <c r="K225" i="1" s="1"/>
  <c r="I558" i="1"/>
  <c r="J558" i="1" s="1"/>
  <c r="K558" i="1" s="1"/>
  <c r="I470" i="1"/>
  <c r="J470" i="1" s="1"/>
  <c r="K470" i="1" s="1"/>
  <c r="I346" i="1"/>
  <c r="J346" i="1" s="1"/>
  <c r="K346" i="1" s="1"/>
  <c r="I221" i="1"/>
  <c r="J221" i="1" s="1"/>
  <c r="K221" i="1" s="1"/>
  <c r="I552" i="1"/>
  <c r="J552" i="1" s="1"/>
  <c r="K552" i="1" s="1"/>
  <c r="I217" i="1"/>
  <c r="J217" i="1" s="1"/>
  <c r="K217" i="1" s="1"/>
  <c r="I548" i="1"/>
  <c r="J548" i="1" s="1"/>
  <c r="K548" i="1" s="1"/>
  <c r="I503" i="1"/>
  <c r="I544" i="1"/>
  <c r="J544" i="1" s="1"/>
  <c r="K544" i="1" s="1"/>
  <c r="I107" i="1"/>
  <c r="J107" i="1" s="1"/>
  <c r="K107" i="1" s="1"/>
  <c r="I229" i="1"/>
  <c r="J229" i="1" s="1"/>
  <c r="K229" i="1" s="1"/>
  <c r="I303" i="1"/>
  <c r="J303" i="1" s="1"/>
  <c r="K303" i="1" s="1"/>
  <c r="I260" i="1"/>
  <c r="J260" i="1" s="1"/>
  <c r="K260" i="1" s="1"/>
  <c r="I591" i="1"/>
  <c r="J591" i="1" s="1"/>
  <c r="K591" i="1" s="1"/>
  <c r="I506" i="1"/>
  <c r="J506" i="1" s="1"/>
  <c r="K506" i="1" s="1"/>
  <c r="I353" i="1"/>
  <c r="J353" i="1" s="1"/>
  <c r="K353" i="1" s="1"/>
  <c r="I95" i="1"/>
  <c r="J95" i="1" s="1"/>
  <c r="K95" i="1" s="1"/>
  <c r="I302" i="1"/>
  <c r="J302" i="1" s="1"/>
  <c r="K302" i="1" s="1"/>
  <c r="I254" i="1"/>
  <c r="J254" i="1" s="1"/>
  <c r="K254" i="1" s="1"/>
  <c r="I308" i="1"/>
  <c r="J308" i="1" s="1"/>
  <c r="K308" i="1" s="1"/>
  <c r="I597" i="1"/>
  <c r="J597" i="1" s="1"/>
  <c r="K597" i="1" s="1"/>
  <c r="I257" i="1"/>
  <c r="J257" i="1" s="1"/>
  <c r="K257" i="1" s="1"/>
  <c r="I587" i="1"/>
  <c r="I143" i="1"/>
  <c r="J143" i="1" s="1"/>
  <c r="K143" i="1" s="1"/>
  <c r="I432" i="1"/>
  <c r="J432" i="1" s="1"/>
  <c r="K432" i="1" s="1"/>
  <c r="I184" i="1"/>
  <c r="J184" i="1" s="1"/>
  <c r="K184" i="1" s="1"/>
  <c r="I386" i="1"/>
  <c r="J386" i="1" s="1"/>
  <c r="K386" i="1" s="1"/>
  <c r="I139" i="1"/>
  <c r="J139" i="1" s="1"/>
  <c r="K139" i="1" s="1"/>
  <c r="I426" i="1"/>
  <c r="J426" i="1" s="1"/>
  <c r="K426" i="1" s="1"/>
  <c r="I178" i="1"/>
  <c r="J178" i="1" s="1"/>
  <c r="K178" i="1" s="1"/>
  <c r="I135" i="1"/>
  <c r="J135" i="1" s="1"/>
  <c r="K135" i="1" s="1"/>
  <c r="I422" i="1"/>
  <c r="J422" i="1" s="1"/>
  <c r="K422" i="1" s="1"/>
  <c r="I504" i="1"/>
  <c r="J504" i="1" s="1"/>
  <c r="K504" i="1" s="1"/>
  <c r="I418" i="1"/>
  <c r="J418" i="1" s="1"/>
  <c r="K418" i="1" s="1"/>
  <c r="I170" i="1"/>
  <c r="J170" i="1" s="1"/>
  <c r="K170" i="1" s="1"/>
  <c r="I608" i="1"/>
  <c r="J608" i="1" s="1"/>
  <c r="K608" i="1" s="1"/>
  <c r="I63" i="1"/>
  <c r="I61" i="1"/>
  <c r="I299" i="1"/>
  <c r="J299" i="1" s="1"/>
  <c r="K299" i="1" s="1"/>
  <c r="I256" i="1"/>
  <c r="J256" i="1" s="1"/>
  <c r="K256" i="1" s="1"/>
  <c r="I101" i="1"/>
  <c r="J101" i="1" s="1"/>
  <c r="K101" i="1" s="1"/>
  <c r="I253" i="1"/>
  <c r="J253" i="1" s="1"/>
  <c r="K253" i="1" s="1"/>
  <c r="I103" i="1"/>
  <c r="J103" i="1" s="1"/>
  <c r="K103" i="1" s="1"/>
  <c r="I305" i="1"/>
  <c r="J305" i="1" s="1"/>
  <c r="K305" i="1" s="1"/>
  <c r="I502" i="1"/>
  <c r="J502" i="1" s="1"/>
  <c r="K502" i="1" s="1"/>
  <c r="I189" i="1"/>
  <c r="J189" i="1" s="1"/>
  <c r="K189" i="1" s="1"/>
  <c r="I585" i="1"/>
  <c r="J585" i="1" s="1"/>
  <c r="K585" i="1" s="1"/>
  <c r="I586" i="1"/>
  <c r="J586" i="1" s="1"/>
  <c r="K586" i="1" s="1"/>
  <c r="I600" i="1"/>
  <c r="J600" i="1" s="1"/>
  <c r="K600" i="1" s="1"/>
  <c r="I262" i="1"/>
  <c r="J262" i="1" s="1"/>
  <c r="K262" i="1" s="1"/>
  <c r="I594" i="1"/>
  <c r="J594" i="1" s="1"/>
  <c r="K594" i="1" s="1"/>
  <c r="I507" i="1"/>
  <c r="J507" i="1" s="1"/>
  <c r="K507" i="1" s="1"/>
  <c r="I316" i="1"/>
  <c r="J316" i="1" s="1"/>
  <c r="K316" i="1" s="1"/>
  <c r="I521" i="1"/>
  <c r="J521" i="1" s="1"/>
  <c r="K521" i="1" s="1"/>
  <c r="I475" i="1"/>
  <c r="J475" i="1" s="1"/>
  <c r="K475" i="1" s="1"/>
  <c r="I348" i="1"/>
  <c r="J348" i="1" s="1"/>
  <c r="K348" i="1" s="1"/>
  <c r="I223" i="1"/>
  <c r="J223" i="1" s="1"/>
  <c r="K223" i="1" s="1"/>
  <c r="I555" i="1"/>
  <c r="J555" i="1" s="1"/>
  <c r="K555" i="1" s="1"/>
  <c r="I469" i="1"/>
  <c r="J469" i="1" s="1"/>
  <c r="K469" i="1" s="1"/>
  <c r="I344" i="1"/>
  <c r="J344" i="1" s="1"/>
  <c r="K344" i="1" s="1"/>
  <c r="I465" i="1"/>
  <c r="J465" i="1" s="1"/>
  <c r="K465" i="1" s="1"/>
  <c r="I340" i="1"/>
  <c r="J340" i="1" s="1"/>
  <c r="K340" i="1" s="1"/>
  <c r="I336" i="1"/>
  <c r="J336" i="1" s="1"/>
  <c r="K336" i="1" s="1"/>
  <c r="I192" i="1"/>
  <c r="J192" i="1" s="1"/>
  <c r="K192" i="1" s="1"/>
  <c r="I601" i="1"/>
  <c r="J601" i="1" s="1"/>
  <c r="K601" i="1" s="1"/>
  <c r="I516" i="1"/>
  <c r="J516" i="1" s="1"/>
  <c r="K516" i="1" s="1"/>
  <c r="I102" i="1"/>
  <c r="J102" i="1" s="1"/>
  <c r="K102" i="1" s="1"/>
  <c r="I596" i="1"/>
  <c r="J596" i="1" s="1"/>
  <c r="K596" i="1" s="1"/>
  <c r="I513" i="1"/>
  <c r="J513" i="1" s="1"/>
  <c r="K513" i="1" s="1"/>
  <c r="I100" i="1"/>
  <c r="J100" i="1" s="1"/>
  <c r="K100" i="1" s="1"/>
  <c r="I59" i="1"/>
  <c r="I94" i="1"/>
  <c r="J94" i="1" s="1"/>
  <c r="K94" i="1" s="1"/>
  <c r="I90" i="1"/>
  <c r="J90" i="1" s="1"/>
  <c r="K90" i="1" s="1"/>
  <c r="I440" i="1"/>
  <c r="J440" i="1" s="1"/>
  <c r="K440" i="1" s="1"/>
  <c r="I274" i="1"/>
  <c r="J274" i="1" s="1"/>
  <c r="K274" i="1" s="1"/>
  <c r="I605" i="1"/>
  <c r="J605" i="1" s="1"/>
  <c r="K605" i="1" s="1"/>
  <c r="I559" i="1"/>
  <c r="J559" i="1" s="1"/>
  <c r="K559" i="1" s="1"/>
  <c r="I554" i="1"/>
  <c r="J554" i="1" s="1"/>
  <c r="K554" i="1" s="1"/>
  <c r="I553" i="1"/>
  <c r="J553" i="1" s="1"/>
  <c r="K553" i="1" s="1"/>
  <c r="I638" i="1"/>
  <c r="J638" i="1" s="1"/>
  <c r="K638" i="1" s="1"/>
  <c r="I628" i="1"/>
  <c r="J628" i="1" s="1"/>
  <c r="K628" i="1" s="1"/>
  <c r="I643" i="1"/>
  <c r="J643" i="1" s="1"/>
  <c r="K643" i="1" s="1"/>
  <c r="I632" i="1"/>
  <c r="J632" i="1" s="1"/>
  <c r="K632" i="1" s="1"/>
  <c r="I653" i="1"/>
  <c r="I637" i="1"/>
  <c r="J637" i="1" s="1"/>
  <c r="K637" i="1" s="1"/>
  <c r="I549" i="1"/>
  <c r="J549" i="1" s="1"/>
  <c r="K549" i="1" s="1"/>
  <c r="I647" i="1"/>
  <c r="J647" i="1" s="1"/>
  <c r="K647" i="1" s="1"/>
  <c r="I650" i="1"/>
  <c r="J650" i="1" s="1"/>
  <c r="K650" i="1" s="1"/>
  <c r="I543" i="1"/>
  <c r="J543" i="1" s="1"/>
  <c r="K543" i="1" s="1"/>
  <c r="I642" i="1"/>
  <c r="J642" i="1" s="1"/>
  <c r="K642" i="1" s="1"/>
  <c r="I380" i="1"/>
  <c r="J380" i="1" s="1"/>
  <c r="K380" i="1" s="1"/>
  <c r="I387" i="1"/>
  <c r="J387" i="1" s="1"/>
  <c r="K387" i="1" s="1"/>
  <c r="I390" i="1"/>
  <c r="J390" i="1" s="1"/>
  <c r="K390" i="1" s="1"/>
  <c r="I420" i="1"/>
  <c r="J420" i="1" s="1"/>
  <c r="K420" i="1" s="1"/>
  <c r="I630" i="1"/>
  <c r="J630" i="1" s="1"/>
  <c r="K630" i="1" s="1"/>
  <c r="I62" i="1"/>
  <c r="I58" i="1"/>
  <c r="I110" i="1"/>
  <c r="J110" i="1" s="1"/>
  <c r="K110" i="1" s="1"/>
  <c r="I338" i="1"/>
  <c r="J338" i="1" s="1"/>
  <c r="K338" i="1" s="1"/>
  <c r="I459" i="1"/>
  <c r="J459" i="1" s="1"/>
  <c r="K459" i="1" s="1"/>
  <c r="I356" i="1"/>
  <c r="J356" i="1" s="1"/>
  <c r="K356" i="1" s="1"/>
  <c r="I428" i="1"/>
  <c r="J428" i="1" s="1"/>
  <c r="K428" i="1" s="1"/>
  <c r="I433" i="1"/>
  <c r="J433" i="1" s="1"/>
  <c r="K433" i="1" s="1"/>
  <c r="I468" i="1"/>
  <c r="J468" i="1" s="1"/>
  <c r="K468" i="1" s="1"/>
  <c r="I652" i="1"/>
  <c r="I644" i="1"/>
  <c r="J644" i="1" s="1"/>
  <c r="K644" i="1" s="1"/>
  <c r="I180" i="1"/>
  <c r="J180" i="1" s="1"/>
  <c r="K180" i="1" s="1"/>
  <c r="I185" i="1"/>
  <c r="J185" i="1" s="1"/>
  <c r="K185" i="1" s="1"/>
  <c r="I129" i="1"/>
  <c r="I171" i="1"/>
  <c r="J171" i="1" s="1"/>
  <c r="K171" i="1" s="1"/>
  <c r="I251" i="1"/>
  <c r="I337" i="1"/>
  <c r="J337" i="1" s="1"/>
  <c r="K337" i="1" s="1"/>
  <c r="I147" i="1"/>
  <c r="J147" i="1" s="1"/>
  <c r="K147" i="1" s="1"/>
  <c r="I232" i="1"/>
  <c r="J232" i="1" s="1"/>
  <c r="K232" i="1" s="1"/>
  <c r="I349" i="1"/>
  <c r="J349" i="1" s="1"/>
  <c r="K349" i="1" s="1"/>
  <c r="I345" i="1"/>
  <c r="J345" i="1" s="1"/>
  <c r="K345" i="1" s="1"/>
  <c r="I174" i="1"/>
  <c r="J174" i="1" s="1"/>
  <c r="K174" i="1" s="1"/>
  <c r="I220" i="1"/>
  <c r="J220" i="1" s="1"/>
  <c r="K220" i="1" s="1"/>
  <c r="I471" i="1"/>
  <c r="J471" i="1" s="1"/>
  <c r="K471" i="1" s="1"/>
  <c r="I627" i="1"/>
  <c r="I639" i="1"/>
  <c r="J639" i="1" s="1"/>
  <c r="K639" i="1" s="1"/>
  <c r="I216" i="1"/>
  <c r="J216" i="1" s="1"/>
  <c r="K216" i="1" s="1"/>
  <c r="I464" i="1"/>
  <c r="J464" i="1" s="1"/>
  <c r="K464" i="1" s="1"/>
  <c r="I384" i="1"/>
  <c r="J384" i="1" s="1"/>
  <c r="K384" i="1" s="1"/>
  <c r="I172" i="1"/>
  <c r="J172" i="1" s="1"/>
  <c r="K172" i="1" s="1"/>
  <c r="I347" i="1"/>
  <c r="J347" i="1" s="1"/>
  <c r="K347" i="1" s="1"/>
  <c r="I474" i="1"/>
  <c r="J474" i="1" s="1"/>
  <c r="K474" i="1" s="1"/>
  <c r="I91" i="1"/>
  <c r="J91" i="1" s="1"/>
  <c r="K91" i="1" s="1"/>
  <c r="I92" i="1"/>
  <c r="J92" i="1" s="1"/>
  <c r="K92" i="1" s="1"/>
  <c r="I140" i="1"/>
  <c r="J140" i="1" s="1"/>
  <c r="K140" i="1" s="1"/>
  <c r="I211" i="1"/>
  <c r="I130" i="1"/>
  <c r="J130" i="1" s="1"/>
  <c r="K130" i="1" s="1"/>
  <c r="I50" i="1"/>
  <c r="I89" i="1"/>
  <c r="I423" i="1"/>
  <c r="J423" i="1" s="1"/>
  <c r="K423" i="1" s="1"/>
  <c r="I427" i="1"/>
  <c r="J427" i="1" s="1"/>
  <c r="K427" i="1" s="1"/>
  <c r="I313" i="1"/>
  <c r="J313" i="1" s="1"/>
  <c r="K313" i="1" s="1"/>
  <c r="I142" i="1"/>
  <c r="J142" i="1" s="1"/>
  <c r="K142" i="1" s="1"/>
  <c r="I138" i="1"/>
  <c r="J138" i="1" s="1"/>
  <c r="K138" i="1" s="1"/>
  <c r="I60" i="1"/>
  <c r="I633" i="1"/>
  <c r="J633" i="1" s="1"/>
  <c r="K633" i="1" s="1"/>
  <c r="I545" i="1"/>
  <c r="I636" i="1"/>
  <c r="J636" i="1" s="1"/>
  <c r="K636" i="1" s="1"/>
  <c r="I546" i="1"/>
  <c r="J546" i="1" s="1"/>
  <c r="K546" i="1" s="1"/>
  <c r="I212" i="1"/>
  <c r="J212" i="1" s="1"/>
  <c r="K212" i="1" s="1"/>
  <c r="I179" i="1"/>
  <c r="J179" i="1" s="1"/>
  <c r="K179" i="1" s="1"/>
  <c r="I293" i="1"/>
  <c r="I375" i="1"/>
  <c r="J375" i="1" s="1"/>
  <c r="K375" i="1" s="1"/>
  <c r="I419" i="1"/>
  <c r="I134" i="1"/>
  <c r="J134" i="1" s="1"/>
  <c r="K134" i="1" s="1"/>
  <c r="I49" i="1"/>
  <c r="I54" i="1"/>
  <c r="I341" i="1"/>
  <c r="J341" i="1" s="1"/>
  <c r="K341" i="1" s="1"/>
  <c r="I222" i="1"/>
  <c r="J222" i="1" s="1"/>
  <c r="K222" i="1" s="1"/>
  <c r="I224" i="1"/>
  <c r="J224" i="1" s="1"/>
  <c r="K224" i="1" s="1"/>
  <c r="I482" i="1"/>
  <c r="J482" i="1" s="1"/>
  <c r="K482" i="1" s="1"/>
  <c r="I214" i="1"/>
  <c r="J214" i="1" s="1"/>
  <c r="K214" i="1" s="1"/>
  <c r="I350" i="1"/>
  <c r="J350" i="1" s="1"/>
  <c r="K350" i="1" s="1"/>
  <c r="I417" i="1"/>
  <c r="J417" i="1" s="1"/>
  <c r="K417" i="1" s="1"/>
  <c r="I518" i="1"/>
  <c r="J518" i="1" s="1"/>
  <c r="K518" i="1" s="1"/>
  <c r="I67" i="1"/>
  <c r="I64" i="1"/>
  <c r="I378" i="1"/>
  <c r="J378" i="1" s="1"/>
  <c r="K378" i="1" s="1"/>
  <c r="I296" i="1"/>
  <c r="J296" i="1" s="1"/>
  <c r="K296" i="1" s="1"/>
  <c r="I377" i="1"/>
  <c r="I335" i="1"/>
  <c r="I462" i="1"/>
  <c r="J462" i="1" s="1"/>
  <c r="K462" i="1" s="1"/>
  <c r="I226" i="1"/>
  <c r="J226" i="1" s="1"/>
  <c r="K226" i="1" s="1"/>
  <c r="I186" i="1"/>
  <c r="J186" i="1" s="1"/>
  <c r="K186" i="1" s="1"/>
  <c r="I461" i="1"/>
  <c r="I629" i="1"/>
  <c r="J629" i="1" s="1"/>
  <c r="K629" i="1" s="1"/>
  <c r="I560" i="1"/>
  <c r="J560" i="1" s="1"/>
  <c r="K560" i="1" s="1"/>
  <c r="I476" i="1"/>
  <c r="J476" i="1" s="1"/>
  <c r="K476" i="1" s="1"/>
  <c r="I460" i="1"/>
  <c r="J460" i="1" s="1"/>
  <c r="K460" i="1" s="1"/>
  <c r="I144" i="1"/>
  <c r="J144" i="1" s="1"/>
  <c r="K144" i="1" s="1"/>
  <c r="I602" i="1"/>
  <c r="J602" i="1" s="1"/>
  <c r="K602" i="1" s="1"/>
  <c r="I169" i="1"/>
  <c r="I132" i="1"/>
  <c r="J132" i="1" s="1"/>
  <c r="K132" i="1" s="1"/>
  <c r="I310" i="1"/>
  <c r="J310" i="1" s="1"/>
  <c r="K310" i="1" s="1"/>
  <c r="I376" i="1"/>
  <c r="J376" i="1" s="1"/>
  <c r="K376" i="1" s="1"/>
  <c r="I392" i="1"/>
  <c r="J392" i="1" s="1"/>
  <c r="K392" i="1" s="1"/>
  <c r="I104" i="1"/>
  <c r="J104" i="1" s="1"/>
  <c r="K104" i="1" s="1"/>
  <c r="I175" i="1"/>
  <c r="J175" i="1" s="1"/>
  <c r="K175" i="1" s="1"/>
  <c r="I268" i="1"/>
  <c r="J268" i="1" s="1"/>
  <c r="K268" i="1" s="1"/>
  <c r="I213" i="1"/>
  <c r="J213" i="1" s="1"/>
  <c r="K213" i="1" s="1"/>
  <c r="I339" i="1"/>
  <c r="J339" i="1" s="1"/>
  <c r="K339" i="1" s="1"/>
  <c r="I434" i="1"/>
  <c r="J434" i="1" s="1"/>
  <c r="K434" i="1" s="1"/>
  <c r="I421" i="1"/>
  <c r="J421" i="1" s="1"/>
  <c r="K421" i="1" s="1"/>
  <c r="I505" i="1"/>
  <c r="J505" i="1" s="1"/>
  <c r="K505" i="1" s="1"/>
  <c r="I93" i="1"/>
  <c r="J93" i="1" s="1"/>
  <c r="K93" i="1" s="1"/>
  <c r="I53" i="1"/>
  <c r="I295" i="1"/>
  <c r="J295" i="1" s="1"/>
  <c r="K295" i="1" s="1"/>
  <c r="I547" i="1"/>
  <c r="J547" i="1" s="1"/>
  <c r="K547" i="1" s="1"/>
  <c r="I255" i="1"/>
  <c r="J255" i="1" s="1"/>
  <c r="K255" i="1" s="1"/>
  <c r="I173" i="1"/>
  <c r="J173" i="1" s="1"/>
  <c r="K173" i="1" s="1"/>
  <c r="I52" i="1"/>
  <c r="I631" i="1"/>
  <c r="J631" i="1" s="1"/>
  <c r="K631" i="1" s="1"/>
  <c r="I131" i="1"/>
  <c r="J131" i="1" s="1"/>
  <c r="K131" i="1" s="1"/>
  <c r="I463" i="1"/>
  <c r="J463" i="1" s="1"/>
  <c r="K463" i="1" s="1"/>
  <c r="I51" i="1"/>
  <c r="I133" i="1"/>
  <c r="J133" i="1" s="1"/>
  <c r="K133" i="1" s="1"/>
  <c r="I379" i="1"/>
  <c r="J379" i="1" s="1"/>
  <c r="K379" i="1" s="1"/>
  <c r="I297" i="1"/>
  <c r="J297" i="1" s="1"/>
  <c r="K297" i="1" s="1"/>
  <c r="I215" i="1"/>
  <c r="J215" i="1" s="1"/>
  <c r="K215" i="1" s="1"/>
  <c r="I589" i="1"/>
  <c r="J589" i="1" s="1"/>
  <c r="K589" i="1" s="1"/>
  <c r="I651" i="1"/>
  <c r="I355" i="1"/>
  <c r="J355" i="1" s="1"/>
  <c r="K355" i="1" s="1"/>
  <c r="I145" i="1"/>
  <c r="J145" i="1" s="1"/>
  <c r="K145" i="1" s="1"/>
  <c r="I66" i="1"/>
  <c r="I343" i="1"/>
  <c r="J343" i="1" s="1"/>
  <c r="K343" i="1" s="1"/>
  <c r="I149" i="1"/>
  <c r="J149" i="1" s="1"/>
  <c r="K149" i="1" s="1"/>
  <c r="I393" i="1"/>
  <c r="J393" i="1" s="1"/>
  <c r="K393" i="1" s="1"/>
  <c r="I478" i="1"/>
  <c r="J478" i="1" s="1"/>
  <c r="K478" i="1" s="1"/>
  <c r="I231" i="1"/>
  <c r="J231" i="1" s="1"/>
  <c r="K231" i="1" s="1"/>
  <c r="I477" i="1"/>
  <c r="J477" i="1" s="1"/>
  <c r="K477" i="1" s="1"/>
  <c r="I187" i="1"/>
  <c r="J187" i="1" s="1"/>
  <c r="K187" i="1" s="1"/>
  <c r="I436" i="1"/>
  <c r="J436" i="1" s="1"/>
  <c r="K436" i="1" s="1"/>
  <c r="I383" i="1"/>
  <c r="J383" i="1" s="1"/>
  <c r="K383" i="1" s="1"/>
  <c r="I315" i="1"/>
  <c r="J315" i="1" s="1"/>
  <c r="K315" i="1" s="1"/>
  <c r="I105" i="1"/>
  <c r="J105" i="1" s="1"/>
  <c r="K105" i="1" s="1"/>
  <c r="I106" i="1"/>
  <c r="J106" i="1" s="1"/>
  <c r="K106" i="1" s="1"/>
  <c r="I425" i="1"/>
  <c r="J425" i="1" s="1"/>
  <c r="K425" i="1" s="1"/>
  <c r="I509" i="1"/>
  <c r="J509" i="1" s="1"/>
  <c r="K509" i="1" s="1"/>
  <c r="I259" i="1"/>
  <c r="J259" i="1" s="1"/>
  <c r="K259" i="1" s="1"/>
  <c r="I604" i="1"/>
  <c r="J604" i="1" s="1"/>
  <c r="K604" i="1" s="1"/>
  <c r="I97" i="1"/>
  <c r="J97" i="1" s="1"/>
  <c r="K97" i="1" s="1"/>
  <c r="I109" i="1"/>
  <c r="J109" i="1" s="1"/>
  <c r="K109" i="1" s="1"/>
  <c r="I312" i="1"/>
  <c r="J312" i="1" s="1"/>
  <c r="K312" i="1" s="1"/>
  <c r="I69" i="1"/>
  <c r="I191" i="1"/>
  <c r="J191" i="1" s="1"/>
  <c r="K191" i="1" s="1"/>
  <c r="I351" i="1"/>
  <c r="J351" i="1" s="1"/>
  <c r="K351" i="1" s="1"/>
  <c r="I219" i="1"/>
  <c r="J219" i="1" s="1"/>
  <c r="K219" i="1" s="1"/>
  <c r="I481" i="1"/>
  <c r="J481" i="1" s="1"/>
  <c r="K481" i="1" s="1"/>
  <c r="I603" i="1"/>
  <c r="J603" i="1" s="1"/>
  <c r="K603" i="1" s="1"/>
  <c r="I646" i="1"/>
  <c r="J646" i="1" s="1"/>
  <c r="K646" i="1" s="1"/>
  <c r="I635" i="1"/>
  <c r="J635" i="1" s="1"/>
  <c r="K635" i="1" s="1"/>
  <c r="I273" i="1"/>
  <c r="J273" i="1" s="1"/>
  <c r="K273" i="1" s="1"/>
  <c r="I188" i="1"/>
  <c r="J188" i="1" s="1"/>
  <c r="K188" i="1" s="1"/>
  <c r="I607" i="1"/>
  <c r="J607" i="1" s="1"/>
  <c r="K607" i="1" s="1"/>
  <c r="I561" i="1"/>
  <c r="J561" i="1" s="1"/>
  <c r="K561" i="1" s="1"/>
  <c r="I645" i="1"/>
  <c r="J645" i="1" s="1"/>
  <c r="K645" i="1" s="1"/>
  <c r="I352" i="1"/>
  <c r="J352" i="1" s="1"/>
  <c r="K352" i="1" s="1"/>
  <c r="I394" i="1"/>
  <c r="J394" i="1" s="1"/>
  <c r="K394" i="1" s="1"/>
  <c r="I593" i="1"/>
  <c r="J593" i="1" s="1"/>
  <c r="K593" i="1" s="1"/>
  <c r="I523" i="1"/>
  <c r="J523" i="1" s="1"/>
  <c r="K523" i="1" s="1"/>
  <c r="I269" i="1"/>
  <c r="J269" i="1" s="1"/>
  <c r="K269" i="1" s="1"/>
  <c r="I146" i="1"/>
  <c r="J146" i="1" s="1"/>
  <c r="K146" i="1" s="1"/>
  <c r="I301" i="1"/>
  <c r="J301" i="1" s="1"/>
  <c r="K301" i="1" s="1"/>
  <c r="I65" i="1"/>
  <c r="I177" i="1"/>
  <c r="J177" i="1" s="1"/>
  <c r="K177" i="1" s="1"/>
  <c r="I311" i="1"/>
  <c r="J311" i="1" s="1"/>
  <c r="K311" i="1" s="1"/>
  <c r="I57" i="1"/>
  <c r="I397" i="1"/>
  <c r="J397" i="1" s="1"/>
  <c r="K397" i="1" s="1"/>
  <c r="I227" i="1"/>
  <c r="J227" i="1" s="1"/>
  <c r="K227" i="1" s="1"/>
  <c r="I228" i="1"/>
  <c r="J228" i="1" s="1"/>
  <c r="K228" i="1" s="1"/>
  <c r="I137" i="1"/>
  <c r="J137" i="1" s="1"/>
  <c r="K137" i="1" s="1"/>
  <c r="I565" i="1"/>
  <c r="J565" i="1" s="1"/>
  <c r="K565" i="1" s="1"/>
  <c r="I435" i="1"/>
  <c r="J435" i="1" s="1"/>
  <c r="K435" i="1" s="1"/>
  <c r="I520" i="1"/>
  <c r="J520" i="1" s="1"/>
  <c r="K520" i="1" s="1"/>
  <c r="I467" i="1"/>
  <c r="J467" i="1" s="1"/>
  <c r="K467" i="1" s="1"/>
  <c r="I649" i="1"/>
  <c r="J649" i="1" s="1"/>
  <c r="K649" i="1" s="1"/>
  <c r="I270" i="1"/>
  <c r="J270" i="1" s="1"/>
  <c r="K270" i="1" s="1"/>
  <c r="I551" i="1"/>
  <c r="J551" i="1" s="1"/>
  <c r="K551" i="1" s="1"/>
  <c r="I439" i="1"/>
  <c r="J439" i="1" s="1"/>
  <c r="K439" i="1" s="1"/>
  <c r="I519" i="1"/>
  <c r="J519" i="1" s="1"/>
  <c r="K519" i="1" s="1"/>
  <c r="I562" i="1"/>
  <c r="J562" i="1" s="1"/>
  <c r="K562" i="1" s="1"/>
  <c r="I382" i="1"/>
  <c r="J382" i="1" s="1"/>
  <c r="K382" i="1" s="1"/>
  <c r="I550" i="1"/>
  <c r="J550" i="1" s="1"/>
  <c r="K550" i="1" s="1"/>
  <c r="I108" i="1"/>
  <c r="J108" i="1" s="1"/>
  <c r="K108" i="1" s="1"/>
  <c r="I431" i="1"/>
  <c r="J431" i="1" s="1"/>
  <c r="K431" i="1" s="1"/>
  <c r="I354" i="1"/>
  <c r="J354" i="1" s="1"/>
  <c r="K354" i="1" s="1"/>
  <c r="I307" i="1"/>
  <c r="J307" i="1" s="1"/>
  <c r="K307" i="1" s="1"/>
  <c r="I56" i="1"/>
  <c r="I389" i="1"/>
  <c r="J389" i="1" s="1"/>
  <c r="K389" i="1" s="1"/>
  <c r="I508" i="1"/>
  <c r="J508" i="1" s="1"/>
  <c r="K508" i="1" s="1"/>
  <c r="I648" i="1"/>
  <c r="J648" i="1" s="1"/>
  <c r="K648" i="1" s="1"/>
  <c r="I599" i="1"/>
  <c r="J599" i="1" s="1"/>
  <c r="K599" i="1" s="1"/>
  <c r="I272" i="1"/>
  <c r="J272" i="1" s="1"/>
  <c r="K272" i="1" s="1"/>
  <c r="I641" i="1"/>
  <c r="J641" i="1" s="1"/>
  <c r="K641" i="1" s="1"/>
  <c r="I473" i="1"/>
  <c r="J473" i="1" s="1"/>
  <c r="K473" i="1" s="1"/>
  <c r="I606" i="1"/>
  <c r="J606" i="1" s="1"/>
  <c r="K606" i="1" s="1"/>
  <c r="I634" i="1"/>
  <c r="J634" i="1" s="1"/>
  <c r="K634" i="1" s="1"/>
  <c r="I96" i="1"/>
  <c r="J96" i="1" s="1"/>
  <c r="K96" i="1" s="1"/>
  <c r="I480" i="1"/>
  <c r="J480" i="1" s="1"/>
  <c r="K480" i="1" s="1"/>
  <c r="I68" i="1"/>
  <c r="I136" i="1"/>
  <c r="J136" i="1" s="1"/>
  <c r="K136" i="1" s="1"/>
  <c r="I314" i="1"/>
  <c r="J314" i="1" s="1"/>
  <c r="K314" i="1" s="1"/>
  <c r="I466" i="1"/>
  <c r="J466" i="1" s="1"/>
  <c r="K466" i="1" s="1"/>
  <c r="I515" i="1"/>
  <c r="J515" i="1" s="1"/>
  <c r="K515" i="1" s="1"/>
  <c r="I396" i="1"/>
  <c r="J396" i="1" s="1"/>
  <c r="K396" i="1" s="1"/>
  <c r="I265" i="1"/>
  <c r="J265" i="1" s="1"/>
  <c r="K265" i="1" s="1"/>
  <c r="I176" i="1"/>
  <c r="J176" i="1" s="1"/>
  <c r="K176" i="1" s="1"/>
  <c r="I190" i="1"/>
  <c r="J190" i="1" s="1"/>
  <c r="K190" i="1" s="1"/>
  <c r="I148" i="1"/>
  <c r="J148" i="1" s="1"/>
  <c r="K148" i="1" s="1"/>
  <c r="I183" i="1"/>
  <c r="I592" i="1"/>
  <c r="J592" i="1" s="1"/>
  <c r="K592" i="1" s="1"/>
  <c r="I230" i="1"/>
  <c r="J230" i="1" s="1"/>
  <c r="K230" i="1" s="1"/>
  <c r="I342" i="1"/>
  <c r="J342" i="1" s="1"/>
  <c r="K342" i="1" s="1"/>
  <c r="I522" i="1"/>
  <c r="J522" i="1" s="1"/>
  <c r="K522" i="1" s="1"/>
  <c r="I300" i="1"/>
  <c r="J300" i="1" s="1"/>
  <c r="K300" i="1" s="1"/>
  <c r="I564" i="1"/>
  <c r="J564" i="1" s="1"/>
  <c r="K564" i="1" s="1"/>
  <c r="I258" i="1"/>
  <c r="J258" i="1" s="1"/>
  <c r="K258" i="1" s="1"/>
  <c r="I424" i="1"/>
  <c r="J424" i="1" s="1"/>
  <c r="K424" i="1" s="1"/>
  <c r="I438" i="1"/>
  <c r="J438" i="1" s="1"/>
  <c r="K438" i="1" s="1"/>
  <c r="I218" i="1"/>
  <c r="J218" i="1" s="1"/>
  <c r="K218" i="1" s="1"/>
  <c r="I557" i="1"/>
  <c r="J557" i="1" s="1"/>
  <c r="K557" i="1" s="1"/>
  <c r="I598" i="1"/>
  <c r="J598" i="1" s="1"/>
  <c r="K598" i="1" s="1"/>
  <c r="I182" i="1"/>
  <c r="I306" i="1"/>
  <c r="J306" i="1" s="1"/>
  <c r="K306" i="1" s="1"/>
  <c r="I388" i="1"/>
  <c r="J388" i="1" s="1"/>
  <c r="K388" i="1" s="1"/>
  <c r="I640" i="1"/>
  <c r="J640" i="1" s="1"/>
  <c r="K640" i="1" s="1"/>
  <c r="I264" i="1"/>
  <c r="J264" i="1" s="1"/>
  <c r="K264" i="1" s="1"/>
  <c r="I472" i="1"/>
  <c r="J472" i="1" s="1"/>
  <c r="K472" i="1" s="1"/>
  <c r="I430" i="1"/>
  <c r="J430" i="1" s="1"/>
  <c r="K430" i="1" s="1"/>
  <c r="I556" i="1"/>
  <c r="J556" i="1" s="1"/>
  <c r="K556" i="1" s="1"/>
  <c r="I514" i="1"/>
  <c r="J514" i="1" s="1"/>
  <c r="K514" i="1" s="1"/>
  <c r="G86" i="9"/>
  <c r="F87" i="9"/>
  <c r="G87" i="9" s="1"/>
  <c r="J86" i="9"/>
  <c r="I87" i="9"/>
  <c r="J87" i="9" s="1"/>
  <c r="L87" i="9" l="1"/>
  <c r="J651" i="1"/>
  <c r="I32" i="1"/>
  <c r="J461" i="1"/>
  <c r="I483" i="1"/>
  <c r="F487" i="1" s="1"/>
  <c r="J335" i="1"/>
  <c r="I357" i="1"/>
  <c r="F361" i="1" s="1"/>
  <c r="J64" i="1"/>
  <c r="I25" i="1"/>
  <c r="J545" i="1"/>
  <c r="I567" i="1"/>
  <c r="F571" i="1" s="1"/>
  <c r="J89" i="1"/>
  <c r="I111" i="1"/>
  <c r="F115" i="1" s="1"/>
  <c r="J61" i="1"/>
  <c r="I20" i="1"/>
  <c r="L86" i="9"/>
  <c r="N86" i="9" s="1"/>
  <c r="J68" i="1"/>
  <c r="I29" i="1"/>
  <c r="J56" i="1"/>
  <c r="I15" i="1"/>
  <c r="J65" i="1"/>
  <c r="I26" i="1"/>
  <c r="J69" i="1"/>
  <c r="I30" i="1"/>
  <c r="J66" i="1"/>
  <c r="I27" i="1"/>
  <c r="J169" i="1"/>
  <c r="I193" i="1"/>
  <c r="F197" i="1" s="1"/>
  <c r="J377" i="1"/>
  <c r="I399" i="1"/>
  <c r="F403" i="1" s="1"/>
  <c r="J67" i="1"/>
  <c r="I28" i="1"/>
  <c r="J419" i="1"/>
  <c r="I441" i="1"/>
  <c r="F445" i="1" s="1"/>
  <c r="J50" i="1"/>
  <c r="I9" i="1"/>
  <c r="J129" i="1"/>
  <c r="I151" i="1"/>
  <c r="F155" i="1" s="1"/>
  <c r="J652" i="1"/>
  <c r="I33" i="1"/>
  <c r="J58" i="1"/>
  <c r="I17" i="1"/>
  <c r="J63" i="1"/>
  <c r="I24" i="1"/>
  <c r="J55" i="1"/>
  <c r="I14" i="1"/>
  <c r="J182" i="1"/>
  <c r="I21" i="1"/>
  <c r="J57" i="1"/>
  <c r="I16" i="1"/>
  <c r="J51" i="1"/>
  <c r="I10" i="1"/>
  <c r="J52" i="1"/>
  <c r="I11" i="1"/>
  <c r="J54" i="1"/>
  <c r="I13" i="1"/>
  <c r="J60" i="1"/>
  <c r="I19" i="1"/>
  <c r="J627" i="1"/>
  <c r="I654" i="1"/>
  <c r="F658" i="1" s="1"/>
  <c r="J62" i="1"/>
  <c r="I23" i="1"/>
  <c r="J653" i="1"/>
  <c r="I34" i="1"/>
  <c r="J503" i="1"/>
  <c r="I525" i="1"/>
  <c r="F529" i="1" s="1"/>
  <c r="J183" i="1"/>
  <c r="I22" i="1"/>
  <c r="J53" i="1"/>
  <c r="I12" i="1"/>
  <c r="J49" i="1"/>
  <c r="I71" i="1"/>
  <c r="I8" i="1"/>
  <c r="J293" i="1"/>
  <c r="I317" i="1"/>
  <c r="F321" i="1" s="1"/>
  <c r="J211" i="1"/>
  <c r="I233" i="1"/>
  <c r="F237" i="1" s="1"/>
  <c r="J251" i="1"/>
  <c r="I275" i="1"/>
  <c r="F279" i="1" s="1"/>
  <c r="J59" i="1"/>
  <c r="I18" i="1"/>
  <c r="J587" i="1"/>
  <c r="I609" i="1"/>
  <c r="F613" i="1" s="1"/>
  <c r="J70" i="1"/>
  <c r="I31" i="1"/>
  <c r="J275" i="1" l="1"/>
  <c r="K251" i="1"/>
  <c r="J18" i="1"/>
  <c r="K59" i="1"/>
  <c r="F75" i="1"/>
  <c r="F664" i="1" s="1"/>
  <c r="I669" i="1"/>
  <c r="D3" i="8" s="1"/>
  <c r="J12" i="1"/>
  <c r="K53" i="1"/>
  <c r="K627" i="1"/>
  <c r="J654" i="1"/>
  <c r="J10" i="1"/>
  <c r="K51" i="1"/>
  <c r="J24" i="1"/>
  <c r="K63" i="1"/>
  <c r="J17" i="1"/>
  <c r="K58" i="1"/>
  <c r="J9" i="1"/>
  <c r="K50" i="1"/>
  <c r="J27" i="1"/>
  <c r="K66" i="1"/>
  <c r="J26" i="1"/>
  <c r="K65" i="1"/>
  <c r="J233" i="1"/>
  <c r="K211" i="1"/>
  <c r="J71" i="1"/>
  <c r="J8" i="1"/>
  <c r="K49" i="1"/>
  <c r="J525" i="1"/>
  <c r="K503" i="1"/>
  <c r="J34" i="1"/>
  <c r="K653" i="1"/>
  <c r="J23" i="1"/>
  <c r="K62" i="1"/>
  <c r="J21" i="1"/>
  <c r="K182" i="1"/>
  <c r="J151" i="1"/>
  <c r="K129" i="1"/>
  <c r="J441" i="1"/>
  <c r="K419" i="1"/>
  <c r="J28" i="1"/>
  <c r="K67" i="1"/>
  <c r="J20" i="1"/>
  <c r="K61" i="1"/>
  <c r="J567" i="1"/>
  <c r="K545" i="1"/>
  <c r="J357" i="1"/>
  <c r="K335" i="1"/>
  <c r="J32" i="1"/>
  <c r="K651" i="1"/>
  <c r="J31" i="1"/>
  <c r="K70" i="1"/>
  <c r="J317" i="1"/>
  <c r="K293" i="1"/>
  <c r="J19" i="1"/>
  <c r="K60" i="1"/>
  <c r="J13" i="1"/>
  <c r="K54" i="1"/>
  <c r="J11" i="1"/>
  <c r="K52" i="1"/>
  <c r="J16" i="1"/>
  <c r="K57" i="1"/>
  <c r="J30" i="1"/>
  <c r="K69" i="1"/>
  <c r="J111" i="1"/>
  <c r="K89" i="1"/>
  <c r="J609" i="1"/>
  <c r="K587" i="1"/>
  <c r="I35" i="1"/>
  <c r="J22" i="1"/>
  <c r="K183" i="1"/>
  <c r="J14" i="1"/>
  <c r="K55" i="1"/>
  <c r="J33" i="1"/>
  <c r="K652" i="1"/>
  <c r="J399" i="1"/>
  <c r="K377" i="1"/>
  <c r="J193" i="1"/>
  <c r="K169" i="1"/>
  <c r="J15" i="1"/>
  <c r="K56" i="1"/>
  <c r="J29" i="1"/>
  <c r="K68" i="1"/>
  <c r="J25" i="1"/>
  <c r="K64" i="1"/>
  <c r="J483" i="1"/>
  <c r="K461" i="1"/>
  <c r="N87" i="9"/>
  <c r="N93" i="9" s="1"/>
  <c r="L93" i="9"/>
  <c r="L95" i="9" l="1"/>
  <c r="K25" i="1"/>
  <c r="K15" i="1"/>
  <c r="K399" i="1"/>
  <c r="K14" i="1"/>
  <c r="K233" i="1"/>
  <c r="K27" i="1"/>
  <c r="K17" i="1"/>
  <c r="K10" i="1"/>
  <c r="K12" i="1"/>
  <c r="K18" i="1"/>
  <c r="K609" i="1"/>
  <c r="K30" i="1"/>
  <c r="K11" i="1"/>
  <c r="K19" i="1"/>
  <c r="K31" i="1"/>
  <c r="K357" i="1"/>
  <c r="K20" i="1"/>
  <c r="K441" i="1"/>
  <c r="K21" i="1"/>
  <c r="K34" i="1"/>
  <c r="K71" i="1"/>
  <c r="K8" i="1"/>
  <c r="K483" i="1"/>
  <c r="K193" i="1"/>
  <c r="K33" i="1"/>
  <c r="J35" i="1"/>
  <c r="K26" i="1"/>
  <c r="K9" i="1"/>
  <c r="K24" i="1"/>
  <c r="K275" i="1"/>
  <c r="K29" i="1"/>
  <c r="K22" i="1"/>
  <c r="K111" i="1"/>
  <c r="K16" i="1"/>
  <c r="K13" i="1"/>
  <c r="K317" i="1"/>
  <c r="K32" i="1"/>
  <c r="K567" i="1"/>
  <c r="K28" i="1"/>
  <c r="K151" i="1"/>
  <c r="K23" i="1"/>
  <c r="K525" i="1"/>
  <c r="J669" i="1"/>
  <c r="D7" i="8" s="1"/>
  <c r="E9" i="8" s="1"/>
  <c r="K654" i="1"/>
  <c r="K35" i="1" l="1"/>
  <c r="K672" i="1"/>
  <c r="B20" i="5"/>
  <c r="K671" i="1"/>
  <c r="B26" i="6"/>
  <c r="K669" i="1"/>
  <c r="C20" i="5" l="1"/>
  <c r="B21" i="5" s="1"/>
  <c r="K673" i="1"/>
  <c r="C26" i="6"/>
  <c r="C21" i="5" l="1"/>
  <c r="B22" i="5" s="1"/>
  <c r="B27" i="6"/>
  <c r="C22" i="5" l="1"/>
  <c r="B23" i="5" s="1"/>
  <c r="C27" i="6"/>
  <c r="C23" i="5" l="1"/>
  <c r="B24" i="5"/>
  <c r="B28" i="6"/>
  <c r="C28" i="6" l="1"/>
  <c r="B29" i="6" s="1"/>
  <c r="C24" i="5"/>
  <c r="B25" i="5" s="1"/>
  <c r="C25" i="5" l="1"/>
  <c r="B26" i="5" s="1"/>
  <c r="C29" i="6"/>
  <c r="B30" i="6" s="1"/>
  <c r="C30" i="6" l="1"/>
  <c r="B31" i="6" s="1"/>
  <c r="C26" i="5"/>
  <c r="B27" i="5" s="1"/>
  <c r="C27" i="5" s="1"/>
  <c r="C28" i="5" s="1"/>
  <c r="B5" i="5" s="1"/>
  <c r="J9" i="5" l="1"/>
  <c r="J11" i="5"/>
  <c r="J10" i="5"/>
  <c r="J7" i="5"/>
  <c r="J8" i="5"/>
  <c r="J6" i="5"/>
  <c r="C31" i="6"/>
  <c r="B32" i="6" s="1"/>
  <c r="C32" i="6" l="1"/>
  <c r="B33" i="6" s="1"/>
  <c r="C33" i="6" s="1"/>
  <c r="C34" i="6" s="1"/>
  <c r="B5" i="6" s="1"/>
  <c r="L628" i="1"/>
  <c r="M628" i="1" s="1"/>
  <c r="L632" i="1"/>
  <c r="M632" i="1" s="1"/>
  <c r="L636" i="1"/>
  <c r="M636" i="1" s="1"/>
  <c r="L640" i="1"/>
  <c r="M640" i="1" s="1"/>
  <c r="L644" i="1"/>
  <c r="M644" i="1" s="1"/>
  <c r="L648" i="1"/>
  <c r="M648" i="1" s="1"/>
  <c r="L652" i="1"/>
  <c r="L633" i="1"/>
  <c r="M633" i="1" s="1"/>
  <c r="L637" i="1"/>
  <c r="M637" i="1" s="1"/>
  <c r="L641" i="1"/>
  <c r="M641" i="1" s="1"/>
  <c r="L645" i="1"/>
  <c r="M645" i="1" s="1"/>
  <c r="L649" i="1"/>
  <c r="M649" i="1" s="1"/>
  <c r="L653" i="1"/>
  <c r="L634" i="1"/>
  <c r="M634" i="1" s="1"/>
  <c r="L638" i="1"/>
  <c r="M638" i="1" s="1"/>
  <c r="L642" i="1"/>
  <c r="M642" i="1" s="1"/>
  <c r="L646" i="1"/>
  <c r="M646" i="1" s="1"/>
  <c r="L650" i="1"/>
  <c r="M650" i="1" s="1"/>
  <c r="L627" i="1"/>
  <c r="L631" i="1"/>
  <c r="M631" i="1" s="1"/>
  <c r="L635" i="1"/>
  <c r="M635" i="1" s="1"/>
  <c r="L639" i="1"/>
  <c r="M639" i="1" s="1"/>
  <c r="L643" i="1"/>
  <c r="M643" i="1" s="1"/>
  <c r="L647" i="1"/>
  <c r="M647" i="1" s="1"/>
  <c r="L651" i="1"/>
  <c r="L630" i="1"/>
  <c r="M630" i="1" s="1"/>
  <c r="L629" i="1"/>
  <c r="M629" i="1" s="1"/>
  <c r="J12" i="5"/>
  <c r="L308" i="1"/>
  <c r="M308" i="1" s="1"/>
  <c r="L302" i="1"/>
  <c r="M302" i="1" s="1"/>
  <c r="L298" i="1"/>
  <c r="M298" i="1" s="1"/>
  <c r="L297" i="1"/>
  <c r="M297" i="1" s="1"/>
  <c r="L294" i="1"/>
  <c r="M294" i="1" s="1"/>
  <c r="L316" i="1"/>
  <c r="M316" i="1" s="1"/>
  <c r="L315" i="1"/>
  <c r="M315" i="1" s="1"/>
  <c r="L313" i="1"/>
  <c r="M313" i="1" s="1"/>
  <c r="L307" i="1"/>
  <c r="M307" i="1" s="1"/>
  <c r="L306" i="1"/>
  <c r="M306" i="1" s="1"/>
  <c r="L309" i="1"/>
  <c r="M309" i="1" s="1"/>
  <c r="L304" i="1"/>
  <c r="M304" i="1" s="1"/>
  <c r="L303" i="1"/>
  <c r="M303" i="1" s="1"/>
  <c r="L301" i="1"/>
  <c r="M301" i="1" s="1"/>
  <c r="L299" i="1"/>
  <c r="M299" i="1" s="1"/>
  <c r="L310" i="1"/>
  <c r="M310" i="1" s="1"/>
  <c r="L305" i="1"/>
  <c r="M305" i="1" s="1"/>
  <c r="L300" i="1"/>
  <c r="M300" i="1" s="1"/>
  <c r="L314" i="1"/>
  <c r="M314" i="1" s="1"/>
  <c r="L312" i="1"/>
  <c r="M312" i="1" s="1"/>
  <c r="L311" i="1"/>
  <c r="M311" i="1" s="1"/>
  <c r="L293" i="1"/>
  <c r="L295" i="1"/>
  <c r="M295" i="1" s="1"/>
  <c r="L296" i="1"/>
  <c r="M296" i="1" s="1"/>
  <c r="J15" i="6" l="1"/>
  <c r="J13" i="6"/>
  <c r="J17" i="6"/>
  <c r="J14" i="6"/>
  <c r="J12" i="6"/>
  <c r="J11" i="6"/>
  <c r="J16" i="6"/>
  <c r="J8" i="6"/>
  <c r="J9" i="6"/>
  <c r="J5" i="6"/>
  <c r="J7" i="6"/>
  <c r="J10" i="6"/>
  <c r="J6" i="6"/>
  <c r="L317" i="1"/>
  <c r="M293" i="1"/>
  <c r="M317" i="1" s="1"/>
  <c r="L32" i="1"/>
  <c r="M651" i="1"/>
  <c r="M32" i="1" s="1"/>
  <c r="L34" i="1"/>
  <c r="M653" i="1"/>
  <c r="M34" i="1" s="1"/>
  <c r="L654" i="1"/>
  <c r="M627" i="1"/>
  <c r="L33" i="1"/>
  <c r="M652" i="1"/>
  <c r="M33" i="1" s="1"/>
  <c r="L258" i="1" l="1"/>
  <c r="M258" i="1" s="1"/>
  <c r="L262" i="1"/>
  <c r="M262" i="1" s="1"/>
  <c r="L266" i="1"/>
  <c r="M266" i="1" s="1"/>
  <c r="L270" i="1"/>
  <c r="M270" i="1" s="1"/>
  <c r="L274" i="1"/>
  <c r="M274" i="1" s="1"/>
  <c r="L251" i="1"/>
  <c r="L255" i="1"/>
  <c r="M255" i="1" s="1"/>
  <c r="L259" i="1"/>
  <c r="M259" i="1" s="1"/>
  <c r="L263" i="1"/>
  <c r="M263" i="1" s="1"/>
  <c r="L267" i="1"/>
  <c r="M267" i="1" s="1"/>
  <c r="L271" i="1"/>
  <c r="M271" i="1" s="1"/>
  <c r="L252" i="1"/>
  <c r="M252" i="1" s="1"/>
  <c r="L256" i="1"/>
  <c r="M256" i="1" s="1"/>
  <c r="L260" i="1"/>
  <c r="M260" i="1" s="1"/>
  <c r="L264" i="1"/>
  <c r="M264" i="1" s="1"/>
  <c r="L268" i="1"/>
  <c r="M268" i="1" s="1"/>
  <c r="L257" i="1"/>
  <c r="M257" i="1" s="1"/>
  <c r="L261" i="1"/>
  <c r="M261" i="1" s="1"/>
  <c r="L265" i="1"/>
  <c r="M265" i="1" s="1"/>
  <c r="L269" i="1"/>
  <c r="M269" i="1" s="1"/>
  <c r="L273" i="1"/>
  <c r="M273" i="1" s="1"/>
  <c r="L272" i="1"/>
  <c r="M272" i="1" s="1"/>
  <c r="L254" i="1"/>
  <c r="M254" i="1" s="1"/>
  <c r="L253" i="1"/>
  <c r="M253" i="1" s="1"/>
  <c r="L173" i="1"/>
  <c r="M173" i="1" s="1"/>
  <c r="L180" i="1"/>
  <c r="M180" i="1" s="1"/>
  <c r="L191" i="1"/>
  <c r="M191" i="1" s="1"/>
  <c r="L186" i="1"/>
  <c r="M186" i="1" s="1"/>
  <c r="L192" i="1"/>
  <c r="M192" i="1" s="1"/>
  <c r="L190" i="1"/>
  <c r="M190" i="1" s="1"/>
  <c r="L188" i="1"/>
  <c r="M188" i="1" s="1"/>
  <c r="L185" i="1"/>
  <c r="M185" i="1" s="1"/>
  <c r="L179" i="1"/>
  <c r="M179" i="1" s="1"/>
  <c r="L169" i="1"/>
  <c r="L172" i="1"/>
  <c r="M172" i="1" s="1"/>
  <c r="L171" i="1"/>
  <c r="M171" i="1" s="1"/>
  <c r="L184" i="1"/>
  <c r="M184" i="1" s="1"/>
  <c r="L181" i="1"/>
  <c r="M181" i="1" s="1"/>
  <c r="L170" i="1"/>
  <c r="M170" i="1" s="1"/>
  <c r="L177" i="1"/>
  <c r="M177" i="1" s="1"/>
  <c r="L174" i="1"/>
  <c r="M174" i="1" s="1"/>
  <c r="L189" i="1"/>
  <c r="M189" i="1" s="1"/>
  <c r="L178" i="1"/>
  <c r="M178" i="1" s="1"/>
  <c r="L176" i="1"/>
  <c r="M176" i="1" s="1"/>
  <c r="L187" i="1"/>
  <c r="M187" i="1" s="1"/>
  <c r="L183" i="1"/>
  <c r="L175" i="1"/>
  <c r="M175" i="1" s="1"/>
  <c r="L182" i="1"/>
  <c r="L477" i="1"/>
  <c r="M477" i="1" s="1"/>
  <c r="L463" i="1"/>
  <c r="M463" i="1" s="1"/>
  <c r="L474" i="1"/>
  <c r="M474" i="1" s="1"/>
  <c r="L472" i="1"/>
  <c r="M472" i="1" s="1"/>
  <c r="L468" i="1"/>
  <c r="M468" i="1" s="1"/>
  <c r="L460" i="1"/>
  <c r="M460" i="1" s="1"/>
  <c r="L478" i="1"/>
  <c r="M478" i="1" s="1"/>
  <c r="L475" i="1"/>
  <c r="M475" i="1" s="1"/>
  <c r="L470" i="1"/>
  <c r="M470" i="1" s="1"/>
  <c r="L459" i="1"/>
  <c r="M459" i="1" s="1"/>
  <c r="L481" i="1"/>
  <c r="M481" i="1" s="1"/>
  <c r="L479" i="1"/>
  <c r="M479" i="1" s="1"/>
  <c r="L482" i="1"/>
  <c r="M482" i="1" s="1"/>
  <c r="L466" i="1"/>
  <c r="M466" i="1" s="1"/>
  <c r="L473" i="1"/>
  <c r="M473" i="1" s="1"/>
  <c r="L469" i="1"/>
  <c r="M469" i="1" s="1"/>
  <c r="L480" i="1"/>
  <c r="M480" i="1" s="1"/>
  <c r="L464" i="1"/>
  <c r="M464" i="1" s="1"/>
  <c r="L467" i="1"/>
  <c r="M467" i="1" s="1"/>
  <c r="L465" i="1"/>
  <c r="M465" i="1" s="1"/>
  <c r="L476" i="1"/>
  <c r="M476" i="1" s="1"/>
  <c r="L471" i="1"/>
  <c r="M471" i="1" s="1"/>
  <c r="L462" i="1"/>
  <c r="M462" i="1" s="1"/>
  <c r="L461" i="1"/>
  <c r="L140" i="1"/>
  <c r="M140" i="1" s="1"/>
  <c r="L136" i="1"/>
  <c r="M136" i="1" s="1"/>
  <c r="L147" i="1"/>
  <c r="M147" i="1" s="1"/>
  <c r="L144" i="1"/>
  <c r="M144" i="1" s="1"/>
  <c r="L150" i="1"/>
  <c r="M150" i="1" s="1"/>
  <c r="L134" i="1"/>
  <c r="M134" i="1" s="1"/>
  <c r="L139" i="1"/>
  <c r="M139" i="1" s="1"/>
  <c r="L149" i="1"/>
  <c r="M149" i="1" s="1"/>
  <c r="L145" i="1"/>
  <c r="M145" i="1" s="1"/>
  <c r="L137" i="1"/>
  <c r="M137" i="1" s="1"/>
  <c r="L135" i="1"/>
  <c r="M135" i="1" s="1"/>
  <c r="L133" i="1"/>
  <c r="M133" i="1" s="1"/>
  <c r="L138" i="1"/>
  <c r="M138" i="1" s="1"/>
  <c r="L142" i="1"/>
  <c r="M142" i="1" s="1"/>
  <c r="L146" i="1"/>
  <c r="M146" i="1" s="1"/>
  <c r="L130" i="1"/>
  <c r="M130" i="1" s="1"/>
  <c r="L148" i="1"/>
  <c r="M148" i="1" s="1"/>
  <c r="L143" i="1"/>
  <c r="M143" i="1" s="1"/>
  <c r="L141" i="1"/>
  <c r="M141" i="1" s="1"/>
  <c r="L129" i="1"/>
  <c r="L132" i="1"/>
  <c r="M132" i="1" s="1"/>
  <c r="L131" i="1"/>
  <c r="M131" i="1" s="1"/>
  <c r="L547" i="1"/>
  <c r="M547" i="1" s="1"/>
  <c r="L551" i="1"/>
  <c r="M551" i="1" s="1"/>
  <c r="L555" i="1"/>
  <c r="M555" i="1" s="1"/>
  <c r="L559" i="1"/>
  <c r="M559" i="1" s="1"/>
  <c r="L563" i="1"/>
  <c r="M563" i="1" s="1"/>
  <c r="L548" i="1"/>
  <c r="M548" i="1" s="1"/>
  <c r="L552" i="1"/>
  <c r="M552" i="1" s="1"/>
  <c r="L556" i="1"/>
  <c r="M556" i="1" s="1"/>
  <c r="L560" i="1"/>
  <c r="M560" i="1" s="1"/>
  <c r="L564" i="1"/>
  <c r="M564" i="1" s="1"/>
  <c r="L544" i="1"/>
  <c r="M544" i="1" s="1"/>
  <c r="L545" i="1"/>
  <c r="L549" i="1"/>
  <c r="M549" i="1" s="1"/>
  <c r="L553" i="1"/>
  <c r="M553" i="1" s="1"/>
  <c r="L557" i="1"/>
  <c r="M557" i="1" s="1"/>
  <c r="L561" i="1"/>
  <c r="M561" i="1" s="1"/>
  <c r="L565" i="1"/>
  <c r="M565" i="1" s="1"/>
  <c r="L543" i="1"/>
  <c r="M543" i="1" s="1"/>
  <c r="L546" i="1"/>
  <c r="M546" i="1" s="1"/>
  <c r="L550" i="1"/>
  <c r="M550" i="1" s="1"/>
  <c r="L554" i="1"/>
  <c r="M554" i="1" s="1"/>
  <c r="L558" i="1"/>
  <c r="M558" i="1" s="1"/>
  <c r="L562" i="1"/>
  <c r="M562" i="1" s="1"/>
  <c r="L566" i="1"/>
  <c r="M566" i="1" s="1"/>
  <c r="L588" i="1"/>
  <c r="M588" i="1" s="1"/>
  <c r="L592" i="1"/>
  <c r="M592" i="1" s="1"/>
  <c r="L596" i="1"/>
  <c r="M596" i="1" s="1"/>
  <c r="L600" i="1"/>
  <c r="M600" i="1" s="1"/>
  <c r="L604" i="1"/>
  <c r="M604" i="1" s="1"/>
  <c r="L608" i="1"/>
  <c r="M608" i="1" s="1"/>
  <c r="L585" i="1"/>
  <c r="M585" i="1" s="1"/>
  <c r="L589" i="1"/>
  <c r="M589" i="1" s="1"/>
  <c r="L593" i="1"/>
  <c r="M593" i="1" s="1"/>
  <c r="L597" i="1"/>
  <c r="M597" i="1" s="1"/>
  <c r="L601" i="1"/>
  <c r="M601" i="1" s="1"/>
  <c r="L605" i="1"/>
  <c r="M605" i="1" s="1"/>
  <c r="L590" i="1"/>
  <c r="M590" i="1" s="1"/>
  <c r="L594" i="1"/>
  <c r="M594" i="1" s="1"/>
  <c r="L598" i="1"/>
  <c r="M598" i="1" s="1"/>
  <c r="L602" i="1"/>
  <c r="M602" i="1" s="1"/>
  <c r="L606" i="1"/>
  <c r="M606" i="1" s="1"/>
  <c r="L587" i="1"/>
  <c r="L591" i="1"/>
  <c r="M591" i="1" s="1"/>
  <c r="L595" i="1"/>
  <c r="M595" i="1" s="1"/>
  <c r="L599" i="1"/>
  <c r="M599" i="1" s="1"/>
  <c r="L603" i="1"/>
  <c r="M603" i="1" s="1"/>
  <c r="L607" i="1"/>
  <c r="M607" i="1" s="1"/>
  <c r="L586" i="1"/>
  <c r="M586" i="1" s="1"/>
  <c r="L672" i="1"/>
  <c r="L53" i="1"/>
  <c r="J18" i="6"/>
  <c r="L70" i="1"/>
  <c r="L65" i="1"/>
  <c r="L63" i="1"/>
  <c r="L61" i="1"/>
  <c r="L59" i="1"/>
  <c r="L57" i="1"/>
  <c r="L55" i="1"/>
  <c r="L64" i="1"/>
  <c r="L60" i="1"/>
  <c r="L56" i="1"/>
  <c r="L54" i="1"/>
  <c r="L66" i="1"/>
  <c r="L49" i="1"/>
  <c r="L68" i="1"/>
  <c r="L69" i="1"/>
  <c r="L67" i="1"/>
  <c r="L62" i="1"/>
  <c r="L58" i="1"/>
  <c r="L50" i="1"/>
  <c r="L51" i="1"/>
  <c r="L52" i="1"/>
  <c r="L335" i="1"/>
  <c r="L353" i="1"/>
  <c r="M353" i="1" s="1"/>
  <c r="L338" i="1"/>
  <c r="M338" i="1" s="1"/>
  <c r="L337" i="1"/>
  <c r="M337" i="1" s="1"/>
  <c r="L351" i="1"/>
  <c r="M351" i="1" s="1"/>
  <c r="L340" i="1"/>
  <c r="M340" i="1" s="1"/>
  <c r="L352" i="1"/>
  <c r="M352" i="1" s="1"/>
  <c r="L347" i="1"/>
  <c r="M347" i="1" s="1"/>
  <c r="L343" i="1"/>
  <c r="M343" i="1" s="1"/>
  <c r="L350" i="1"/>
  <c r="M350" i="1" s="1"/>
  <c r="L354" i="1"/>
  <c r="M354" i="1" s="1"/>
  <c r="L355" i="1"/>
  <c r="M355" i="1" s="1"/>
  <c r="L348" i="1"/>
  <c r="M348" i="1" s="1"/>
  <c r="L346" i="1"/>
  <c r="M346" i="1" s="1"/>
  <c r="L336" i="1"/>
  <c r="M336" i="1" s="1"/>
  <c r="L356" i="1"/>
  <c r="M356" i="1" s="1"/>
  <c r="L345" i="1"/>
  <c r="M345" i="1" s="1"/>
  <c r="L341" i="1"/>
  <c r="M341" i="1" s="1"/>
  <c r="L349" i="1"/>
  <c r="M349" i="1" s="1"/>
  <c r="L344" i="1"/>
  <c r="M344" i="1" s="1"/>
  <c r="L342" i="1"/>
  <c r="M342" i="1" s="1"/>
  <c r="L339" i="1"/>
  <c r="M339" i="1" s="1"/>
  <c r="L421" i="1"/>
  <c r="M421" i="1" s="1"/>
  <c r="L435" i="1"/>
  <c r="M435" i="1" s="1"/>
  <c r="L423" i="1"/>
  <c r="M423" i="1" s="1"/>
  <c r="L432" i="1"/>
  <c r="M432" i="1" s="1"/>
  <c r="L429" i="1"/>
  <c r="M429" i="1" s="1"/>
  <c r="L418" i="1"/>
  <c r="M418" i="1" s="1"/>
  <c r="L428" i="1"/>
  <c r="M428" i="1" s="1"/>
  <c r="L420" i="1"/>
  <c r="M420" i="1" s="1"/>
  <c r="L419" i="1"/>
  <c r="L426" i="1"/>
  <c r="M426" i="1" s="1"/>
  <c r="L424" i="1"/>
  <c r="M424" i="1" s="1"/>
  <c r="L439" i="1"/>
  <c r="M439" i="1" s="1"/>
  <c r="L437" i="1"/>
  <c r="M437" i="1" s="1"/>
  <c r="L440" i="1"/>
  <c r="M440" i="1" s="1"/>
  <c r="L438" i="1"/>
  <c r="M438" i="1" s="1"/>
  <c r="L436" i="1"/>
  <c r="M436" i="1" s="1"/>
  <c r="L433" i="1"/>
  <c r="M433" i="1" s="1"/>
  <c r="L427" i="1"/>
  <c r="M427" i="1" s="1"/>
  <c r="L417" i="1"/>
  <c r="M417" i="1" s="1"/>
  <c r="L422" i="1"/>
  <c r="M422" i="1" s="1"/>
  <c r="L431" i="1"/>
  <c r="M431" i="1" s="1"/>
  <c r="L425" i="1"/>
  <c r="M425" i="1" s="1"/>
  <c r="L434" i="1"/>
  <c r="M434" i="1" s="1"/>
  <c r="L430" i="1"/>
  <c r="M430" i="1" s="1"/>
  <c r="M654" i="1"/>
  <c r="L93" i="1"/>
  <c r="M93" i="1" s="1"/>
  <c r="L92" i="1"/>
  <c r="M92" i="1" s="1"/>
  <c r="L91" i="1"/>
  <c r="M91" i="1" s="1"/>
  <c r="L106" i="1"/>
  <c r="M106" i="1" s="1"/>
  <c r="L101" i="1"/>
  <c r="M101" i="1" s="1"/>
  <c r="L97" i="1"/>
  <c r="M97" i="1" s="1"/>
  <c r="L89" i="1"/>
  <c r="L104" i="1"/>
  <c r="M104" i="1" s="1"/>
  <c r="L102" i="1"/>
  <c r="M102" i="1" s="1"/>
  <c r="L100" i="1"/>
  <c r="M100" i="1" s="1"/>
  <c r="L98" i="1"/>
  <c r="M98" i="1" s="1"/>
  <c r="L96" i="1"/>
  <c r="M96" i="1" s="1"/>
  <c r="L94" i="1"/>
  <c r="M94" i="1" s="1"/>
  <c r="L90" i="1"/>
  <c r="M90" i="1" s="1"/>
  <c r="L110" i="1"/>
  <c r="M110" i="1" s="1"/>
  <c r="L108" i="1"/>
  <c r="M108" i="1" s="1"/>
  <c r="L107" i="1"/>
  <c r="M107" i="1" s="1"/>
  <c r="L105" i="1"/>
  <c r="M105" i="1" s="1"/>
  <c r="L103" i="1"/>
  <c r="M103" i="1" s="1"/>
  <c r="L99" i="1"/>
  <c r="M99" i="1" s="1"/>
  <c r="L95" i="1"/>
  <c r="M95" i="1" s="1"/>
  <c r="L109" i="1"/>
  <c r="M109" i="1" s="1"/>
  <c r="L215" i="1"/>
  <c r="M215" i="1" s="1"/>
  <c r="L216" i="1"/>
  <c r="M216" i="1" s="1"/>
  <c r="L224" i="1"/>
  <c r="M224" i="1" s="1"/>
  <c r="L220" i="1"/>
  <c r="M220" i="1" s="1"/>
  <c r="L212" i="1"/>
  <c r="M212" i="1" s="1"/>
  <c r="L228" i="1"/>
  <c r="M228" i="1" s="1"/>
  <c r="L218" i="1"/>
  <c r="M218" i="1" s="1"/>
  <c r="L225" i="1"/>
  <c r="M225" i="1" s="1"/>
  <c r="L223" i="1"/>
  <c r="M223" i="1" s="1"/>
  <c r="L211" i="1"/>
  <c r="L231" i="1"/>
  <c r="M231" i="1" s="1"/>
  <c r="L229" i="1"/>
  <c r="M229" i="1" s="1"/>
  <c r="L227" i="1"/>
  <c r="M227" i="1" s="1"/>
  <c r="L221" i="1"/>
  <c r="M221" i="1" s="1"/>
  <c r="L230" i="1"/>
  <c r="M230" i="1" s="1"/>
  <c r="L232" i="1"/>
  <c r="M232" i="1" s="1"/>
  <c r="L226" i="1"/>
  <c r="M226" i="1" s="1"/>
  <c r="L222" i="1"/>
  <c r="M222" i="1" s="1"/>
  <c r="L219" i="1"/>
  <c r="M219" i="1" s="1"/>
  <c r="L217" i="1"/>
  <c r="M217" i="1" s="1"/>
  <c r="L214" i="1"/>
  <c r="M214" i="1" s="1"/>
  <c r="L213" i="1"/>
  <c r="M213" i="1" s="1"/>
  <c r="L393" i="1"/>
  <c r="M393" i="1" s="1"/>
  <c r="L380" i="1"/>
  <c r="M380" i="1" s="1"/>
  <c r="L383" i="1"/>
  <c r="M383" i="1" s="1"/>
  <c r="L381" i="1"/>
  <c r="M381" i="1" s="1"/>
  <c r="L396" i="1"/>
  <c r="M396" i="1" s="1"/>
  <c r="L392" i="1"/>
  <c r="M392" i="1" s="1"/>
  <c r="L387" i="1"/>
  <c r="M387" i="1" s="1"/>
  <c r="L379" i="1"/>
  <c r="M379" i="1" s="1"/>
  <c r="L375" i="1"/>
  <c r="M375" i="1" s="1"/>
  <c r="L390" i="1"/>
  <c r="M390" i="1" s="1"/>
  <c r="L388" i="1"/>
  <c r="M388" i="1" s="1"/>
  <c r="L384" i="1"/>
  <c r="M384" i="1" s="1"/>
  <c r="L376" i="1"/>
  <c r="M376" i="1" s="1"/>
  <c r="L394" i="1"/>
  <c r="M394" i="1" s="1"/>
  <c r="L391" i="1"/>
  <c r="M391" i="1" s="1"/>
  <c r="L386" i="1"/>
  <c r="M386" i="1" s="1"/>
  <c r="L397" i="1"/>
  <c r="M397" i="1" s="1"/>
  <c r="L395" i="1"/>
  <c r="M395" i="1" s="1"/>
  <c r="L382" i="1"/>
  <c r="M382" i="1" s="1"/>
  <c r="L398" i="1"/>
  <c r="M398" i="1" s="1"/>
  <c r="L389" i="1"/>
  <c r="M389" i="1" s="1"/>
  <c r="L385" i="1"/>
  <c r="M385" i="1" s="1"/>
  <c r="L377" i="1"/>
  <c r="L378" i="1"/>
  <c r="M378" i="1" s="1"/>
  <c r="L506" i="1"/>
  <c r="M506" i="1" s="1"/>
  <c r="L510" i="1"/>
  <c r="M510" i="1" s="1"/>
  <c r="L514" i="1"/>
  <c r="M514" i="1" s="1"/>
  <c r="L518" i="1"/>
  <c r="M518" i="1" s="1"/>
  <c r="L522" i="1"/>
  <c r="M522" i="1" s="1"/>
  <c r="L501" i="1"/>
  <c r="M501" i="1" s="1"/>
  <c r="L503" i="1"/>
  <c r="L507" i="1"/>
  <c r="M507" i="1" s="1"/>
  <c r="L511" i="1"/>
  <c r="M511" i="1" s="1"/>
  <c r="L515" i="1"/>
  <c r="M515" i="1" s="1"/>
  <c r="L519" i="1"/>
  <c r="M519" i="1" s="1"/>
  <c r="L523" i="1"/>
  <c r="M523" i="1" s="1"/>
  <c r="L504" i="1"/>
  <c r="M504" i="1" s="1"/>
  <c r="L508" i="1"/>
  <c r="M508" i="1" s="1"/>
  <c r="L512" i="1"/>
  <c r="M512" i="1" s="1"/>
  <c r="L516" i="1"/>
  <c r="M516" i="1" s="1"/>
  <c r="L520" i="1"/>
  <c r="M520" i="1" s="1"/>
  <c r="L524" i="1"/>
  <c r="M524" i="1" s="1"/>
  <c r="L505" i="1"/>
  <c r="M505" i="1" s="1"/>
  <c r="L509" i="1"/>
  <c r="M509" i="1" s="1"/>
  <c r="L513" i="1"/>
  <c r="M513" i="1" s="1"/>
  <c r="L517" i="1"/>
  <c r="M517" i="1" s="1"/>
  <c r="L521" i="1"/>
  <c r="M521" i="1" s="1"/>
  <c r="L502" i="1"/>
  <c r="M502" i="1" s="1"/>
  <c r="L525" i="1" l="1"/>
  <c r="M503" i="1"/>
  <c r="M525" i="1" s="1"/>
  <c r="L399" i="1"/>
  <c r="M377" i="1"/>
  <c r="M399" i="1" s="1"/>
  <c r="L111" i="1"/>
  <c r="M89" i="1"/>
  <c r="M111" i="1" s="1"/>
  <c r="L9" i="1"/>
  <c r="M50" i="1"/>
  <c r="M9" i="1" s="1"/>
  <c r="L30" i="1"/>
  <c r="M69" i="1"/>
  <c r="M30" i="1" s="1"/>
  <c r="L13" i="1"/>
  <c r="M54" i="1"/>
  <c r="M13" i="1" s="1"/>
  <c r="L14" i="1"/>
  <c r="M55" i="1"/>
  <c r="M14" i="1" s="1"/>
  <c r="L24" i="1"/>
  <c r="M63" i="1"/>
  <c r="M24" i="1" s="1"/>
  <c r="L12" i="1"/>
  <c r="M53" i="1"/>
  <c r="M12" i="1" s="1"/>
  <c r="L609" i="1"/>
  <c r="M587" i="1"/>
  <c r="M609" i="1" s="1"/>
  <c r="L151" i="1"/>
  <c r="M129" i="1"/>
  <c r="M151" i="1" s="1"/>
  <c r="L483" i="1"/>
  <c r="M461" i="1"/>
  <c r="M483" i="1" s="1"/>
  <c r="L21" i="1"/>
  <c r="M182" i="1"/>
  <c r="M21" i="1" s="1"/>
  <c r="L357" i="1"/>
  <c r="M335" i="1"/>
  <c r="M357" i="1" s="1"/>
  <c r="L17" i="1"/>
  <c r="M58" i="1"/>
  <c r="M17" i="1" s="1"/>
  <c r="L29" i="1"/>
  <c r="M68" i="1"/>
  <c r="M29" i="1" s="1"/>
  <c r="L15" i="1"/>
  <c r="M56" i="1"/>
  <c r="M15" i="1" s="1"/>
  <c r="L16" i="1"/>
  <c r="M57" i="1"/>
  <c r="M16" i="1" s="1"/>
  <c r="L26" i="1"/>
  <c r="M65" i="1"/>
  <c r="M26" i="1" s="1"/>
  <c r="L11" i="1"/>
  <c r="M52" i="1"/>
  <c r="M11" i="1" s="1"/>
  <c r="L23" i="1"/>
  <c r="M62" i="1"/>
  <c r="M23" i="1" s="1"/>
  <c r="L71" i="1"/>
  <c r="L8" i="1"/>
  <c r="M49" i="1"/>
  <c r="L19" i="1"/>
  <c r="M60" i="1"/>
  <c r="M19" i="1" s="1"/>
  <c r="L18" i="1"/>
  <c r="M59" i="1"/>
  <c r="M18" i="1" s="1"/>
  <c r="L31" i="1"/>
  <c r="M70" i="1"/>
  <c r="M31" i="1" s="1"/>
  <c r="L567" i="1"/>
  <c r="M545" i="1"/>
  <c r="M567" i="1" s="1"/>
  <c r="L22" i="1"/>
  <c r="M183" i="1"/>
  <c r="M22" i="1" s="1"/>
  <c r="L193" i="1"/>
  <c r="M169" i="1"/>
  <c r="L275" i="1"/>
  <c r="M251" i="1"/>
  <c r="M275" i="1" s="1"/>
  <c r="L233" i="1"/>
  <c r="M211" i="1"/>
  <c r="M233" i="1" s="1"/>
  <c r="L441" i="1"/>
  <c r="M419" i="1"/>
  <c r="M441" i="1" s="1"/>
  <c r="L10" i="1"/>
  <c r="M51" i="1"/>
  <c r="L28" i="1"/>
  <c r="M67" i="1"/>
  <c r="M28" i="1" s="1"/>
  <c r="L27" i="1"/>
  <c r="M66" i="1"/>
  <c r="M27" i="1" s="1"/>
  <c r="L25" i="1"/>
  <c r="M64" i="1"/>
  <c r="M25" i="1" s="1"/>
  <c r="L20" i="1"/>
  <c r="M61" i="1"/>
  <c r="M20" i="1" s="1"/>
  <c r="L35" i="1" l="1"/>
  <c r="L671" i="1"/>
  <c r="L669" i="1"/>
  <c r="L673" i="1" s="1"/>
  <c r="M10" i="1"/>
  <c r="M193" i="1"/>
  <c r="M71" i="1"/>
  <c r="M669" i="1" s="1"/>
  <c r="M8" i="1"/>
  <c r="M35" i="1" l="1"/>
</calcChain>
</file>

<file path=xl/comments1.xml><?xml version="1.0" encoding="utf-8"?>
<comments xmlns="http://schemas.openxmlformats.org/spreadsheetml/2006/main">
  <authors>
    <author>Thomas Kramer</author>
  </authors>
  <commentList>
    <comment ref="E10" authorId="0">
      <text>
        <r>
          <rPr>
            <b/>
            <sz val="8"/>
            <color indexed="81"/>
            <rFont val="Tahoma"/>
            <family val="2"/>
          </rPr>
          <t>Thomas Kramer:</t>
        </r>
        <r>
          <rPr>
            <sz val="8"/>
            <color indexed="81"/>
            <rFont val="Tahoma"/>
            <family val="2"/>
          </rPr>
          <t xml:space="preserve">
Formally CIN</t>
        </r>
      </text>
    </comment>
    <comment ref="E11" authorId="0">
      <text>
        <r>
          <rPr>
            <b/>
            <sz val="8"/>
            <color indexed="81"/>
            <rFont val="Tahoma"/>
            <family val="2"/>
          </rPr>
          <t>Thomas Kramer:</t>
        </r>
        <r>
          <rPr>
            <sz val="8"/>
            <color indexed="81"/>
            <rFont val="Tahoma"/>
            <family val="2"/>
          </rPr>
          <t xml:space="preserve">
added for 2012. CIN was split into two</t>
        </r>
      </text>
    </comment>
    <comment ref="B49" authorId="0">
      <text>
        <r>
          <rPr>
            <b/>
            <sz val="8"/>
            <color indexed="81"/>
            <rFont val="Tahoma"/>
            <family val="2"/>
          </rPr>
          <t>Thomas Kramer:</t>
        </r>
        <r>
          <rPr>
            <sz val="8"/>
            <color indexed="81"/>
            <rFont val="Tahoma"/>
            <family val="2"/>
          </rPr>
          <t xml:space="preserve">
Zone ATSI</t>
        </r>
      </text>
    </comment>
    <comment ref="B51" authorId="0">
      <text>
        <r>
          <rPr>
            <b/>
            <sz val="8"/>
            <color indexed="81"/>
            <rFont val="Tahoma"/>
            <family val="2"/>
          </rPr>
          <t>Thomas Kramer:</t>
        </r>
        <r>
          <rPr>
            <sz val="8"/>
            <color indexed="81"/>
            <rFont val="Tahoma"/>
            <family val="2"/>
          </rPr>
          <t xml:space="preserve">
Formally CIN</t>
        </r>
      </text>
    </comment>
    <comment ref="B52" authorId="0">
      <text>
        <r>
          <rPr>
            <b/>
            <sz val="8"/>
            <color indexed="81"/>
            <rFont val="Tahoma"/>
            <family val="2"/>
          </rPr>
          <t>Thomas Kramer:</t>
        </r>
        <r>
          <rPr>
            <sz val="8"/>
            <color indexed="81"/>
            <rFont val="Tahoma"/>
            <family val="2"/>
          </rPr>
          <t xml:space="preserve">
added for 2012. CIN was split into two</t>
        </r>
      </text>
    </comment>
    <comment ref="B53" authorId="0">
      <text>
        <r>
          <rPr>
            <b/>
            <sz val="8"/>
            <color indexed="81"/>
            <rFont val="Tahoma"/>
            <family val="2"/>
          </rPr>
          <t>Thomas Kramer:</t>
        </r>
        <r>
          <rPr>
            <sz val="8"/>
            <color indexed="81"/>
            <rFont val="Tahoma"/>
            <family val="2"/>
          </rPr>
          <t xml:space="preserve">
Zone SIGE</t>
        </r>
      </text>
    </comment>
    <comment ref="B91" authorId="0">
      <text>
        <r>
          <rPr>
            <b/>
            <sz val="8"/>
            <color indexed="81"/>
            <rFont val="Tahoma"/>
            <family val="2"/>
          </rPr>
          <t>Thomas Kramer:</t>
        </r>
        <r>
          <rPr>
            <sz val="8"/>
            <color indexed="81"/>
            <rFont val="Tahoma"/>
            <family val="2"/>
          </rPr>
          <t xml:space="preserve">
Formally CIN</t>
        </r>
      </text>
    </comment>
    <comment ref="B92" authorId="0">
      <text>
        <r>
          <rPr>
            <b/>
            <sz val="8"/>
            <color indexed="81"/>
            <rFont val="Tahoma"/>
            <family val="2"/>
          </rPr>
          <t>Thomas Kramer:</t>
        </r>
        <r>
          <rPr>
            <sz val="8"/>
            <color indexed="81"/>
            <rFont val="Tahoma"/>
            <family val="2"/>
          </rPr>
          <t xml:space="preserve">
added for 2012. CIN was split into two</t>
        </r>
      </text>
    </comment>
    <comment ref="B131" authorId="0">
      <text>
        <r>
          <rPr>
            <b/>
            <sz val="8"/>
            <color indexed="81"/>
            <rFont val="Tahoma"/>
            <family val="2"/>
          </rPr>
          <t>Thomas Kramer:</t>
        </r>
        <r>
          <rPr>
            <sz val="8"/>
            <color indexed="81"/>
            <rFont val="Tahoma"/>
            <family val="2"/>
          </rPr>
          <t xml:space="preserve">
Formally CIN</t>
        </r>
      </text>
    </comment>
    <comment ref="B132" authorId="0">
      <text>
        <r>
          <rPr>
            <b/>
            <sz val="8"/>
            <color indexed="81"/>
            <rFont val="Tahoma"/>
            <family val="2"/>
          </rPr>
          <t>Thomas Kramer:</t>
        </r>
        <r>
          <rPr>
            <sz val="8"/>
            <color indexed="81"/>
            <rFont val="Tahoma"/>
            <family val="2"/>
          </rPr>
          <t xml:space="preserve">
added for 2012. CIN was split into two</t>
        </r>
      </text>
    </comment>
    <comment ref="B171" authorId="0">
      <text>
        <r>
          <rPr>
            <b/>
            <sz val="8"/>
            <color indexed="81"/>
            <rFont val="Tahoma"/>
            <family val="2"/>
          </rPr>
          <t>Thomas Kramer:</t>
        </r>
        <r>
          <rPr>
            <sz val="8"/>
            <color indexed="81"/>
            <rFont val="Tahoma"/>
            <family val="2"/>
          </rPr>
          <t xml:space="preserve">
Formally CIN</t>
        </r>
      </text>
    </comment>
    <comment ref="B172" authorId="0">
      <text>
        <r>
          <rPr>
            <b/>
            <sz val="8"/>
            <color indexed="81"/>
            <rFont val="Tahoma"/>
            <family val="2"/>
          </rPr>
          <t>Thomas Kramer:</t>
        </r>
        <r>
          <rPr>
            <sz val="8"/>
            <color indexed="81"/>
            <rFont val="Tahoma"/>
            <family val="2"/>
          </rPr>
          <t xml:space="preserve">
added for 2012. CIN was split into two</t>
        </r>
      </text>
    </comment>
    <comment ref="B213" authorId="0">
      <text>
        <r>
          <rPr>
            <b/>
            <sz val="8"/>
            <color indexed="81"/>
            <rFont val="Tahoma"/>
            <family val="2"/>
          </rPr>
          <t>Thomas Kramer:</t>
        </r>
        <r>
          <rPr>
            <sz val="8"/>
            <color indexed="81"/>
            <rFont val="Tahoma"/>
            <family val="2"/>
          </rPr>
          <t xml:space="preserve">
Formally CIN</t>
        </r>
      </text>
    </comment>
    <comment ref="B214" authorId="0">
      <text>
        <r>
          <rPr>
            <b/>
            <sz val="8"/>
            <color indexed="81"/>
            <rFont val="Tahoma"/>
            <family val="2"/>
          </rPr>
          <t>Thomas Kramer:</t>
        </r>
        <r>
          <rPr>
            <sz val="8"/>
            <color indexed="81"/>
            <rFont val="Tahoma"/>
            <family val="2"/>
          </rPr>
          <t xml:space="preserve">
added for 2012. CIN was split into two</t>
        </r>
      </text>
    </comment>
    <comment ref="E249" authorId="0">
      <text>
        <r>
          <rPr>
            <b/>
            <sz val="8"/>
            <color indexed="81"/>
            <rFont val="Tahoma"/>
            <family val="2"/>
          </rPr>
          <t>Thomas Kramer:</t>
        </r>
        <r>
          <rPr>
            <sz val="8"/>
            <color indexed="81"/>
            <rFont val="Tahoma"/>
            <family val="2"/>
          </rPr>
          <t xml:space="preserve">
updated per MISO review comment</t>
        </r>
      </text>
    </comment>
    <comment ref="B253" authorId="0">
      <text>
        <r>
          <rPr>
            <b/>
            <sz val="8"/>
            <color indexed="81"/>
            <rFont val="Tahoma"/>
            <family val="2"/>
          </rPr>
          <t>Thomas Kramer:</t>
        </r>
        <r>
          <rPr>
            <sz val="8"/>
            <color indexed="81"/>
            <rFont val="Tahoma"/>
            <family val="2"/>
          </rPr>
          <t xml:space="preserve">
Formally CIN</t>
        </r>
      </text>
    </comment>
    <comment ref="B254" authorId="0">
      <text>
        <r>
          <rPr>
            <b/>
            <sz val="8"/>
            <color indexed="81"/>
            <rFont val="Tahoma"/>
            <family val="2"/>
          </rPr>
          <t>Thomas Kramer:</t>
        </r>
        <r>
          <rPr>
            <sz val="8"/>
            <color indexed="81"/>
            <rFont val="Tahoma"/>
            <family val="2"/>
          </rPr>
          <t xml:space="preserve">
added for 2012. CIN was split into two</t>
        </r>
      </text>
    </comment>
    <comment ref="B295" authorId="0">
      <text>
        <r>
          <rPr>
            <b/>
            <sz val="8"/>
            <color indexed="81"/>
            <rFont val="Tahoma"/>
            <family val="2"/>
          </rPr>
          <t>Thomas Kramer:</t>
        </r>
        <r>
          <rPr>
            <sz val="8"/>
            <color indexed="81"/>
            <rFont val="Tahoma"/>
            <family val="2"/>
          </rPr>
          <t xml:space="preserve">
Formally CIN</t>
        </r>
      </text>
    </comment>
    <comment ref="B296" authorId="0">
      <text>
        <r>
          <rPr>
            <b/>
            <sz val="8"/>
            <color indexed="81"/>
            <rFont val="Tahoma"/>
            <family val="2"/>
          </rPr>
          <t>Thomas Kramer:</t>
        </r>
        <r>
          <rPr>
            <sz val="8"/>
            <color indexed="81"/>
            <rFont val="Tahoma"/>
            <family val="2"/>
          </rPr>
          <t xml:space="preserve">
added for 2012. CIN was split into two</t>
        </r>
      </text>
    </comment>
    <comment ref="B337" authorId="0">
      <text>
        <r>
          <rPr>
            <b/>
            <sz val="8"/>
            <color indexed="81"/>
            <rFont val="Tahoma"/>
            <family val="2"/>
          </rPr>
          <t>Thomas Kramer:</t>
        </r>
        <r>
          <rPr>
            <sz val="8"/>
            <color indexed="81"/>
            <rFont val="Tahoma"/>
            <family val="2"/>
          </rPr>
          <t xml:space="preserve">
Formally CIN</t>
        </r>
      </text>
    </comment>
    <comment ref="B338" authorId="0">
      <text>
        <r>
          <rPr>
            <b/>
            <sz val="8"/>
            <color indexed="81"/>
            <rFont val="Tahoma"/>
            <family val="2"/>
          </rPr>
          <t>Thomas Kramer:</t>
        </r>
        <r>
          <rPr>
            <sz val="8"/>
            <color indexed="81"/>
            <rFont val="Tahoma"/>
            <family val="2"/>
          </rPr>
          <t xml:space="preserve">
added for 2012. CIN was split into two</t>
        </r>
      </text>
    </comment>
    <comment ref="B377" authorId="0">
      <text>
        <r>
          <rPr>
            <b/>
            <sz val="8"/>
            <color indexed="81"/>
            <rFont val="Tahoma"/>
            <family val="2"/>
          </rPr>
          <t>Thomas Kramer:</t>
        </r>
        <r>
          <rPr>
            <sz val="8"/>
            <color indexed="81"/>
            <rFont val="Tahoma"/>
            <family val="2"/>
          </rPr>
          <t xml:space="preserve">
Formally CIN</t>
        </r>
      </text>
    </comment>
    <comment ref="B378" authorId="0">
      <text>
        <r>
          <rPr>
            <b/>
            <sz val="8"/>
            <color indexed="81"/>
            <rFont val="Tahoma"/>
            <family val="2"/>
          </rPr>
          <t>Thomas Kramer:</t>
        </r>
        <r>
          <rPr>
            <sz val="8"/>
            <color indexed="81"/>
            <rFont val="Tahoma"/>
            <family val="2"/>
          </rPr>
          <t xml:space="preserve">
added for 2012. CIN was split into two</t>
        </r>
      </text>
    </comment>
    <comment ref="B419" authorId="0">
      <text>
        <r>
          <rPr>
            <b/>
            <sz val="8"/>
            <color indexed="81"/>
            <rFont val="Tahoma"/>
            <family val="2"/>
          </rPr>
          <t>Thomas Kramer:</t>
        </r>
        <r>
          <rPr>
            <sz val="8"/>
            <color indexed="81"/>
            <rFont val="Tahoma"/>
            <family val="2"/>
          </rPr>
          <t xml:space="preserve">
Formally CIN</t>
        </r>
      </text>
    </comment>
    <comment ref="B420" authorId="0">
      <text>
        <r>
          <rPr>
            <b/>
            <sz val="8"/>
            <color indexed="81"/>
            <rFont val="Tahoma"/>
            <family val="2"/>
          </rPr>
          <t>Thomas Kramer:</t>
        </r>
        <r>
          <rPr>
            <sz val="8"/>
            <color indexed="81"/>
            <rFont val="Tahoma"/>
            <family val="2"/>
          </rPr>
          <t xml:space="preserve">
added for 2012. CIN was split into two</t>
        </r>
      </text>
    </comment>
    <comment ref="B461" authorId="0">
      <text>
        <r>
          <rPr>
            <b/>
            <sz val="8"/>
            <color indexed="81"/>
            <rFont val="Tahoma"/>
            <family val="2"/>
          </rPr>
          <t>Thomas Kramer:</t>
        </r>
        <r>
          <rPr>
            <sz val="8"/>
            <color indexed="81"/>
            <rFont val="Tahoma"/>
            <family val="2"/>
          </rPr>
          <t xml:space="preserve">
Formally CIN</t>
        </r>
      </text>
    </comment>
    <comment ref="B462" authorId="0">
      <text>
        <r>
          <rPr>
            <b/>
            <sz val="8"/>
            <color indexed="81"/>
            <rFont val="Tahoma"/>
            <family val="2"/>
          </rPr>
          <t>Thomas Kramer:</t>
        </r>
        <r>
          <rPr>
            <sz val="8"/>
            <color indexed="81"/>
            <rFont val="Tahoma"/>
            <family val="2"/>
          </rPr>
          <t xml:space="preserve">
added for 2012. CIN was split into two</t>
        </r>
      </text>
    </comment>
    <comment ref="B503" authorId="0">
      <text>
        <r>
          <rPr>
            <b/>
            <sz val="8"/>
            <color indexed="81"/>
            <rFont val="Tahoma"/>
            <family val="2"/>
          </rPr>
          <t>Thomas Kramer:</t>
        </r>
        <r>
          <rPr>
            <sz val="8"/>
            <color indexed="81"/>
            <rFont val="Tahoma"/>
            <family val="2"/>
          </rPr>
          <t xml:space="preserve">
Formally CIN</t>
        </r>
      </text>
    </comment>
    <comment ref="B504" authorId="0">
      <text>
        <r>
          <rPr>
            <b/>
            <sz val="8"/>
            <color indexed="81"/>
            <rFont val="Tahoma"/>
            <family val="2"/>
          </rPr>
          <t>Thomas Kramer:</t>
        </r>
        <r>
          <rPr>
            <sz val="8"/>
            <color indexed="81"/>
            <rFont val="Tahoma"/>
            <family val="2"/>
          </rPr>
          <t xml:space="preserve">
added for 2012. CIN was split into two</t>
        </r>
      </text>
    </comment>
    <comment ref="B545" authorId="0">
      <text>
        <r>
          <rPr>
            <b/>
            <sz val="8"/>
            <color indexed="81"/>
            <rFont val="Tahoma"/>
            <family val="2"/>
          </rPr>
          <t>Thomas Kramer:</t>
        </r>
        <r>
          <rPr>
            <sz val="8"/>
            <color indexed="81"/>
            <rFont val="Tahoma"/>
            <family val="2"/>
          </rPr>
          <t xml:space="preserve">
Formally CIN</t>
        </r>
      </text>
    </comment>
    <comment ref="B546" authorId="0">
      <text>
        <r>
          <rPr>
            <b/>
            <sz val="8"/>
            <color indexed="81"/>
            <rFont val="Tahoma"/>
            <family val="2"/>
          </rPr>
          <t>Thomas Kramer:</t>
        </r>
        <r>
          <rPr>
            <sz val="8"/>
            <color indexed="81"/>
            <rFont val="Tahoma"/>
            <family val="2"/>
          </rPr>
          <t xml:space="preserve">
added for 2012. CIN was split into two</t>
        </r>
      </text>
    </comment>
    <comment ref="B587" authorId="0">
      <text>
        <r>
          <rPr>
            <b/>
            <sz val="8"/>
            <color indexed="81"/>
            <rFont val="Tahoma"/>
            <family val="2"/>
          </rPr>
          <t>Thomas Kramer:</t>
        </r>
        <r>
          <rPr>
            <sz val="8"/>
            <color indexed="81"/>
            <rFont val="Tahoma"/>
            <family val="2"/>
          </rPr>
          <t xml:space="preserve">
Formally CIN</t>
        </r>
      </text>
    </comment>
    <comment ref="B588" authorId="0">
      <text>
        <r>
          <rPr>
            <b/>
            <sz val="8"/>
            <color indexed="81"/>
            <rFont val="Tahoma"/>
            <family val="2"/>
          </rPr>
          <t>Thomas Kramer:</t>
        </r>
        <r>
          <rPr>
            <sz val="8"/>
            <color indexed="81"/>
            <rFont val="Tahoma"/>
            <family val="2"/>
          </rPr>
          <t xml:space="preserve">
added for 2012. CIN was split into two</t>
        </r>
      </text>
    </comment>
    <comment ref="B629" authorId="0">
      <text>
        <r>
          <rPr>
            <b/>
            <sz val="8"/>
            <color indexed="81"/>
            <rFont val="Tahoma"/>
            <family val="2"/>
          </rPr>
          <t>Thomas Kramer:</t>
        </r>
        <r>
          <rPr>
            <sz val="8"/>
            <color indexed="81"/>
            <rFont val="Tahoma"/>
            <family val="2"/>
          </rPr>
          <t xml:space="preserve">
Formally CIN</t>
        </r>
      </text>
    </comment>
    <comment ref="B630" authorId="0">
      <text>
        <r>
          <rPr>
            <b/>
            <sz val="8"/>
            <color indexed="81"/>
            <rFont val="Tahoma"/>
            <family val="2"/>
          </rPr>
          <t>Thomas Kramer:</t>
        </r>
        <r>
          <rPr>
            <sz val="8"/>
            <color indexed="81"/>
            <rFont val="Tahoma"/>
            <family val="2"/>
          </rPr>
          <t xml:space="preserve">
added for 2012. CIN was split into two</t>
        </r>
      </text>
    </comment>
    <comment ref="B680" authorId="0">
      <text>
        <r>
          <rPr>
            <b/>
            <sz val="8"/>
            <color indexed="81"/>
            <rFont val="Tahoma"/>
            <family val="2"/>
          </rPr>
          <t>Thomas Kramer:</t>
        </r>
        <r>
          <rPr>
            <sz val="8"/>
            <color indexed="81"/>
            <rFont val="Tahoma"/>
            <family val="2"/>
          </rPr>
          <t xml:space="preserve">
Formally CIN</t>
        </r>
      </text>
    </comment>
    <comment ref="B681" authorId="0">
      <text>
        <r>
          <rPr>
            <b/>
            <sz val="8"/>
            <color indexed="81"/>
            <rFont val="Tahoma"/>
            <family val="2"/>
          </rPr>
          <t>Thomas Kramer:</t>
        </r>
        <r>
          <rPr>
            <sz val="8"/>
            <color indexed="81"/>
            <rFont val="Tahoma"/>
            <family val="2"/>
          </rPr>
          <t xml:space="preserve">
added for 2012. CIN was split into two</t>
        </r>
      </text>
    </comment>
  </commentList>
</comments>
</file>

<file path=xl/comments2.xml><?xml version="1.0" encoding="utf-8"?>
<comments xmlns="http://schemas.openxmlformats.org/spreadsheetml/2006/main">
  <authors>
    <author>Michael Gard</author>
  </authors>
  <commentList>
    <comment ref="B64" authorId="0">
      <text>
        <r>
          <rPr>
            <b/>
            <sz val="8"/>
            <color indexed="81"/>
            <rFont val="Tahoma"/>
            <family val="2"/>
          </rPr>
          <t>Michael Gard:</t>
        </r>
        <r>
          <rPr>
            <sz val="8"/>
            <color indexed="81"/>
            <rFont val="Tahoma"/>
            <family val="2"/>
          </rPr>
          <t xml:space="preserve">
ITCM load as reported on Attachment O less loads of other Transmission Oweners in ITCM zone.</t>
        </r>
      </text>
    </comment>
    <comment ref="B71" authorId="0">
      <text>
        <r>
          <rPr>
            <b/>
            <sz val="8"/>
            <color indexed="81"/>
            <rFont val="Tahoma"/>
            <family val="2"/>
          </rPr>
          <t>Michael Gard:</t>
        </r>
        <r>
          <rPr>
            <sz val="8"/>
            <color indexed="81"/>
            <rFont val="Tahoma"/>
            <family val="2"/>
          </rPr>
          <t xml:space="preserve">
Total will match amount reported on line 15, page 1 of 5, of the Actual ITCM Attachment O.</t>
        </r>
      </text>
    </comment>
    <comment ref="B72" authorId="0">
      <text>
        <r>
          <rPr>
            <b/>
            <sz val="8"/>
            <color indexed="81"/>
            <rFont val="Tahoma"/>
            <family val="2"/>
          </rPr>
          <t>Michael Gard:</t>
        </r>
        <r>
          <rPr>
            <sz val="8"/>
            <color indexed="81"/>
            <rFont val="Tahoma"/>
            <family val="2"/>
          </rPr>
          <t xml:space="preserve">
Includes only AC System load as reported on line 15, page 1 of 6, of the Actual Attachment O.</t>
        </r>
      </text>
    </comment>
    <comment ref="B81" authorId="0">
      <text>
        <r>
          <rPr>
            <b/>
            <sz val="8"/>
            <color indexed="81"/>
            <rFont val="Tahoma"/>
            <family val="2"/>
          </rPr>
          <t>Michael Gard:</t>
        </r>
        <r>
          <rPr>
            <sz val="8"/>
            <color indexed="81"/>
            <rFont val="Tahoma"/>
            <family val="2"/>
          </rPr>
          <t xml:space="preserve">
NSP load as reported on line 15, page 1 of 5, of the Actual Attachment O less NWEC, Blue Earth and Delano; as the loads for these three Transmission Owners are included in the load NSP has reported in line 15.</t>
        </r>
      </text>
    </comment>
  </commentList>
</comments>
</file>

<file path=xl/sharedStrings.xml><?xml version="1.0" encoding="utf-8"?>
<sst xmlns="http://schemas.openxmlformats.org/spreadsheetml/2006/main" count="2116" uniqueCount="597">
  <si>
    <t>Project ID:</t>
  </si>
  <si>
    <t>1366  GIP</t>
  </si>
  <si>
    <t>Project Name:</t>
  </si>
  <si>
    <t>G405, Colvill Generating station - Interconnection</t>
  </si>
  <si>
    <t>Voltage Class</t>
  </si>
  <si>
    <t>161 kV, 115 kV and 69 kV</t>
  </si>
  <si>
    <t xml:space="preserve">Region / Zone: </t>
  </si>
  <si>
    <t>West / NSP</t>
  </si>
  <si>
    <t>ARR</t>
  </si>
  <si>
    <t>Postage Stamp</t>
  </si>
  <si>
    <t>Sub-regional</t>
  </si>
  <si>
    <t>Allocation Total</t>
  </si>
  <si>
    <t>Allocation</t>
  </si>
  <si>
    <t>Pricing Zone</t>
  </si>
  <si>
    <t>%</t>
  </si>
  <si>
    <t>$</t>
  </si>
  <si>
    <t>FE</t>
  </si>
  <si>
    <t>HE</t>
  </si>
  <si>
    <t>VECT</t>
  </si>
  <si>
    <t>IPL</t>
  </si>
  <si>
    <t>NIPS</t>
  </si>
  <si>
    <t>METC</t>
  </si>
  <si>
    <t>ITC</t>
  </si>
  <si>
    <t>ITCM</t>
  </si>
  <si>
    <t>CWLD</t>
  </si>
  <si>
    <t>AMIL</t>
  </si>
  <si>
    <t>AMMO</t>
  </si>
  <si>
    <t>CWLP</t>
  </si>
  <si>
    <t>SIPC</t>
  </si>
  <si>
    <t>ATC</t>
  </si>
  <si>
    <t>NSP</t>
  </si>
  <si>
    <t>MP</t>
  </si>
  <si>
    <t>SMMPA</t>
  </si>
  <si>
    <t>GRE</t>
  </si>
  <si>
    <t>OTP</t>
  </si>
  <si>
    <t>MDU</t>
  </si>
  <si>
    <t>1456  GIP</t>
  </si>
  <si>
    <t>G255 - 100 MW wind generation, Brookings County, SD</t>
  </si>
  <si>
    <t>115 kV</t>
  </si>
  <si>
    <t>A</t>
  </si>
  <si>
    <t>B</t>
  </si>
  <si>
    <t>C</t>
  </si>
  <si>
    <t>E</t>
  </si>
  <si>
    <t>Revenue True-Up Adjustment</t>
  </si>
  <si>
    <t>Attachment GG</t>
  </si>
  <si>
    <t xml:space="preserve">Total </t>
  </si>
  <si>
    <t>Cost True-Up</t>
  </si>
  <si>
    <t>Revenue True-Up</t>
  </si>
  <si>
    <t>Zonal True-Up</t>
  </si>
  <si>
    <t>True-Up</t>
  </si>
  <si>
    <t>Adjustment</t>
  </si>
  <si>
    <t>Actual Revenue</t>
  </si>
  <si>
    <t>Interest</t>
  </si>
  <si>
    <t>Amount</t>
  </si>
  <si>
    <t>Over/(Under) collection</t>
  </si>
  <si>
    <t>F</t>
  </si>
  <si>
    <t>G</t>
  </si>
  <si>
    <t>Jan.</t>
  </si>
  <si>
    <t>Feb.</t>
  </si>
  <si>
    <t>Mar</t>
  </si>
  <si>
    <t>Apr</t>
  </si>
  <si>
    <t>May</t>
  </si>
  <si>
    <t>Jun</t>
  </si>
  <si>
    <t>Jul</t>
  </si>
  <si>
    <t>Aug</t>
  </si>
  <si>
    <t>Sep</t>
  </si>
  <si>
    <t>Oct</t>
  </si>
  <si>
    <t>Nov</t>
  </si>
  <si>
    <t>Dec</t>
  </si>
  <si>
    <t>12 CP</t>
  </si>
  <si>
    <t>DUK</t>
  </si>
  <si>
    <t>Michigan Joint Zone</t>
  </si>
  <si>
    <t>Michigan Jt Zone Subzone</t>
  </si>
  <si>
    <t>Total</t>
  </si>
  <si>
    <t>WVPA</t>
  </si>
  <si>
    <t>IMPA</t>
  </si>
  <si>
    <t>Joint Transmission System</t>
  </si>
  <si>
    <t>Michigan Joint Sub-Zone</t>
  </si>
  <si>
    <t xml:space="preserve">     Michigan Joint Zone</t>
  </si>
  <si>
    <t>MPPA</t>
  </si>
  <si>
    <t>Wolverine</t>
  </si>
  <si>
    <t>MSCPA</t>
  </si>
  <si>
    <t>Traverse City</t>
  </si>
  <si>
    <t>Grand Haven</t>
  </si>
  <si>
    <t>Zeeland</t>
  </si>
  <si>
    <t>Mich Joint Zone</t>
  </si>
  <si>
    <t>International</t>
  </si>
  <si>
    <t>Great River Energy</t>
  </si>
  <si>
    <t>Elk River</t>
  </si>
  <si>
    <t>Northern States</t>
  </si>
  <si>
    <t>ITC Midwest</t>
  </si>
  <si>
    <t>Mountian Lake</t>
  </si>
  <si>
    <t>Windom</t>
  </si>
  <si>
    <t>Minnesota Power</t>
  </si>
  <si>
    <t>Otter Tail</t>
  </si>
  <si>
    <t>Blue Earth</t>
  </si>
  <si>
    <t>Delano</t>
  </si>
  <si>
    <t>Projected</t>
  </si>
  <si>
    <t>Allocation %</t>
  </si>
  <si>
    <t>Revenue</t>
  </si>
  <si>
    <t xml:space="preserve">of Proj. Rev. </t>
  </si>
  <si>
    <t>of Non-Zonal</t>
  </si>
  <si>
    <t>Requirement</t>
  </si>
  <si>
    <t>Project</t>
  </si>
  <si>
    <t>Interest Calculation With Quarterly Compounding</t>
  </si>
  <si>
    <t>Principal</t>
  </si>
  <si>
    <t>Cumulative Interest</t>
  </si>
  <si>
    <t>Tipton</t>
  </si>
  <si>
    <t>Non-GFA</t>
  </si>
  <si>
    <t>Mi Joint Zone (Zone 13)</t>
  </si>
  <si>
    <t>GFA</t>
  </si>
  <si>
    <t>Mi Joint Zone Subzone (Zone 13A)</t>
  </si>
  <si>
    <t>MEC</t>
  </si>
  <si>
    <t>MPW</t>
  </si>
  <si>
    <t>Interest Calculation</t>
  </si>
  <si>
    <t>1457  GIP</t>
  </si>
  <si>
    <t>G287 - 200 MW wind generation, Nobles County, MN</t>
  </si>
  <si>
    <t>345 kV, 115 kV</t>
  </si>
  <si>
    <t>XEL1953_St Cloud - Sauk 115kV</t>
  </si>
  <si>
    <t>MI13AG</t>
  </si>
  <si>
    <t>MI13ANG</t>
  </si>
  <si>
    <t>DPC</t>
  </si>
  <si>
    <t>BREC</t>
  </si>
  <si>
    <t>MRES</t>
  </si>
  <si>
    <t>NWEC</t>
  </si>
  <si>
    <t>CFU</t>
  </si>
  <si>
    <t>Atlantic</t>
  </si>
  <si>
    <t>IPPA</t>
  </si>
  <si>
    <t>Eldridge</t>
  </si>
  <si>
    <t>Pella</t>
  </si>
  <si>
    <t>Montezuma</t>
  </si>
  <si>
    <t>Loads for Attachment GG True-Ups</t>
  </si>
  <si>
    <t>Note 6, 8, 10 and 12 Divisor</t>
  </si>
  <si>
    <t>Note 5, 7, 9 and 11 Divisor</t>
  </si>
  <si>
    <t>2765 GIP</t>
  </si>
  <si>
    <t>279 - NSP portion - see below for OTP, MP, GRE</t>
  </si>
  <si>
    <t>Boswell - Wilton 230 kV Line</t>
  </si>
  <si>
    <t>230 kV</t>
  </si>
  <si>
    <t>West / MPC, NSP, OTP, MP</t>
  </si>
  <si>
    <t>286 - NSP portion</t>
  </si>
  <si>
    <t>Capx_Twin Cities - Fargo 345kV project</t>
  </si>
  <si>
    <t>West / GRE/NSP/OTP/MP</t>
  </si>
  <si>
    <t>Capx_Twin Cities - La Crosse 345kV project</t>
  </si>
  <si>
    <t>1458  GIP</t>
  </si>
  <si>
    <t>G349 - 200 MW wind generation, Brookings County, SD</t>
  </si>
  <si>
    <t>1366</t>
  </si>
  <si>
    <t>1456</t>
  </si>
  <si>
    <t>1457</t>
  </si>
  <si>
    <t>1953</t>
  </si>
  <si>
    <t>279</t>
  </si>
  <si>
    <t>1024</t>
  </si>
  <si>
    <t>1458</t>
  </si>
  <si>
    <t>2765</t>
  </si>
  <si>
    <t>Ulik Wind Farm (G185)</t>
  </si>
  <si>
    <t>Att GG</t>
  </si>
  <si>
    <t>Interest on Over Collections</t>
  </si>
  <si>
    <t>Interest Rate FERC</t>
  </si>
  <si>
    <t>Over</t>
  </si>
  <si>
    <t>Under</t>
  </si>
  <si>
    <t>Revenue Booked</t>
  </si>
  <si>
    <t>Actual Revenue Booked</t>
  </si>
  <si>
    <t>Total Actual Revenue Booked</t>
  </si>
  <si>
    <t>Estimated</t>
  </si>
  <si>
    <t xml:space="preserve">D </t>
  </si>
  <si>
    <t>C - B</t>
  </si>
  <si>
    <t>A + D</t>
  </si>
  <si>
    <t>E +F</t>
  </si>
  <si>
    <t>Actual Book Revenue</t>
  </si>
  <si>
    <t>Cost True Up</t>
  </si>
  <si>
    <t>Load Adj Rev</t>
  </si>
  <si>
    <t>Act Booked Rev</t>
  </si>
  <si>
    <t>Act - Load Adj</t>
  </si>
  <si>
    <t>Total Adj</t>
  </si>
  <si>
    <t>Int</t>
  </si>
  <si>
    <t>Adj + Int</t>
  </si>
  <si>
    <t>Less Cost True-Up</t>
  </si>
  <si>
    <t>Less Rev True-Up</t>
  </si>
  <si>
    <t>Net Revenue after true-up</t>
  </si>
  <si>
    <t>Actaul Booked Revenue</t>
  </si>
  <si>
    <t>Load Adjusted Revenue By Zone</t>
  </si>
  <si>
    <t>Summary By Zone</t>
  </si>
  <si>
    <t>Actual</t>
  </si>
  <si>
    <t>2109   GIP</t>
  </si>
  <si>
    <t>XEL_2109_G609</t>
  </si>
  <si>
    <t>2119  GIP</t>
  </si>
  <si>
    <t>XEL_2119_G417</t>
  </si>
  <si>
    <t>ATSI = FE</t>
  </si>
  <si>
    <t>DUK = CIN</t>
  </si>
  <si>
    <t>SIGE = VECT</t>
  </si>
  <si>
    <t>Hutchinson</t>
  </si>
  <si>
    <t>GRE Total</t>
  </si>
  <si>
    <t>2109</t>
  </si>
  <si>
    <t>2119</t>
  </si>
  <si>
    <t>Interest Rate NSP Short Term</t>
  </si>
  <si>
    <t>2178 GIP</t>
  </si>
  <si>
    <t>Pleasant Valley</t>
  </si>
  <si>
    <t>Interest on Under Collections</t>
  </si>
  <si>
    <t>ATXI</t>
  </si>
  <si>
    <t>SMMPA Total</t>
  </si>
  <si>
    <t>NSP Total</t>
  </si>
  <si>
    <t>P</t>
  </si>
  <si>
    <t>DEO &amp; DEK</t>
  </si>
  <si>
    <t>B14</t>
  </si>
  <si>
    <t>B15</t>
  </si>
  <si>
    <t>B16</t>
  </si>
  <si>
    <t>B17</t>
  </si>
  <si>
    <t>B18</t>
  </si>
  <si>
    <t>B19</t>
  </si>
  <si>
    <t>B20</t>
  </si>
  <si>
    <t>B21</t>
  </si>
  <si>
    <t>B22</t>
  </si>
  <si>
    <t>B23</t>
  </si>
  <si>
    <t>B24</t>
  </si>
  <si>
    <t>B25</t>
  </si>
  <si>
    <t>B26</t>
  </si>
  <si>
    <t>B27</t>
  </si>
  <si>
    <t>B28</t>
  </si>
  <si>
    <t>B29</t>
  </si>
  <si>
    <t>B30</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</si>
  <si>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</si>
  <si>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</si>
  <si>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</si>
  <si>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</si>
  <si>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</si>
  <si>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</si>
  <si>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</si>
  <si>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</si>
  <si>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</si>
  <si>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</si>
  <si>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</si>
  <si>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</si>
  <si>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</si>
  <si>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</si>
  <si>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</si>
  <si>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</si>
  <si>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</si>
  <si>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</si>
  <si>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</si>
  <si>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</si>
  <si>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</si>
  <si>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</si>
  <si>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</si>
  <si>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</si>
  <si>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</si>
  <si>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</si>
  <si>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</si>
  <si>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B4</t>
  </si>
  <si>
    <t>B5</t>
  </si>
  <si>
    <t>B6</t>
  </si>
  <si>
    <t>B7</t>
  </si>
  <si>
    <t>B8</t>
  </si>
  <si>
    <t>B9</t>
  </si>
  <si>
    <t>B10</t>
  </si>
  <si>
    <t>B11</t>
  </si>
  <si>
    <t>B12</t>
  </si>
  <si>
    <t>B13</t>
  </si>
  <si>
    <t>Revenue Ratio</t>
  </si>
  <si>
    <t>XEL1285_Glencoe_2_WWACONIA_new115</t>
  </si>
  <si>
    <t>115Kv</t>
  </si>
  <si>
    <t>West/NSP</t>
  </si>
  <si>
    <t>DEI</t>
  </si>
  <si>
    <t>1st Qtr 2013</t>
  </si>
  <si>
    <t>2nd Qtr 2013</t>
  </si>
  <si>
    <t>3rd Qtr 2013</t>
  </si>
  <si>
    <t>4th Qtr 2013</t>
  </si>
  <si>
    <t>NSP Companies 2013 Attachment GG Annual True-Up</t>
  </si>
  <si>
    <t>2013 Estimated Revenue Requirement</t>
  </si>
  <si>
    <t>2013 Rev Requirement Act</t>
  </si>
  <si>
    <t xml:space="preserve">        Sch 26 Sub-Reg Rate Ad</t>
  </si>
  <si>
    <t>St Cloud Loop</t>
  </si>
  <si>
    <t>Cancelled</t>
  </si>
  <si>
    <t>Wilmarth Sub</t>
  </si>
  <si>
    <t>Total 2013 Rev Requirement Act</t>
  </si>
  <si>
    <t>2013 Est ARR</t>
  </si>
  <si>
    <t>2013 Actual Load</t>
  </si>
  <si>
    <t>2013 Projected Load</t>
  </si>
  <si>
    <t>Worthington</t>
  </si>
  <si>
    <t>Benson</t>
  </si>
  <si>
    <t>Detroit Lakes</t>
  </si>
  <si>
    <t>CMMPA- Agency</t>
  </si>
  <si>
    <t>MMPA</t>
  </si>
  <si>
    <t>PPI</t>
  </si>
  <si>
    <t>EATO</t>
  </si>
  <si>
    <t>AECC</t>
  </si>
  <si>
    <t>ELTO</t>
  </si>
  <si>
    <t>CLEC</t>
  </si>
  <si>
    <t>ENO</t>
  </si>
  <si>
    <t>EGSL</t>
  </si>
  <si>
    <t>EMTO</t>
  </si>
  <si>
    <t>SME</t>
  </si>
  <si>
    <t>ETTO</t>
  </si>
  <si>
    <t>Sam Houston</t>
  </si>
  <si>
    <t>Tex-La</t>
  </si>
  <si>
    <t>Jasper-Newton</t>
  </si>
  <si>
    <t>Deep East Texas</t>
  </si>
  <si>
    <t>LAFA</t>
  </si>
  <si>
    <t>New 2013</t>
  </si>
  <si>
    <t>New in 2013</t>
  </si>
  <si>
    <t>Jasper Newton</t>
  </si>
  <si>
    <t>Actual 2013 Rev Req</t>
  </si>
  <si>
    <t>2013 Revenue recorded in JDE</t>
  </si>
  <si>
    <t>286</t>
  </si>
  <si>
    <t>2178</t>
  </si>
  <si>
    <t>1285</t>
  </si>
  <si>
    <t>2307</t>
  </si>
  <si>
    <t>3104</t>
  </si>
  <si>
    <t>Based upon the updated Attachment GG using actual 2013 Attachment O costs.</t>
  </si>
  <si>
    <t xml:space="preserve">Data Per MISO </t>
  </si>
  <si>
    <t>Load Information per MISO</t>
  </si>
  <si>
    <t>Formula Rate calculation</t>
  </si>
  <si>
    <t xml:space="preserve">     Rate Formula Template</t>
  </si>
  <si>
    <t>For  the 12 months ended 12/31/13</t>
  </si>
  <si>
    <t xml:space="preserve"> </t>
  </si>
  <si>
    <t xml:space="preserve"> Utilizing Attachment O Data</t>
  </si>
  <si>
    <t>Page 1 of 2</t>
  </si>
  <si>
    <t>Northern States Power Companies</t>
  </si>
  <si>
    <t>To be completed in conjunction with Attachment O.</t>
  </si>
  <si>
    <t>(1)</t>
  </si>
  <si>
    <t>(2)</t>
  </si>
  <si>
    <t>(3)</t>
  </si>
  <si>
    <t>(4)</t>
  </si>
  <si>
    <t>Attachment O</t>
  </si>
  <si>
    <t>Line</t>
  </si>
  <si>
    <t>Page, Line, Col.</t>
  </si>
  <si>
    <t>Transmission</t>
  </si>
  <si>
    <t>Allocator</t>
  </si>
  <si>
    <t>No.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</si>
  <si>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</si>
  <si>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</si>
  <si>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</si>
  <si>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</si>
  <si>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</si>
  <si>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</si>
  <si>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</si>
  <si>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</si>
  <si>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</si>
  <si>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</si>
  <si>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</si>
  <si>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</si>
  <si>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</si>
  <si>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</si>
  <si>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</si>
  <si>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</si>
  <si>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</si>
  <si>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</si>
  <si>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</si>
  <si>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</si>
  <si>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</si>
  <si>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</si>
  <si>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</si>
  <si>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</si>
  <si>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</si>
  <si>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</si>
  <si>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</si>
  <si>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</si>
  <si>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</si>
  <si>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</si>
  <si>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</si>
  <si>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</si>
  <si>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</si>
  <si>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</si>
  <si>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</si>
  <si>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</si>
  <si>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</si>
  <si>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</si>
  <si>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</si>
  <si>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</si>
  <si>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</si>
  <si>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</si>
  <si>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</si>
  <si>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</si>
  <si>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</si>
  <si>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</si>
  <si>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</si>
  <si>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</si>
  <si>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</si>
  <si>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</si>
  <si>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</si>
  <si>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</si>
  <si>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</si>
  <si>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</si>
  <si>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</si>
  <si>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</si>
  <si>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(Note C)</t>
  </si>
  <si>
    <t>(Page 1 line 7)</t>
  </si>
  <si>
    <t>(Col. 3 * Col. 4)</t>
  </si>
  <si>
    <t>(Note D)</t>
  </si>
  <si>
    <t>(Page 1 line 12)</t>
  </si>
  <si>
    <t>(Col. 6 * Col. 7)</t>
  </si>
  <si>
    <t>(Note E)</t>
  </si>
  <si>
    <t>(Sum Col. 5, 8 &amp; 9)</t>
  </si>
  <si>
    <t>(Note F)</t>
  </si>
  <si>
    <t>Sum Col. 10 &amp; 11
(Note G)</t>
  </si>
  <si>
    <t>Original GG    Rev Req</t>
  </si>
  <si>
    <t>1a</t>
  </si>
  <si>
    <t>Yankee (Colvill) Gen Station</t>
  </si>
  <si>
    <t>1b</t>
  </si>
  <si>
    <t>Cannon Falls</t>
  </si>
  <si>
    <t>1c</t>
  </si>
  <si>
    <t>Nobles Gen Station</t>
  </si>
  <si>
    <t>1d</t>
  </si>
  <si>
    <t>St. Cloud / Sauk River</t>
  </si>
  <si>
    <t>1e</t>
  </si>
  <si>
    <t>Bemidji</t>
  </si>
  <si>
    <t>1f</t>
  </si>
  <si>
    <t>Twin Cities - Fargo</t>
  </si>
  <si>
    <t>1g</t>
  </si>
  <si>
    <t>Twin Cities - Rochester</t>
  </si>
  <si>
    <t>1h</t>
  </si>
  <si>
    <t>G349  37774-01 Upgrades for G349</t>
  </si>
  <si>
    <t>1i</t>
  </si>
  <si>
    <t>1j</t>
  </si>
  <si>
    <t>G809 Network Upgrades</t>
  </si>
  <si>
    <t>1k</t>
  </si>
  <si>
    <t>G417 Network Upgrades</t>
  </si>
  <si>
    <t>1l</t>
  </si>
  <si>
    <t>1m</t>
  </si>
  <si>
    <t>Glenco Waconia</t>
  </si>
  <si>
    <t>1n</t>
  </si>
  <si>
    <t>1o</t>
  </si>
  <si>
    <t>St. Cloud Loop (Cancelled)</t>
  </si>
  <si>
    <t>2</t>
  </si>
  <si>
    <t>Annual Totals</t>
  </si>
  <si>
    <t>Rev. Req. Adj For Attachment O</t>
  </si>
  <si>
    <t>2013 Rev Req Based on 2013 Actuals</t>
  </si>
  <si>
    <t>Note</t>
  </si>
  <si>
    <t>Letter</t>
  </si>
  <si>
    <r>
      <t>Gross Transmission Plant is that identified on page 2 line 2 of Attachment O and includes any sub lines 2a or 2b etc. and is inclusive of any CWIP included in rate base when authorized by FERC order</t>
    </r>
    <r>
      <rPr>
        <sz val="12"/>
        <rFont val="Times New Roman"/>
        <family val="1"/>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</si>
  <si>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Times New Roman"/>
        <family val="1"/>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</si>
  <si>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</si>
  <si>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D</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</si>
  <si>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</si>
  <si>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</si>
  <si>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</si>
  <si>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 26.</t>
  </si>
  <si>
    <t>H</t>
  </si>
  <si>
    <t>The Total General and Common Depreciation Expense excludes any depreciation expense directly associated with a project and thereby included in page 2 column 9.</t>
  </si>
  <si>
    <t>Attachment MM</t>
  </si>
  <si>
    <t>For  the 12 months ended 12/31/2013</t>
  </si>
  <si>
    <t>NSP Companies</t>
  </si>
  <si>
    <t>(inputs from Attachment O are rounded to whole dollars)</t>
  </si>
  <si>
    <t>Transmission Accumulated Depreciation</t>
  </si>
  <si>
    <t xml:space="preserve">Attach O, p 2, line 8 col 5 </t>
  </si>
  <si>
    <t>Line 1 minus Line 1a (Note B)</t>
  </si>
  <si>
    <t>O&amp;M TRANSMISSION EXPENSE</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</si>
  <si>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</si>
  <si>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</si>
  <si>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</si>
  <si>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</si>
  <si>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</si>
  <si>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</si>
  <si>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</si>
  <si>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</si>
  <si>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</si>
  <si>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</si>
  <si>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</si>
  <si>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</si>
  <si>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</si>
  <si>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</si>
  <si>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</si>
  <si>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</si>
  <si>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</si>
  <si>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</si>
  <si>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</si>
  <si>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</si>
  <si>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</si>
  <si>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</si>
  <si>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</si>
  <si>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</si>
  <si>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(5)</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</si>
  <si>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</si>
  <si>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</si>
  <si>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</si>
  <si>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</si>
  <si>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</si>
  <si>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</si>
  <si>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</si>
  <si>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</si>
  <si>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</si>
  <si>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</si>
  <si>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</si>
  <si>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</si>
  <si>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</si>
  <si>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</si>
  <si>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</si>
  <si>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</si>
  <si>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</si>
  <si>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</si>
  <si>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</si>
  <si>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</si>
  <si>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</si>
  <si>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</si>
  <si>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</si>
  <si>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</si>
  <si>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(Page 1 line 14)</t>
  </si>
  <si>
    <t>(Col 10 * Col 11)</t>
  </si>
  <si>
    <t>(Sum Col. 9, 12 &amp; 13)</t>
  </si>
  <si>
    <t>Sum Col. 14 &amp; 15
(Note G)</t>
  </si>
  <si>
    <t>Multi-Value Projects (MVP)</t>
  </si>
  <si>
    <t>Brookings CWIP</t>
  </si>
  <si>
    <t xml:space="preserve">Brookings In Service </t>
  </si>
  <si>
    <t>MVP Total Annual Revenue Requirements</t>
  </si>
  <si>
    <t>Gross Transmission Plant is that identified on page 2 line 2 of Attachment O and includes any sub lines 2a or 2b etc. and is inclusive of any CWIP included in rate base when authorized by FERC order less any prefunded AFUDC, if applicable. Transmission  Accumulated</t>
  </si>
  <si>
    <t>Depreciation comports with this Note A and Note B below.  References to Attachment O "Column 5" throughout this tempalte is an illustrative column designation intended to refernce the appropriate right-most column in Attachment O which position may vary by company.</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</si>
  <si>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</si>
  <si>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</si>
  <si>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</si>
  <si>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Note deliberately left blank.</t>
  </si>
  <si>
    <t>True-Up Adjustment is included pursuant to a FERC approved methodology if applicable.</t>
  </si>
  <si>
    <t>The MVP Annual Revenue Requirement is the value to be used in Schedule 26-A.</t>
  </si>
  <si>
    <t>The Total General and Common Depreciation Expense excludes any depreciation expense directly associated with a project and thereby included in page 2 column 13.</t>
  </si>
  <si>
    <t>Original MM    Rev Req</t>
  </si>
  <si>
    <t>Attachment MM True-Up Adjustment - Project Basis</t>
  </si>
  <si>
    <t>To be completed after the Attachment MM using actual data is completed for the True-Up Year</t>
  </si>
  <si>
    <t xml:space="preserve">Company Name:  </t>
  </si>
  <si>
    <t>Northern States Power Company</t>
  </si>
  <si>
    <t xml:space="preserve">True-Up Year:  </t>
  </si>
  <si>
    <t xml:space="preserve">Note:  </t>
  </si>
  <si>
    <t>(a)</t>
  </si>
  <si>
    <t>(b)</t>
  </si>
  <si>
    <t>(c)</t>
  </si>
  <si>
    <t>(d)</t>
  </si>
  <si>
    <t>(e)</t>
  </si>
  <si>
    <t>(f)</t>
  </si>
  <si>
    <t>(g)</t>
  </si>
  <si>
    <t>(h)</t>
  </si>
  <si>
    <t>(i)</t>
  </si>
  <si>
    <t>(j)</t>
  </si>
  <si>
    <t>(k)</t>
  </si>
  <si>
    <t>Applicable</t>
  </si>
  <si>
    <t>MTEP</t>
  </si>
  <si>
    <t>Annual</t>
  </si>
  <si>
    <t>Revenues</t>
  </si>
  <si>
    <t>Allocated</t>
  </si>
  <si>
    <t>Rate on</t>
  </si>
  <si>
    <t>Name</t>
  </si>
  <si>
    <t>Number</t>
  </si>
  <si>
    <t>Under/(Over)</t>
  </si>
  <si>
    <t>[Col. (d), line 1</t>
  </si>
  <si>
    <t>x (Col. (e), line 2x /</t>
  </si>
  <si>
    <t>Line 5 or</t>
  </si>
  <si>
    <t>Col. (h) x Col. (i)</t>
  </si>
  <si>
    <t>Col. (g) - Col. (f)</t>
  </si>
  <si>
    <t>Line 6</t>
  </si>
  <si>
    <t>Col. (h) + Col. (j)</t>
  </si>
  <si>
    <t>2a</t>
  </si>
  <si>
    <t>Brookings</t>
  </si>
  <si>
    <t>Subtotal</t>
  </si>
  <si>
    <t>Under/(Over) Recovery</t>
  </si>
  <si>
    <t>Interest rate per month on Under Recovery (expressed to four decimal places)</t>
  </si>
  <si>
    <t>Interest rate per month on Over Recovery (expressed to four decimal places)</t>
  </si>
  <si>
    <t>1</t>
  </si>
  <si>
    <t>Amount excludes True-Up Adjustment, as reported in True-Up Year projected Attachment MM, page 2, column 15.</t>
  </si>
  <si>
    <t>Rounded to whole dollars.</t>
  </si>
  <si>
    <r>
      <t xml:space="preserve">Requirement </t>
    </r>
    <r>
      <rPr>
        <vertAlign val="superscript"/>
        <sz val="11"/>
        <color indexed="8"/>
        <rFont val="Arial"/>
        <family val="2"/>
      </rPr>
      <t>1</t>
    </r>
  </si>
  <si>
    <r>
      <t xml:space="preserve">to Projects </t>
    </r>
    <r>
      <rPr>
        <vertAlign val="superscript"/>
        <sz val="11"/>
        <color indexed="8"/>
        <rFont val="Arial"/>
        <family val="2"/>
      </rPr>
      <t>1</t>
    </r>
  </si>
  <si>
    <r>
      <t xml:space="preserve">Actual Attachment MM revenues for True-Up Year </t>
    </r>
    <r>
      <rPr>
        <vertAlign val="superscript"/>
        <sz val="11"/>
        <color indexed="8"/>
        <rFont val="Arial"/>
        <family val="2"/>
      </rPr>
      <t>1</t>
    </r>
  </si>
  <si>
    <r>
      <t>p 2 of 2, Col. 14</t>
    </r>
    <r>
      <rPr>
        <vertAlign val="superscript"/>
        <sz val="10"/>
        <color indexed="8"/>
        <rFont val="Arial"/>
        <family val="2"/>
      </rPr>
      <t>2</t>
    </r>
  </si>
  <si>
    <r>
      <t>Col. (e), line 3)]</t>
    </r>
    <r>
      <rPr>
        <vertAlign val="superscript"/>
        <sz val="10"/>
        <color indexed="8"/>
        <rFont val="Arial"/>
        <family val="2"/>
      </rPr>
      <t>2</t>
    </r>
  </si>
  <si>
    <r>
      <t xml:space="preserve">x 24 months </t>
    </r>
    <r>
      <rPr>
        <vertAlign val="superscript"/>
        <sz val="10"/>
        <color indexed="8"/>
        <rFont val="Arial"/>
        <family val="2"/>
      </rPr>
      <t>2</t>
    </r>
  </si>
  <si>
    <t>1st Qtr 2014</t>
  </si>
  <si>
    <t>2nd Qtr 2014</t>
  </si>
  <si>
    <t>3rd Qtr 2014</t>
  </si>
  <si>
    <t>4th Qtr 2014</t>
  </si>
  <si>
    <t>Wilmarth Sub (effective 2014)</t>
  </si>
  <si>
    <t>Attachment GG - Supporting Data for Network Upgrade Charge Calculation - Forward Looking Rate Transmission Owner</t>
  </si>
  <si>
    <t xml:space="preserve">Rate Year </t>
  </si>
  <si>
    <t>Reporting Company</t>
  </si>
  <si>
    <t>Reliability</t>
  </si>
  <si>
    <t>MTEP Project ID</t>
  </si>
  <si>
    <t>GIP</t>
  </si>
  <si>
    <t>Allocation Type Per Attachment FF</t>
  </si>
  <si>
    <t>Gross Plant</t>
  </si>
  <si>
    <t>Column (3)</t>
  </si>
  <si>
    <t>February</t>
  </si>
  <si>
    <t xml:space="preserve">March </t>
  </si>
  <si>
    <t>April</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</si>
  <si>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</si>
  <si>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</si>
  <si>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</si>
  <si>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</si>
  <si>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</si>
  <si>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</si>
  <si>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</si>
  <si>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</si>
  <si>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</si>
  <si>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</si>
  <si>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</si>
  <si>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</si>
  <si>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</si>
  <si>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</si>
  <si>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</si>
  <si>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MM - Supporting Data for Network Upgrade Charge Calculation - Forward Looking Rate Transmission Owner</t>
  </si>
  <si>
    <t>1203</t>
  </si>
  <si>
    <t>Column (4)</t>
  </si>
  <si>
    <t>Column (10)</t>
  </si>
  <si>
    <t>Column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</si>
</sst>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 #,##0_);_(* \(#,##0\);_(* &quot;-&quot;??_);_(@_)"/>
    <numFmt numFmtId="168" formatCode="0.0000%"/>
    <numFmt numFmtId="169" formatCode="_(* #,##0.0000_);_(* \(#,##0.0000\);_(* &quot;-&quot;??_);_(@_)"/>
    <numFmt numFmtId="170" formatCode="0.000%"/>
    <numFmt numFmtId="171" formatCode="0.0000"/>
    <numFmt numFmtId="172" formatCode="_(* #,##0.00000000000000000000000000000000000_);_(* \(#,##0.00000000000000000000000000000000000\);_(* &quot;-&quot;??_);_(@_)"/>
    <numFmt numFmtId="173" formatCode="#,##0.00000"/>
    <numFmt numFmtId="174" formatCode="0_);\(0\)"/>
  </numFmts>
  <fonts count="56">
    <font>
      <sz val="12"/>
      <name val="Times New Roman"/>
    </font>
    <font>
      <sz val="12"/>
      <name val="Times New Roman"/>
      <family val="1"/>
    </font>
    <font>
      <sz val="10"/>
      <color indexed="8"/>
      <name val="Arial Narrow"/>
      <family val="2"/>
    </font>
    <font>
      <sz val="10"/>
      <color indexed="8"/>
      <name val="Arial"/>
      <family val="2"/>
    </font>
    <font>
      <sz val="8"/>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sz val="12"/>
      <color indexed="12"/>
      <name val="Times New Roman"/>
      <family val="1"/>
    </font>
    <font>
      <b/>
      <sz val="8"/>
      <color indexed="81"/>
      <name val="Tahoma"/>
      <family val="2"/>
    </font>
    <font>
      <sz val="8"/>
      <color indexed="81"/>
      <name val="Tahoma"/>
      <family val="2"/>
    </font>
    <font>
      <sz val="14"/>
      <name val="Times New Roman"/>
      <family val="1"/>
    </font>
    <font>
      <sz val="12"/>
      <color indexed="56"/>
      <name val="Times New Roman"/>
      <family val="1"/>
    </font>
    <font>
      <u/>
      <sz val="12"/>
      <name val="Times New Roman"/>
      <family val="1"/>
    </font>
    <font>
      <sz val="12"/>
      <color indexed="30"/>
      <name val="Times New Roman"/>
      <family val="1"/>
    </font>
    <font>
      <sz val="8"/>
      <color indexed="8"/>
      <name val="Times New Roman"/>
      <family val="1"/>
    </font>
    <font>
      <sz val="9"/>
      <name val="Times New Roman"/>
      <family val="1"/>
    </font>
    <font>
      <sz val="14"/>
      <color indexed="8"/>
      <name val="Times New Roman"/>
      <family val="1"/>
    </font>
    <font>
      <b/>
      <sz val="12"/>
      <name val="Arial Narrow"/>
      <family val="2"/>
    </font>
    <font>
      <b/>
      <sz val="18"/>
      <color indexed="56"/>
      <name val="Cambria"/>
      <family val="2"/>
    </font>
    <font>
      <sz val="12"/>
      <name val="Wingdings 2"/>
      <family val="1"/>
      <charset val="2"/>
    </font>
    <font>
      <sz val="10"/>
      <color indexed="8"/>
      <name val="Arial"/>
      <family val="2"/>
    </font>
    <font>
      <sz val="12"/>
      <color indexed="62"/>
      <name val="Times New Roman"/>
      <family val="1"/>
    </font>
    <font>
      <sz val="12"/>
      <name val="Arial"/>
      <family val="2"/>
    </font>
    <font>
      <sz val="12"/>
      <color indexed="17"/>
      <name val="Arial MT"/>
    </font>
    <font>
      <b/>
      <sz val="12"/>
      <name val="Arial"/>
      <family val="2"/>
    </font>
    <font>
      <b/>
      <sz val="12"/>
      <name val="Arial MT"/>
    </font>
    <font>
      <b/>
      <u/>
      <sz val="12"/>
      <name val="Arial MT"/>
    </font>
    <font>
      <sz val="12"/>
      <name val="Arial"/>
      <family val="2"/>
    </font>
    <font>
      <sz val="12"/>
      <color indexed="10"/>
      <name val="Arial MT"/>
    </font>
    <font>
      <sz val="12"/>
      <color indexed="10"/>
      <name val="Arial"/>
      <family val="2"/>
    </font>
    <font>
      <sz val="12"/>
      <name val="Arial MT"/>
    </font>
    <font>
      <sz val="12"/>
      <color indexed="9"/>
      <name val="Arial MT"/>
    </font>
    <font>
      <sz val="10"/>
      <name val="Arial MT"/>
    </font>
    <font>
      <sz val="10"/>
      <color indexed="9"/>
      <name val="Arial MT"/>
    </font>
    <font>
      <sz val="11"/>
      <name val="Arial"/>
      <family val="2"/>
    </font>
    <font>
      <sz val="10"/>
      <name val="Arial"/>
      <family val="2"/>
    </font>
    <font>
      <u/>
      <sz val="12"/>
      <name val="Arial"/>
      <family val="2"/>
    </font>
    <font>
      <sz val="11"/>
      <name val="Arial"/>
      <family val="2"/>
    </font>
    <font>
      <sz val="12"/>
      <color indexed="17"/>
      <name val="Arial"/>
      <family val="2"/>
    </font>
    <font>
      <vertAlign val="superscript"/>
      <sz val="11"/>
      <color indexed="8"/>
      <name val="Arial"/>
      <family val="2"/>
    </font>
    <font>
      <sz val="11"/>
      <color indexed="30"/>
      <name val="Arial"/>
      <family val="2"/>
    </font>
    <font>
      <b/>
      <sz val="11"/>
      <color indexed="8"/>
      <name val="Arial"/>
      <family val="2"/>
    </font>
    <font>
      <sz val="11"/>
      <color indexed="8"/>
      <name val="Arial"/>
      <family val="2"/>
    </font>
    <font>
      <vertAlign val="superscript"/>
      <sz val="10"/>
      <color indexed="8"/>
      <name val="Arial"/>
      <family val="2"/>
    </font>
    <font>
      <sz val="11"/>
      <color indexed="9"/>
      <name val="Arial"/>
      <family val="2"/>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b/>
      <sz val="10"/>
      <name val="Arial MT"/>
    </font>
    <font>
      <sz val="10"/>
      <color indexed="9"/>
      <name val="Arial"/>
      <family val="2"/>
    </font>
    <font>
      <sz val="10"/>
      <color indexed="49"/>
      <name val="Arial"/>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22"/>
      </right>
      <top/>
      <bottom style="thin">
        <color indexed="22"/>
      </bottom>
      <diagonal/>
    </border>
    <border>
      <left/>
      <right/>
      <top/>
      <bottom style="thin">
        <color indexed="22"/>
      </bottom>
      <diagonal/>
    </border>
    <border>
      <left style="thin">
        <color indexed="64"/>
      </left>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style="thin">
        <color indexed="22"/>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right/>
      <top/>
      <bottom style="medium">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s>
  <cellStyleXfs count="11">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xf numFmtId="166" fontId="32" fillId="0" borderId="0" applyProtection="0"/>
    <xf numFmtId="0" fontId="2" fillId="0" borderId="0"/>
    <xf numFmtId="0" fontId="2" fillId="0" borderId="0"/>
    <xf numFmtId="0" fontId="3" fillId="0" borderId="0"/>
    <xf numFmtId="9" fontId="1" fillId="0" borderId="0" applyFont="0" applyFill="0" applyBorder="0" applyAlignment="0" applyProtection="0"/>
    <xf numFmtId="0" fontId="47" fillId="0" borderId="0">
      <alignment vertical="top"/>
    </xf>
    <xf numFmtId="0" fontId="37" fillId="0" borderId="0"/>
    <xf numFmtId="166" fontId="32" fillId="0" borderId="0" applyProtection="0"/>
  </cellStyleXfs>
  <cellXfs count="676">
    <xf numFmtId="0" fontId="0" fillId="0" borderId="0" xfId="0" applyAlignment="1"/>
    <xf numFmtId="0" fontId="5" fillId="0" borderId="0" xfId="5" applyFont="1" applyBorder="1" applyAlignment="1">
      <alignment vertical="center" wrapText="1"/>
    </xf>
    <xf numFmtId="0" fontId="6" fillId="0" borderId="0" xfId="0" applyFont="1" applyAlignment="1"/>
    <xf numFmtId="0" fontId="6" fillId="0" borderId="0" xfId="0" applyFont="1" applyAlignment="1">
      <alignment horizontal="center"/>
    </xf>
    <xf numFmtId="0" fontId="6" fillId="0" borderId="0" xfId="0" applyFont="1" applyFill="1" applyBorder="1" applyAlignment="1">
      <alignment horizontal="center"/>
    </xf>
    <xf numFmtId="166" fontId="6" fillId="0" borderId="1" xfId="0" applyNumberFormat="1" applyFont="1" applyBorder="1" applyAlignment="1"/>
    <xf numFmtId="166" fontId="6" fillId="0" borderId="1" xfId="0" applyNumberFormat="1" applyFont="1" applyBorder="1" applyAlignment="1">
      <alignment horizontal="center"/>
    </xf>
    <xf numFmtId="9" fontId="5" fillId="2" borderId="2" xfId="5" applyNumberFormat="1" applyFont="1" applyFill="1" applyBorder="1" applyAlignment="1">
      <alignment horizontal="center"/>
    </xf>
    <xf numFmtId="166" fontId="6" fillId="0" borderId="3" xfId="0" applyNumberFormat="1" applyFont="1" applyBorder="1" applyAlignment="1">
      <alignment horizontal="center"/>
    </xf>
    <xf numFmtId="166" fontId="6" fillId="0" borderId="3" xfId="0" applyNumberFormat="1" applyFont="1" applyBorder="1" applyAlignment="1"/>
    <xf numFmtId="0" fontId="6" fillId="3" borderId="4" xfId="5" applyFont="1" applyFill="1" applyBorder="1" applyAlignment="1">
      <alignment vertical="top"/>
    </xf>
    <xf numFmtId="166" fontId="6" fillId="0" borderId="5" xfId="0" applyNumberFormat="1" applyFont="1" applyBorder="1" applyAlignment="1">
      <alignment horizontal="center"/>
    </xf>
    <xf numFmtId="166" fontId="6" fillId="0" borderId="5" xfId="0" applyNumberFormat="1" applyFont="1" applyFill="1" applyBorder="1" applyAlignment="1">
      <alignment horizontal="center"/>
    </xf>
    <xf numFmtId="0" fontId="5" fillId="0" borderId="6" xfId="5" applyFont="1" applyBorder="1" applyAlignment="1">
      <alignment vertical="top" wrapText="1"/>
    </xf>
    <xf numFmtId="0" fontId="5" fillId="0" borderId="7" xfId="5" applyFont="1" applyFill="1" applyBorder="1" applyAlignment="1">
      <alignment horizontal="center" vertical="top" wrapText="1"/>
    </xf>
    <xf numFmtId="0" fontId="5" fillId="0" borderId="8" xfId="5" applyFont="1" applyFill="1" applyBorder="1" applyAlignment="1">
      <alignment horizontal="center" vertical="top" wrapText="1"/>
    </xf>
    <xf numFmtId="0" fontId="5" fillId="0" borderId="0" xfId="5" applyFont="1" applyFill="1" applyBorder="1" applyAlignment="1">
      <alignment horizontal="center" vertical="top" wrapText="1"/>
    </xf>
    <xf numFmtId="166" fontId="6" fillId="0" borderId="0" xfId="0" applyNumberFormat="1" applyFont="1" applyAlignment="1"/>
    <xf numFmtId="0" fontId="7" fillId="0" borderId="9" xfId="6" applyFont="1" applyFill="1" applyBorder="1" applyAlignment="1">
      <alignment vertical="top"/>
    </xf>
    <xf numFmtId="10" fontId="9" fillId="0" borderId="10" xfId="7" applyNumberFormat="1" applyFont="1" applyBorder="1" applyAlignment="1">
      <alignment vertical="top"/>
    </xf>
    <xf numFmtId="10" fontId="9" fillId="0" borderId="11" xfId="7" applyNumberFormat="1" applyFont="1" applyBorder="1" applyAlignment="1">
      <alignment vertical="top"/>
    </xf>
    <xf numFmtId="165" fontId="6" fillId="0" borderId="0" xfId="0" applyNumberFormat="1" applyFont="1" applyAlignment="1"/>
    <xf numFmtId="165" fontId="6" fillId="0" borderId="0" xfId="2" applyNumberFormat="1" applyFont="1"/>
    <xf numFmtId="0" fontId="7" fillId="0" borderId="12" xfId="6" applyFont="1" applyFill="1" applyBorder="1" applyAlignment="1">
      <alignment vertical="top"/>
    </xf>
    <xf numFmtId="0" fontId="7" fillId="0" borderId="13" xfId="6" applyFont="1" applyFill="1" applyBorder="1" applyAlignment="1">
      <alignment vertical="top"/>
    </xf>
    <xf numFmtId="0" fontId="6" fillId="0" borderId="14" xfId="5" applyFont="1" applyFill="1" applyBorder="1" applyAlignment="1">
      <alignment vertical="top"/>
    </xf>
    <xf numFmtId="10" fontId="6" fillId="0" borderId="15" xfId="7" applyNumberFormat="1" applyFont="1" applyFill="1" applyBorder="1" applyAlignment="1">
      <alignment vertical="top"/>
    </xf>
    <xf numFmtId="10" fontId="6" fillId="0" borderId="8" xfId="7" applyNumberFormat="1" applyFont="1" applyFill="1" applyBorder="1" applyAlignment="1">
      <alignment vertical="top"/>
    </xf>
    <xf numFmtId="0" fontId="7" fillId="0" borderId="0" xfId="6" applyFont="1" applyFill="1" applyBorder="1" applyAlignment="1">
      <alignment vertical="top"/>
    </xf>
    <xf numFmtId="165" fontId="6" fillId="0" borderId="0" xfId="2" applyNumberFormat="1" applyFont="1" applyFill="1" applyBorder="1" applyAlignment="1">
      <alignment vertical="top"/>
    </xf>
    <xf numFmtId="0" fontId="6" fillId="0" borderId="0" xfId="0" applyFont="1" applyBorder="1" applyAlignment="1"/>
    <xf numFmtId="165" fontId="6" fillId="0" borderId="0" xfId="2" applyNumberFormat="1" applyFont="1" applyBorder="1"/>
    <xf numFmtId="168" fontId="6" fillId="0" borderId="0" xfId="7" applyNumberFormat="1" applyFont="1"/>
    <xf numFmtId="167" fontId="6" fillId="0" borderId="0" xfId="1" applyNumberFormat="1" applyFont="1"/>
    <xf numFmtId="167" fontId="6" fillId="0" borderId="0" xfId="0" applyNumberFormat="1" applyFont="1" applyAlignment="1"/>
    <xf numFmtId="167" fontId="6" fillId="0" borderId="6" xfId="0" applyNumberFormat="1" applyFont="1" applyBorder="1" applyAlignment="1"/>
    <xf numFmtId="0" fontId="6" fillId="0" borderId="5" xfId="0" applyFont="1" applyBorder="1" applyAlignment="1">
      <alignment horizontal="center"/>
    </xf>
    <xf numFmtId="0" fontId="6" fillId="0" borderId="1" xfId="0" applyFont="1" applyBorder="1" applyAlignment="1">
      <alignment horizontal="center"/>
    </xf>
    <xf numFmtId="0" fontId="12" fillId="0" borderId="0" xfId="0" applyFont="1" applyAlignment="1"/>
    <xf numFmtId="0" fontId="8" fillId="0" borderId="0" xfId="0" applyFont="1" applyAlignment="1"/>
    <xf numFmtId="0" fontId="7" fillId="0" borderId="0" xfId="0" applyFont="1" applyAlignment="1"/>
    <xf numFmtId="0" fontId="7" fillId="0" borderId="0" xfId="0" applyFont="1" applyAlignment="1">
      <alignment horizontal="center"/>
    </xf>
    <xf numFmtId="166" fontId="6" fillId="0" borderId="2" xfId="0" applyNumberFormat="1" applyFont="1" applyBorder="1" applyAlignment="1">
      <alignment horizontal="center"/>
    </xf>
    <xf numFmtId="166" fontId="6" fillId="0" borderId="16" xfId="0" applyNumberFormat="1" applyFont="1" applyBorder="1" applyAlignment="1">
      <alignment horizontal="center"/>
    </xf>
    <xf numFmtId="166" fontId="14" fillId="0" borderId="4" xfId="0" applyNumberFormat="1" applyFont="1" applyBorder="1" applyAlignment="1">
      <alignment horizontal="center" wrapText="1"/>
    </xf>
    <xf numFmtId="167" fontId="6" fillId="0" borderId="17" xfId="1" applyNumberFormat="1" applyFont="1" applyBorder="1" applyAlignment="1"/>
    <xf numFmtId="166" fontId="6" fillId="0" borderId="2" xfId="0" applyNumberFormat="1" applyFont="1" applyFill="1" applyBorder="1" applyAlignment="1">
      <alignment horizontal="right"/>
    </xf>
    <xf numFmtId="166" fontId="6" fillId="0" borderId="16" xfId="0" applyNumberFormat="1" applyFont="1" applyFill="1" applyBorder="1" applyAlignment="1">
      <alignment horizontal="right" wrapText="1"/>
    </xf>
    <xf numFmtId="166" fontId="6" fillId="0" borderId="4" xfId="0" applyNumberFormat="1" applyFont="1" applyFill="1" applyBorder="1" applyAlignment="1">
      <alignment horizontal="left"/>
    </xf>
    <xf numFmtId="167" fontId="6" fillId="0" borderId="17" xfId="1" applyNumberFormat="1" applyFont="1" applyFill="1" applyBorder="1" applyAlignment="1"/>
    <xf numFmtId="166" fontId="6" fillId="0" borderId="16" xfId="0" applyNumberFormat="1" applyFont="1" applyFill="1" applyBorder="1" applyAlignment="1">
      <alignment horizontal="right"/>
    </xf>
    <xf numFmtId="166" fontId="14" fillId="0" borderId="4" xfId="0" applyNumberFormat="1" applyFont="1" applyFill="1" applyBorder="1" applyAlignment="1">
      <alignment horizontal="right" wrapText="1"/>
    </xf>
    <xf numFmtId="166" fontId="6" fillId="0" borderId="2" xfId="0" applyNumberFormat="1" applyFont="1" applyFill="1" applyBorder="1" applyAlignment="1">
      <alignment horizontal="right" wrapText="1"/>
    </xf>
    <xf numFmtId="166" fontId="6" fillId="0" borderId="16" xfId="0" applyNumberFormat="1" applyFont="1" applyBorder="1" applyAlignment="1">
      <alignment horizontal="right" wrapText="1"/>
    </xf>
    <xf numFmtId="166" fontId="14" fillId="0" borderId="4" xfId="0" applyNumberFormat="1" applyFont="1" applyBorder="1" applyAlignment="1">
      <alignment horizontal="right" wrapText="1"/>
    </xf>
    <xf numFmtId="166" fontId="6" fillId="0" borderId="2" xfId="0" applyNumberFormat="1" applyFont="1" applyBorder="1" applyAlignment="1">
      <alignment horizontal="right" wrapText="1"/>
    </xf>
    <xf numFmtId="3" fontId="6" fillId="0" borderId="16" xfId="0" applyNumberFormat="1" applyFont="1" applyBorder="1" applyAlignment="1">
      <alignment horizontal="right"/>
    </xf>
    <xf numFmtId="3" fontId="14" fillId="0" borderId="4" xfId="0" applyNumberFormat="1" applyFont="1" applyBorder="1" applyAlignment="1">
      <alignment horizontal="right"/>
    </xf>
    <xf numFmtId="3" fontId="6" fillId="0" borderId="2" xfId="0" applyNumberFormat="1" applyFont="1" applyBorder="1" applyAlignment="1">
      <alignment horizontal="right"/>
    </xf>
    <xf numFmtId="3" fontId="6" fillId="0" borderId="16" xfId="0" applyNumberFormat="1" applyFont="1" applyFill="1" applyBorder="1" applyAlignment="1">
      <alignment horizontal="right"/>
    </xf>
    <xf numFmtId="3" fontId="6" fillId="0" borderId="4" xfId="0" applyNumberFormat="1" applyFont="1" applyFill="1" applyBorder="1" applyAlignment="1">
      <alignment horizontal="right"/>
    </xf>
    <xf numFmtId="167" fontId="6" fillId="0" borderId="7" xfId="1" applyNumberFormat="1" applyFont="1" applyBorder="1"/>
    <xf numFmtId="167" fontId="6" fillId="0" borderId="17" xfId="1" applyNumberFormat="1" applyFont="1" applyBorder="1"/>
    <xf numFmtId="3" fontId="14" fillId="0" borderId="16" xfId="0" applyNumberFormat="1" applyFont="1" applyBorder="1" applyAlignment="1">
      <alignment horizontal="right"/>
    </xf>
    <xf numFmtId="167" fontId="6" fillId="0" borderId="0" xfId="1" applyNumberFormat="1" applyFont="1" applyBorder="1" applyAlignment="1"/>
    <xf numFmtId="0" fontId="16" fillId="0" borderId="0" xfId="0" applyFont="1" applyAlignment="1"/>
    <xf numFmtId="167" fontId="6" fillId="0" borderId="7" xfId="1" applyNumberFormat="1" applyFont="1" applyFill="1" applyBorder="1"/>
    <xf numFmtId="0" fontId="5" fillId="0" borderId="0" xfId="5" applyFont="1" applyFill="1" applyBorder="1" applyAlignment="1">
      <alignment horizontal="left" vertical="center" wrapText="1"/>
    </xf>
    <xf numFmtId="165" fontId="6" fillId="0" borderId="7" xfId="2" applyNumberFormat="1" applyFont="1" applyBorder="1"/>
    <xf numFmtId="0" fontId="6" fillId="0" borderId="0" xfId="0" applyFont="1" applyBorder="1" applyAlignment="1">
      <alignment horizontal="center"/>
    </xf>
    <xf numFmtId="168" fontId="6" fillId="0" borderId="0" xfId="0" applyNumberFormat="1" applyFont="1" applyBorder="1" applyAlignment="1"/>
    <xf numFmtId="165" fontId="6" fillId="0" borderId="0" xfId="0" applyNumberFormat="1" applyFont="1" applyFill="1" applyAlignment="1"/>
    <xf numFmtId="167" fontId="6" fillId="0" borderId="0" xfId="1" applyNumberFormat="1" applyFont="1" applyBorder="1"/>
    <xf numFmtId="167" fontId="6" fillId="0" borderId="0" xfId="0" applyNumberFormat="1" applyFont="1" applyBorder="1" applyAlignment="1"/>
    <xf numFmtId="0" fontId="0" fillId="0" borderId="0" xfId="0" quotePrefix="1" applyFill="1" applyBorder="1" applyAlignment="1">
      <alignment horizontal="center"/>
    </xf>
    <xf numFmtId="0" fontId="5" fillId="2" borderId="4" xfId="5" applyFont="1" applyFill="1" applyBorder="1" applyAlignment="1">
      <alignment horizontal="center" vertical="top" wrapText="1"/>
    </xf>
    <xf numFmtId="0" fontId="5" fillId="0" borderId="18" xfId="5" applyFont="1" applyBorder="1" applyAlignment="1">
      <alignment horizontal="left" vertical="center" wrapText="1"/>
    </xf>
    <xf numFmtId="0" fontId="5" fillId="0" borderId="19" xfId="5" applyFont="1" applyBorder="1" applyAlignment="1">
      <alignment horizontal="left" vertical="center" wrapText="1"/>
    </xf>
    <xf numFmtId="0" fontId="5" fillId="0" borderId="20" xfId="5" applyFont="1" applyBorder="1" applyAlignment="1">
      <alignment horizontal="left" vertical="center" wrapText="1"/>
    </xf>
    <xf numFmtId="10" fontId="6" fillId="0" borderId="0" xfId="7" applyNumberFormat="1" applyFont="1" applyFill="1"/>
    <xf numFmtId="0" fontId="17" fillId="0" borderId="0" xfId="0" applyFont="1" applyAlignment="1"/>
    <xf numFmtId="167" fontId="0" fillId="0" borderId="0" xfId="1" applyNumberFormat="1" applyFont="1"/>
    <xf numFmtId="0" fontId="7" fillId="0" borderId="0" xfId="5" applyFont="1" applyAlignment="1"/>
    <xf numFmtId="0" fontId="6" fillId="3" borderId="2" xfId="5" applyFont="1" applyFill="1" applyBorder="1" applyAlignment="1"/>
    <xf numFmtId="165" fontId="6" fillId="0" borderId="8" xfId="0" applyNumberFormat="1" applyFont="1" applyBorder="1" applyAlignment="1"/>
    <xf numFmtId="165" fontId="6" fillId="0" borderId="7" xfId="0" applyNumberFormat="1" applyFont="1" applyBorder="1" applyAlignment="1"/>
    <xf numFmtId="3" fontId="6" fillId="0" borderId="0" xfId="0" applyNumberFormat="1" applyFont="1" applyAlignment="1"/>
    <xf numFmtId="0" fontId="6" fillId="0" borderId="0" xfId="0" applyFont="1" applyFill="1" applyAlignment="1"/>
    <xf numFmtId="0" fontId="6" fillId="3" borderId="0" xfId="0" applyFont="1" applyFill="1" applyAlignment="1"/>
    <xf numFmtId="165" fontId="6" fillId="4" borderId="0" xfId="0" applyNumberFormat="1" applyFont="1" applyFill="1" applyAlignment="1"/>
    <xf numFmtId="43" fontId="6" fillId="0" borderId="0" xfId="0" applyNumberFormat="1" applyFont="1" applyFill="1" applyAlignment="1"/>
    <xf numFmtId="10" fontId="6" fillId="0" borderId="0" xfId="7" applyNumberFormat="1" applyFont="1" applyFill="1" applyBorder="1" applyAlignment="1"/>
    <xf numFmtId="0" fontId="6" fillId="0" borderId="0" xfId="0" applyFont="1" applyFill="1" applyBorder="1" applyAlignment="1"/>
    <xf numFmtId="165" fontId="5" fillId="0" borderId="0" xfId="2" applyNumberFormat="1" applyFont="1" applyFill="1" applyBorder="1" applyAlignment="1"/>
    <xf numFmtId="0" fontId="5" fillId="4" borderId="20" xfId="5" applyFont="1" applyFill="1" applyBorder="1" applyAlignment="1">
      <alignment horizontal="left" vertical="center" wrapText="1"/>
    </xf>
    <xf numFmtId="0" fontId="5" fillId="4" borderId="18" xfId="5" applyFont="1" applyFill="1" applyBorder="1" applyAlignment="1">
      <alignment horizontal="left" vertical="center" wrapText="1"/>
    </xf>
    <xf numFmtId="0" fontId="5" fillId="4" borderId="19" xfId="5" applyFont="1" applyFill="1" applyBorder="1" applyAlignment="1">
      <alignment horizontal="left" vertical="center" wrapText="1"/>
    </xf>
    <xf numFmtId="167" fontId="6" fillId="0" borderId="0" xfId="1" applyNumberFormat="1" applyFont="1" applyAlignment="1"/>
    <xf numFmtId="167" fontId="5" fillId="2" borderId="1" xfId="1" applyNumberFormat="1" applyFont="1" applyFill="1" applyBorder="1" applyAlignment="1">
      <alignment horizontal="center"/>
    </xf>
    <xf numFmtId="167" fontId="5" fillId="2" borderId="3" xfId="1" applyNumberFormat="1" applyFont="1" applyFill="1" applyBorder="1" applyAlignment="1">
      <alignment horizontal="center"/>
    </xf>
    <xf numFmtId="167" fontId="5" fillId="0" borderId="6" xfId="1" applyNumberFormat="1" applyFont="1" applyFill="1" applyBorder="1" applyAlignment="1">
      <alignment horizontal="center" vertical="top" wrapText="1"/>
    </xf>
    <xf numFmtId="167" fontId="6" fillId="0" borderId="6" xfId="1" applyNumberFormat="1" applyFont="1" applyBorder="1" applyAlignment="1"/>
    <xf numFmtId="167" fontId="6" fillId="0" borderId="0" xfId="1" applyNumberFormat="1" applyFont="1" applyFill="1" applyAlignment="1">
      <alignment horizontal="right"/>
    </xf>
    <xf numFmtId="167" fontId="6" fillId="0" borderId="0" xfId="1" applyNumberFormat="1" applyFont="1" applyAlignment="1">
      <alignment horizontal="right"/>
    </xf>
    <xf numFmtId="0" fontId="6" fillId="0" borderId="0" xfId="0" quotePrefix="1" applyFont="1" applyFill="1" applyBorder="1" applyAlignment="1">
      <alignment horizontal="center"/>
    </xf>
    <xf numFmtId="167" fontId="6" fillId="0" borderId="3" xfId="1" applyNumberFormat="1" applyFont="1" applyBorder="1" applyAlignment="1"/>
    <xf numFmtId="10" fontId="6" fillId="0" borderId="6" xfId="7" applyNumberFormat="1" applyFont="1" applyFill="1" applyBorder="1" applyAlignment="1">
      <alignment vertical="top"/>
    </xf>
    <xf numFmtId="10" fontId="6" fillId="0" borderId="4" xfId="7" applyNumberFormat="1" applyFont="1" applyFill="1" applyBorder="1" applyAlignment="1">
      <alignment vertical="top"/>
    </xf>
    <xf numFmtId="10" fontId="6" fillId="0" borderId="21" xfId="7" applyNumberFormat="1" applyFont="1" applyBorder="1" applyAlignment="1">
      <alignment vertical="top"/>
    </xf>
    <xf numFmtId="167" fontId="6" fillId="0" borderId="22" xfId="1" applyNumberFormat="1" applyFont="1" applyBorder="1" applyAlignment="1"/>
    <xf numFmtId="0" fontId="5" fillId="0" borderId="2" xfId="5" applyFont="1" applyFill="1" applyBorder="1" applyAlignment="1">
      <alignment horizontal="center" vertical="top" wrapText="1"/>
    </xf>
    <xf numFmtId="0" fontId="5" fillId="0" borderId="6" xfId="5" applyFont="1" applyFill="1" applyBorder="1" applyAlignment="1">
      <alignment horizontal="center" vertical="top" wrapText="1"/>
    </xf>
    <xf numFmtId="0" fontId="0" fillId="0" borderId="17" xfId="0" applyBorder="1" applyAlignment="1"/>
    <xf numFmtId="167" fontId="6" fillId="0" borderId="0" xfId="1" applyNumberFormat="1" applyFont="1" applyAlignment="1">
      <alignment horizontal="center"/>
    </xf>
    <xf numFmtId="167" fontId="6" fillId="0" borderId="0" xfId="1" applyNumberFormat="1" applyFont="1" applyFill="1" applyBorder="1" applyAlignment="1">
      <alignment horizontal="center"/>
    </xf>
    <xf numFmtId="167" fontId="6" fillId="0" borderId="1" xfId="1" applyNumberFormat="1" applyFont="1" applyBorder="1" applyAlignment="1">
      <alignment horizontal="center"/>
    </xf>
    <xf numFmtId="167" fontId="6" fillId="0" borderId="5" xfId="1" applyNumberFormat="1" applyFont="1" applyFill="1" applyBorder="1" applyAlignment="1">
      <alignment horizontal="center"/>
    </xf>
    <xf numFmtId="167" fontId="5" fillId="0" borderId="0" xfId="1" applyNumberFormat="1" applyFont="1" applyFill="1" applyBorder="1" applyAlignment="1">
      <alignment horizontal="center" vertical="top" wrapText="1"/>
    </xf>
    <xf numFmtId="167" fontId="6" fillId="0" borderId="7" xfId="1" applyNumberFormat="1" applyFont="1" applyBorder="1" applyAlignment="1"/>
    <xf numFmtId="167" fontId="6" fillId="3" borderId="0" xfId="1" applyNumberFormat="1" applyFont="1" applyFill="1" applyAlignment="1"/>
    <xf numFmtId="167" fontId="6" fillId="0" borderId="0" xfId="1" applyNumberFormat="1" applyFont="1" applyFill="1" applyAlignment="1"/>
    <xf numFmtId="167" fontId="6" fillId="0" borderId="0" xfId="1" applyNumberFormat="1" applyFont="1" applyFill="1" applyBorder="1" applyAlignment="1"/>
    <xf numFmtId="0" fontId="6" fillId="0" borderId="16" xfId="0" applyFont="1" applyBorder="1" applyAlignment="1"/>
    <xf numFmtId="0" fontId="7" fillId="4" borderId="16" xfId="6" applyFont="1" applyFill="1" applyBorder="1" applyAlignment="1">
      <alignment vertical="top"/>
    </xf>
    <xf numFmtId="0" fontId="6" fillId="5" borderId="8" xfId="0" applyFont="1" applyFill="1" applyBorder="1" applyAlignment="1"/>
    <xf numFmtId="0" fontId="6" fillId="5" borderId="7" xfId="0" applyFont="1" applyFill="1" applyBorder="1" applyAlignment="1"/>
    <xf numFmtId="0" fontId="6" fillId="2" borderId="8" xfId="0" applyFont="1" applyFill="1" applyBorder="1" applyAlignment="1"/>
    <xf numFmtId="0" fontId="6" fillId="2" borderId="7" xfId="0" applyFont="1" applyFill="1" applyBorder="1" applyAlignment="1"/>
    <xf numFmtId="0" fontId="6" fillId="0" borderId="4" xfId="5" applyFont="1" applyFill="1" applyBorder="1" applyAlignment="1">
      <alignment vertical="top"/>
    </xf>
    <xf numFmtId="0" fontId="6" fillId="3" borderId="23" xfId="5" applyFont="1" applyFill="1" applyBorder="1" applyAlignment="1"/>
    <xf numFmtId="0" fontId="6" fillId="3" borderId="17" xfId="5" applyFont="1" applyFill="1" applyBorder="1" applyAlignment="1">
      <alignment vertical="top"/>
    </xf>
    <xf numFmtId="0" fontId="5" fillId="0" borderId="24" xfId="5" applyFont="1" applyBorder="1" applyAlignment="1">
      <alignment vertical="top" wrapText="1"/>
    </xf>
    <xf numFmtId="0" fontId="6" fillId="0" borderId="0" xfId="5" applyFont="1" applyFill="1" applyBorder="1" applyAlignment="1">
      <alignment vertical="top"/>
    </xf>
    <xf numFmtId="10" fontId="6" fillId="0" borderId="0" xfId="7" applyNumberFormat="1" applyFont="1" applyFill="1" applyBorder="1" applyAlignment="1">
      <alignment vertical="top"/>
    </xf>
    <xf numFmtId="0" fontId="6" fillId="0" borderId="0" xfId="5" applyFont="1" applyFill="1" applyBorder="1" applyAlignment="1"/>
    <xf numFmtId="9" fontId="5" fillId="0" borderId="0" xfId="5" applyNumberFormat="1" applyFont="1" applyFill="1" applyBorder="1" applyAlignment="1">
      <alignment horizontal="center"/>
    </xf>
    <xf numFmtId="0" fontId="5" fillId="0" borderId="0" xfId="5" applyFont="1" applyFill="1" applyBorder="1" applyAlignment="1">
      <alignment vertical="top" wrapText="1"/>
    </xf>
    <xf numFmtId="10" fontId="9" fillId="0" borderId="0" xfId="7" applyNumberFormat="1" applyFont="1" applyFill="1" applyBorder="1" applyAlignment="1">
      <alignment vertical="top"/>
    </xf>
    <xf numFmtId="0" fontId="18" fillId="0" borderId="0" xfId="5" applyFont="1" applyAlignment="1"/>
    <xf numFmtId="0" fontId="7" fillId="0" borderId="2" xfId="6" applyFont="1" applyFill="1" applyBorder="1" applyAlignment="1">
      <alignment vertical="top"/>
    </xf>
    <xf numFmtId="0" fontId="7" fillId="0" borderId="16" xfId="6" applyFont="1" applyFill="1" applyBorder="1" applyAlignment="1">
      <alignment vertical="top"/>
    </xf>
    <xf numFmtId="0" fontId="6" fillId="4" borderId="0" xfId="0" applyFont="1" applyFill="1" applyAlignment="1"/>
    <xf numFmtId="0" fontId="6" fillId="4" borderId="0" xfId="0" applyFont="1" applyFill="1" applyAlignment="1">
      <alignment horizontal="center"/>
    </xf>
    <xf numFmtId="166" fontId="6" fillId="4" borderId="1" xfId="0" applyNumberFormat="1" applyFont="1" applyFill="1" applyBorder="1" applyAlignment="1"/>
    <xf numFmtId="166" fontId="6" fillId="4" borderId="5" xfId="0" applyNumberFormat="1" applyFont="1" applyFill="1" applyBorder="1" applyAlignment="1">
      <alignment horizontal="center"/>
    </xf>
    <xf numFmtId="166" fontId="6" fillId="4" borderId="0" xfId="0" applyNumberFormat="1" applyFont="1" applyFill="1" applyAlignment="1"/>
    <xf numFmtId="165" fontId="6" fillId="4" borderId="7" xfId="0" applyNumberFormat="1" applyFont="1" applyFill="1" applyBorder="1" applyAlignment="1"/>
    <xf numFmtId="14" fontId="6" fillId="4" borderId="0" xfId="0" applyNumberFormat="1" applyFont="1" applyFill="1" applyAlignment="1"/>
    <xf numFmtId="14" fontId="6" fillId="4" borderId="0" xfId="0" applyNumberFormat="1" applyFont="1" applyFill="1" applyBorder="1" applyAlignment="1"/>
    <xf numFmtId="0" fontId="6" fillId="4" borderId="0" xfId="0" applyFont="1" applyFill="1" applyBorder="1" applyAlignment="1"/>
    <xf numFmtId="0" fontId="6" fillId="4" borderId="22" xfId="0" applyFont="1" applyFill="1" applyBorder="1" applyAlignment="1"/>
    <xf numFmtId="165" fontId="6" fillId="4" borderId="0" xfId="2" applyNumberFormat="1" applyFont="1" applyFill="1"/>
    <xf numFmtId="37" fontId="6" fillId="0" borderId="0" xfId="0" applyNumberFormat="1" applyFont="1" applyAlignment="1"/>
    <xf numFmtId="165" fontId="0" fillId="2" borderId="24" xfId="2" applyNumberFormat="1" applyFont="1" applyFill="1" applyBorder="1"/>
    <xf numFmtId="0" fontId="19" fillId="0" borderId="0" xfId="5" applyFont="1" applyBorder="1" applyAlignment="1">
      <alignment vertical="center" wrapText="1"/>
    </xf>
    <xf numFmtId="0" fontId="2" fillId="0" borderId="0" xfId="5"/>
    <xf numFmtId="0" fontId="19" fillId="0" borderId="0" xfId="5" applyFont="1" applyBorder="1" applyAlignment="1">
      <alignment horizontal="left" vertical="center" wrapText="1"/>
    </xf>
    <xf numFmtId="164" fontId="19" fillId="0" borderId="0" xfId="4" applyNumberFormat="1" applyFont="1" applyBorder="1" applyAlignment="1">
      <alignment horizontal="left" vertical="center" wrapText="1"/>
    </xf>
    <xf numFmtId="0" fontId="5" fillId="0" borderId="0" xfId="5" applyFont="1" applyBorder="1" applyAlignment="1">
      <alignment horizontal="left" vertical="center" wrapText="1"/>
    </xf>
    <xf numFmtId="0" fontId="5" fillId="0" borderId="0" xfId="4" applyNumberFormat="1" applyFont="1" applyBorder="1" applyAlignment="1">
      <alignment horizontal="left" vertical="center" wrapText="1"/>
    </xf>
    <xf numFmtId="0" fontId="5" fillId="0" borderId="0" xfId="4" applyFont="1" applyBorder="1" applyAlignment="1">
      <alignment horizontal="left" vertical="center" wrapText="1"/>
    </xf>
    <xf numFmtId="164" fontId="5" fillId="0" borderId="0" xfId="4" applyNumberFormat="1" applyFont="1" applyBorder="1" applyAlignment="1">
      <alignment horizontal="left" vertical="center" wrapText="1"/>
    </xf>
    <xf numFmtId="0" fontId="0" fillId="0" borderId="0" xfId="0" applyBorder="1" applyAlignment="1"/>
    <xf numFmtId="165" fontId="6" fillId="6" borderId="7" xfId="0" applyNumberFormat="1" applyFont="1" applyFill="1" applyBorder="1" applyAlignment="1"/>
    <xf numFmtId="165" fontId="6" fillId="5" borderId="7" xfId="0" applyNumberFormat="1" applyFont="1" applyFill="1" applyBorder="1" applyAlignment="1"/>
    <xf numFmtId="0" fontId="6" fillId="5" borderId="24" xfId="0" applyFont="1" applyFill="1" applyBorder="1" applyAlignment="1"/>
    <xf numFmtId="0" fontId="6" fillId="0" borderId="6" xfId="0" applyFont="1" applyBorder="1" applyAlignment="1">
      <alignment horizontal="center"/>
    </xf>
    <xf numFmtId="0" fontId="6" fillId="4" borderId="6" xfId="0" applyFont="1" applyFill="1" applyBorder="1" applyAlignment="1">
      <alignment horizontal="center"/>
    </xf>
    <xf numFmtId="167" fontId="6" fillId="0" borderId="6" xfId="1" applyNumberFormat="1" applyFont="1" applyBorder="1" applyAlignment="1">
      <alignment horizontal="center"/>
    </xf>
    <xf numFmtId="165" fontId="6" fillId="5" borderId="24" xfId="0" applyNumberFormat="1" applyFont="1" applyFill="1" applyBorder="1" applyAlignment="1"/>
    <xf numFmtId="17" fontId="6" fillId="0" borderId="0" xfId="0" quotePrefix="1" applyNumberFormat="1" applyFont="1" applyAlignment="1"/>
    <xf numFmtId="0" fontId="6" fillId="0" borderId="0" xfId="0" quotePrefix="1" applyFont="1" applyBorder="1" applyAlignment="1"/>
    <xf numFmtId="0" fontId="6" fillId="0" borderId="0" xfId="0" quotePrefix="1" applyFont="1" applyFill="1" applyBorder="1" applyAlignment="1"/>
    <xf numFmtId="10" fontId="6" fillId="2" borderId="21" xfId="7" applyNumberFormat="1" applyFont="1" applyFill="1" applyBorder="1" applyAlignment="1">
      <alignment vertical="top"/>
    </xf>
    <xf numFmtId="10" fontId="6" fillId="2" borderId="3" xfId="7" applyNumberFormat="1" applyFont="1" applyFill="1" applyBorder="1" applyAlignment="1">
      <alignment vertical="top"/>
    </xf>
    <xf numFmtId="167" fontId="5" fillId="0" borderId="1" xfId="1" applyNumberFormat="1" applyFont="1" applyFill="1" applyBorder="1" applyAlignment="1">
      <alignment horizontal="center" vertical="top" wrapText="1"/>
    </xf>
    <xf numFmtId="167" fontId="6" fillId="0" borderId="2" xfId="1" applyNumberFormat="1" applyFont="1" applyBorder="1" applyAlignment="1"/>
    <xf numFmtId="165" fontId="6" fillId="0" borderId="8" xfId="0" applyNumberFormat="1" applyFont="1" applyFill="1" applyBorder="1" applyAlignment="1"/>
    <xf numFmtId="165" fontId="6" fillId="0" borderId="7" xfId="0" applyNumberFormat="1" applyFont="1" applyFill="1" applyBorder="1" applyAlignment="1"/>
    <xf numFmtId="3" fontId="7" fillId="0" borderId="0" xfId="0" applyNumberFormat="1" applyFont="1" applyAlignment="1">
      <alignment horizontal="center"/>
    </xf>
    <xf numFmtId="167" fontId="7" fillId="0" borderId="0" xfId="1" applyNumberFormat="1" applyFont="1"/>
    <xf numFmtId="167" fontId="15" fillId="0" borderId="0" xfId="1" applyNumberFormat="1" applyFont="1"/>
    <xf numFmtId="3" fontId="7" fillId="0" borderId="0" xfId="0" applyNumberFormat="1" applyFont="1" applyFill="1" applyAlignment="1">
      <alignment horizontal="center"/>
    </xf>
    <xf numFmtId="167" fontId="7" fillId="0" borderId="25" xfId="1" applyNumberFormat="1" applyFont="1" applyBorder="1"/>
    <xf numFmtId="0" fontId="7" fillId="0" borderId="0" xfId="0" applyFont="1" applyAlignment="1"/>
    <xf numFmtId="167" fontId="15" fillId="0" borderId="17" xfId="1" applyNumberFormat="1" applyFont="1" applyBorder="1"/>
    <xf numFmtId="167" fontId="7" fillId="0" borderId="17" xfId="1" applyNumberFormat="1" applyFont="1" applyFill="1" applyBorder="1"/>
    <xf numFmtId="167" fontId="15" fillId="0" borderId="17" xfId="1" applyNumberFormat="1" applyFont="1" applyFill="1" applyBorder="1" applyAlignment="1"/>
    <xf numFmtId="167" fontId="15" fillId="0" borderId="17" xfId="1" applyNumberFormat="1" applyFont="1" applyFill="1" applyBorder="1"/>
    <xf numFmtId="167" fontId="15" fillId="0" borderId="0" xfId="1" applyNumberFormat="1" applyFont="1" applyBorder="1" applyAlignment="1"/>
    <xf numFmtId="167" fontId="15" fillId="0" borderId="0" xfId="1" applyNumberFormat="1" applyFont="1" applyFill="1" applyBorder="1"/>
    <xf numFmtId="0" fontId="6" fillId="0" borderId="0" xfId="0" applyFont="1" applyAlignment="1"/>
    <xf numFmtId="167" fontId="13" fillId="0" borderId="0" xfId="1" applyNumberFormat="1" applyFont="1"/>
    <xf numFmtId="167" fontId="7" fillId="0" borderId="0" xfId="0" applyNumberFormat="1" applyFont="1" applyFill="1" applyAlignment="1"/>
    <xf numFmtId="167" fontId="15" fillId="0" borderId="0" xfId="1" applyNumberFormat="1" applyFont="1" applyFill="1" applyBorder="1" applyAlignment="1"/>
    <xf numFmtId="167" fontId="15" fillId="0" borderId="17" xfId="1" applyNumberFormat="1" applyFont="1" applyBorder="1" applyAlignment="1"/>
    <xf numFmtId="167" fontId="15" fillId="0" borderId="23" xfId="1" applyNumberFormat="1" applyFont="1" applyFill="1" applyBorder="1" applyAlignment="1"/>
    <xf numFmtId="167" fontId="7" fillId="0" borderId="17" xfId="1" applyNumberFormat="1" applyFont="1" applyBorder="1"/>
    <xf numFmtId="167" fontId="7" fillId="0" borderId="17" xfId="1" applyNumberFormat="1" applyFont="1" applyFill="1" applyBorder="1" applyAlignment="1"/>
    <xf numFmtId="3" fontId="7" fillId="0" borderId="2" xfId="0" applyNumberFormat="1" applyFont="1" applyBorder="1" applyAlignment="1">
      <alignment horizontal="right"/>
    </xf>
    <xf numFmtId="3" fontId="7" fillId="0" borderId="16" xfId="0" applyNumberFormat="1" applyFont="1" applyBorder="1" applyAlignment="1">
      <alignment horizontal="right"/>
    </xf>
    <xf numFmtId="165" fontId="6" fillId="5" borderId="6" xfId="2" applyNumberFormat="1" applyFont="1" applyFill="1" applyBorder="1" applyAlignment="1"/>
    <xf numFmtId="165" fontId="6" fillId="6" borderId="6" xfId="2" applyNumberFormat="1" applyFont="1" applyFill="1" applyBorder="1" applyAlignment="1"/>
    <xf numFmtId="165" fontId="6" fillId="0" borderId="0" xfId="0" applyNumberFormat="1" applyFont="1" applyFill="1" applyAlignment="1"/>
    <xf numFmtId="165" fontId="6" fillId="0" borderId="0" xfId="2" applyNumberFormat="1" applyFont="1" applyFill="1" applyAlignment="1"/>
    <xf numFmtId="0" fontId="21" fillId="0" borderId="0" xfId="0" applyFont="1" applyAlignment="1"/>
    <xf numFmtId="3" fontId="14" fillId="0" borderId="4" xfId="0" applyNumberFormat="1" applyFont="1" applyFill="1" applyBorder="1" applyAlignment="1">
      <alignment horizontal="right"/>
    </xf>
    <xf numFmtId="3" fontId="14" fillId="0" borderId="16" xfId="0" applyNumberFormat="1" applyFont="1" applyFill="1" applyBorder="1" applyAlignment="1">
      <alignment horizontal="right"/>
    </xf>
    <xf numFmtId="167" fontId="7" fillId="0" borderId="17" xfId="0" applyNumberFormat="1" applyFont="1" applyFill="1" applyBorder="1" applyAlignment="1"/>
    <xf numFmtId="0" fontId="6" fillId="0" borderId="0" xfId="0" applyFont="1" applyFill="1" applyAlignment="1"/>
    <xf numFmtId="165" fontId="6" fillId="2" borderId="6" xfId="2" applyNumberFormat="1" applyFont="1" applyFill="1" applyBorder="1" applyAlignment="1"/>
    <xf numFmtId="167" fontId="6" fillId="0" borderId="0" xfId="1" applyNumberFormat="1" applyFont="1" applyFill="1"/>
    <xf numFmtId="167" fontId="0" fillId="0" borderId="0" xfId="1" applyNumberFormat="1" applyFont="1" applyFill="1"/>
    <xf numFmtId="165" fontId="6" fillId="0" borderId="25" xfId="0" applyNumberFormat="1" applyFont="1" applyBorder="1" applyAlignment="1"/>
    <xf numFmtId="169" fontId="6" fillId="0" borderId="0" xfId="1" applyNumberFormat="1" applyFont="1" applyAlignment="1">
      <alignment horizontal="center"/>
    </xf>
    <xf numFmtId="0" fontId="6" fillId="0" borderId="0" xfId="0" applyFont="1" applyAlignment="1">
      <alignment horizontal="right"/>
    </xf>
    <xf numFmtId="170" fontId="6" fillId="0" borderId="0" xfId="7" applyNumberFormat="1" applyFont="1"/>
    <xf numFmtId="10" fontId="6" fillId="0" borderId="7" xfId="0" applyNumberFormat="1" applyFont="1" applyBorder="1" applyAlignment="1"/>
    <xf numFmtId="172" fontId="6" fillId="0" borderId="0" xfId="1" applyNumberFormat="1" applyFont="1"/>
    <xf numFmtId="10" fontId="6" fillId="0" borderId="0" xfId="7" applyNumberFormat="1" applyFont="1"/>
    <xf numFmtId="167" fontId="15" fillId="0" borderId="23" xfId="1" applyNumberFormat="1" applyFont="1" applyBorder="1"/>
    <xf numFmtId="0" fontId="6" fillId="0" borderId="26" xfId="0" applyFont="1" applyBorder="1" applyAlignment="1"/>
    <xf numFmtId="167" fontId="15" fillId="0" borderId="0" xfId="1" applyNumberFormat="1" applyFont="1" applyBorder="1"/>
    <xf numFmtId="0" fontId="6" fillId="0" borderId="22" xfId="0" applyFont="1" applyBorder="1" applyAlignment="1"/>
    <xf numFmtId="167" fontId="7" fillId="0" borderId="0" xfId="1" applyNumberFormat="1" applyFont="1" applyFill="1" applyBorder="1"/>
    <xf numFmtId="0" fontId="6" fillId="0" borderId="22" xfId="0" applyFont="1" applyFill="1" applyBorder="1" applyAlignment="1"/>
    <xf numFmtId="3" fontId="7" fillId="0" borderId="16" xfId="0" applyNumberFormat="1" applyFont="1" applyFill="1" applyBorder="1" applyAlignment="1">
      <alignment horizontal="right"/>
    </xf>
    <xf numFmtId="0" fontId="6" fillId="0" borderId="16" xfId="0" applyFont="1" applyFill="1" applyBorder="1" applyAlignment="1">
      <alignment horizontal="right"/>
    </xf>
    <xf numFmtId="167" fontId="6" fillId="0" borderId="0" xfId="0" applyNumberFormat="1" applyFont="1" applyFill="1" applyBorder="1" applyAlignment="1"/>
    <xf numFmtId="0" fontId="6" fillId="0" borderId="4" xfId="0" applyFont="1" applyFill="1" applyBorder="1" applyAlignment="1">
      <alignment horizontal="right"/>
    </xf>
    <xf numFmtId="167" fontId="6" fillId="0" borderId="17" xfId="0" applyNumberFormat="1" applyFont="1" applyFill="1" applyBorder="1" applyAlignment="1"/>
    <xf numFmtId="0" fontId="6" fillId="0" borderId="27" xfId="0" applyFont="1" applyFill="1" applyBorder="1" applyAlignment="1"/>
    <xf numFmtId="3" fontId="7" fillId="0" borderId="16" xfId="0" applyNumberFormat="1" applyFont="1" applyBorder="1" applyAlignment="1">
      <alignment horizontal="right"/>
    </xf>
    <xf numFmtId="0" fontId="0" fillId="0" borderId="0" xfId="0" applyFill="1" applyBorder="1" applyAlignment="1">
      <alignment horizontal="center"/>
    </xf>
    <xf numFmtId="0" fontId="0" fillId="0" borderId="0" xfId="0" applyFill="1" applyBorder="1" applyAlignment="1"/>
    <xf numFmtId="171" fontId="6" fillId="0" borderId="0" xfId="0" applyNumberFormat="1" applyFont="1" applyFill="1" applyAlignment="1"/>
    <xf numFmtId="0" fontId="7" fillId="0" borderId="28" xfId="6" applyFont="1" applyFill="1" applyBorder="1" applyAlignment="1">
      <alignment vertical="top"/>
    </xf>
    <xf numFmtId="10" fontId="6" fillId="0" borderId="3" xfId="7" applyNumberFormat="1" applyFont="1" applyBorder="1" applyAlignment="1">
      <alignment vertical="top"/>
    </xf>
    <xf numFmtId="43" fontId="6" fillId="0" borderId="3" xfId="1" applyNumberFormat="1" applyFont="1" applyBorder="1" applyAlignment="1"/>
    <xf numFmtId="43" fontId="6" fillId="0" borderId="3" xfId="1" applyNumberFormat="1" applyFont="1" applyFill="1" applyBorder="1" applyAlignment="1"/>
    <xf numFmtId="165" fontId="6" fillId="6" borderId="22" xfId="0" applyNumberFormat="1" applyFont="1" applyFill="1" applyBorder="1" applyAlignment="1"/>
    <xf numFmtId="167" fontId="7" fillId="5" borderId="0" xfId="1" applyNumberFormat="1" applyFont="1" applyFill="1"/>
    <xf numFmtId="167" fontId="15" fillId="5" borderId="0" xfId="1" applyNumberFormat="1" applyFont="1" applyFill="1"/>
    <xf numFmtId="167" fontId="6" fillId="4" borderId="0" xfId="1" applyNumberFormat="1" applyFont="1" applyFill="1" applyAlignment="1"/>
    <xf numFmtId="166" fontId="6" fillId="2" borderId="2"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2"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167" fontId="15" fillId="0" borderId="17" xfId="1" applyNumberFormat="1" applyFont="1" applyFill="1" applyBorder="1"/>
    <xf numFmtId="167" fontId="15" fillId="0" borderId="0" xfId="1" applyNumberFormat="1" applyFont="1" applyFill="1" applyBorder="1"/>
    <xf numFmtId="3" fontId="6" fillId="2" borderId="16" xfId="0" applyNumberFormat="1" applyFont="1" applyFill="1" applyBorder="1" applyAlignment="1">
      <alignment horizontal="right"/>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3"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6" xfId="0" applyNumberFormat="1" applyFont="1" applyFill="1" applyBorder="1" applyAlignment="1">
      <alignment horizontal="right"/>
    </xf>
    <xf numFmtId="167" fontId="15" fillId="0" borderId="0" xfId="1" applyNumberFormat="1" applyFont="1" applyFill="1"/>
    <xf numFmtId="167" fontId="6" fillId="0" borderId="17" xfId="1" applyNumberFormat="1" applyFont="1" applyFill="1" applyBorder="1" applyAlignment="1"/>
    <xf numFmtId="167" fontId="23" fillId="0" borderId="17" xfId="1" applyNumberFormat="1" applyFont="1" applyFill="1" applyBorder="1" applyAlignment="1"/>
    <xf numFmtId="167" fontId="6" fillId="0" borderId="7" xfId="1" applyNumberFormat="1" applyFont="1" applyFill="1" applyBorder="1" applyAlignment="1"/>
    <xf numFmtId="167" fontId="6" fillId="0" borderId="0" xfId="1" applyNumberFormat="1" applyFont="1" applyFill="1" applyBorder="1" applyAlignment="1"/>
    <xf numFmtId="167" fontId="7" fillId="0" borderId="17" xfId="1" applyNumberFormat="1" applyFont="1" applyFill="1" applyBorder="1"/>
    <xf numFmtId="167" fontId="7" fillId="0" borderId="0" xfId="1" applyNumberFormat="1" applyFont="1" applyFill="1"/>
    <xf numFmtId="3" fontId="7" fillId="6" borderId="0" xfId="0" applyNumberFormat="1" applyFont="1" applyFill="1" applyAlignment="1">
      <alignment horizontal="center"/>
    </xf>
    <xf numFmtId="0" fontId="7" fillId="0" borderId="0" xfId="0" applyFont="1">
      <alignment vertical="top"/>
    </xf>
    <xf numFmtId="167" fontId="7" fillId="0" borderId="0" xfId="0" applyNumberFormat="1" applyFont="1">
      <alignment vertical="top"/>
    </xf>
    <xf numFmtId="167" fontId="7" fillId="0" borderId="7" xfId="1" applyNumberFormat="1" applyFont="1" applyBorder="1"/>
    <xf numFmtId="167" fontId="15" fillId="5" borderId="17" xfId="1" applyNumberFormat="1" applyFont="1" applyFill="1" applyBorder="1"/>
    <xf numFmtId="167" fontId="6" fillId="5" borderId="0" xfId="1" applyNumberFormat="1" applyFont="1" applyFill="1"/>
    <xf numFmtId="167" fontId="15" fillId="5" borderId="0" xfId="1" applyNumberFormat="1" applyFont="1" applyFill="1" applyBorder="1" applyAlignment="1"/>
    <xf numFmtId="167" fontId="7" fillId="5" borderId="17" xfId="1" applyNumberFormat="1" applyFont="1" applyFill="1" applyBorder="1"/>
    <xf numFmtId="0" fontId="7" fillId="5" borderId="23" xfId="0" applyFont="1" applyFill="1" applyBorder="1">
      <alignment vertical="top"/>
    </xf>
    <xf numFmtId="167" fontId="15" fillId="5" borderId="23" xfId="1" applyNumberFormat="1" applyFont="1" applyFill="1" applyBorder="1"/>
    <xf numFmtId="0" fontId="7" fillId="5" borderId="0" xfId="0" applyFont="1" applyFill="1">
      <alignment vertical="top"/>
    </xf>
    <xf numFmtId="167" fontId="7" fillId="5" borderId="7" xfId="1" applyNumberFormat="1" applyFont="1" applyFill="1" applyBorder="1"/>
    <xf numFmtId="0" fontId="6" fillId="0" borderId="0" xfId="5" applyFont="1" applyFill="1" applyBorder="1" applyAlignment="1">
      <alignment horizontal="left" vertical="center" wrapText="1"/>
    </xf>
    <xf numFmtId="10" fontId="9" fillId="0" borderId="10" xfId="7" applyNumberFormat="1" applyFont="1" applyFill="1" applyBorder="1" applyAlignment="1">
      <alignment vertical="top"/>
    </xf>
    <xf numFmtId="10" fontId="6" fillId="0" borderId="21" xfId="7" applyNumberFormat="1" applyFont="1" applyFill="1" applyBorder="1" applyAlignment="1">
      <alignment vertical="top"/>
    </xf>
    <xf numFmtId="167" fontId="6" fillId="0" borderId="3" xfId="1" applyNumberFormat="1" applyFont="1" applyFill="1" applyBorder="1" applyAlignment="1"/>
    <xf numFmtId="10" fontId="9" fillId="0" borderId="11" xfId="7" applyNumberFormat="1" applyFont="1" applyFill="1" applyBorder="1" applyAlignment="1">
      <alignment vertical="top"/>
    </xf>
    <xf numFmtId="167" fontId="6" fillId="0" borderId="1" xfId="1" applyNumberFormat="1" applyFont="1" applyFill="1" applyBorder="1" applyAlignment="1"/>
    <xf numFmtId="10" fontId="6" fillId="0" borderId="29" xfId="7" applyNumberFormat="1" applyFont="1" applyFill="1" applyBorder="1" applyAlignment="1">
      <alignment vertical="top"/>
    </xf>
    <xf numFmtId="167" fontId="6" fillId="0" borderId="26" xfId="1" applyNumberFormat="1" applyFont="1" applyFill="1" applyBorder="1" applyAlignment="1"/>
    <xf numFmtId="167" fontId="6" fillId="0" borderId="22" xfId="1" applyNumberFormat="1" applyFont="1" applyFill="1" applyBorder="1" applyAlignment="1"/>
    <xf numFmtId="0" fontId="0" fillId="0" borderId="0" xfId="0" applyFill="1" applyAlignment="1"/>
    <xf numFmtId="43" fontId="6" fillId="0" borderId="1" xfId="1" applyNumberFormat="1" applyFont="1" applyFill="1" applyBorder="1" applyAlignment="1"/>
    <xf numFmtId="43" fontId="6" fillId="0" borderId="0" xfId="0" applyNumberFormat="1" applyFont="1" applyAlignment="1"/>
    <xf numFmtId="0" fontId="22" fillId="0" borderId="0" xfId="0" applyFont="1" applyFill="1" applyBorder="1" applyAlignment="1"/>
    <xf numFmtId="0" fontId="22" fillId="0" borderId="0" xfId="0" applyFont="1" applyFill="1" applyBorder="1" applyAlignment="1">
      <alignment horizontal="right"/>
    </xf>
    <xf numFmtId="0" fontId="24" fillId="0" borderId="0" xfId="0" applyNumberFormat="1" applyFont="1" applyFill="1" applyBorder="1" applyAlignment="1" applyProtection="1">
      <protection locked="0"/>
    </xf>
    <xf numFmtId="0" fontId="24" fillId="0" borderId="0" xfId="0" applyNumberFormat="1" applyFont="1" applyFill="1" applyBorder="1" applyAlignment="1" applyProtection="1">
      <alignment horizontal="left"/>
      <protection locked="0"/>
    </xf>
    <xf numFmtId="0" fontId="24" fillId="0" borderId="0" xfId="0" applyNumberFormat="1" applyFont="1" applyFill="1" applyBorder="1" applyProtection="1">
      <alignment vertical="top"/>
      <protection locked="0"/>
    </xf>
    <xf numFmtId="0" fontId="24" fillId="0" borderId="0" xfId="0" applyNumberFormat="1" applyFont="1" applyFill="1" applyBorder="1">
      <alignment vertical="top"/>
    </xf>
    <xf numFmtId="0" fontId="24" fillId="0" borderId="0" xfId="0" applyNumberFormat="1" applyFont="1" applyFill="1" applyBorder="1" applyAlignment="1" applyProtection="1">
      <alignment horizontal="right"/>
      <protection locked="0"/>
    </xf>
    <xf numFmtId="0" fontId="0" fillId="0" borderId="0" xfId="0" applyNumberFormat="1" applyFont="1" applyFill="1" applyBorder="1">
      <alignment vertical="top"/>
    </xf>
    <xf numFmtId="0" fontId="25" fillId="0" borderId="0" xfId="0" applyNumberFormat="1" applyFont="1" applyFill="1" applyBorder="1">
      <alignment vertical="top"/>
    </xf>
    <xf numFmtId="0" fontId="0" fillId="0" borderId="0" xfId="0" applyFont="1" applyFill="1" applyBorder="1" applyAlignment="1"/>
    <xf numFmtId="3" fontId="24" fillId="0" borderId="0" xfId="0" applyNumberFormat="1" applyFont="1" applyFill="1" applyBorder="1" applyAlignment="1"/>
    <xf numFmtId="0" fontId="25" fillId="0" borderId="0" xfId="0" applyNumberFormat="1" applyFont="1" applyFill="1" applyBorder="1" applyAlignment="1">
      <alignment horizontal="center"/>
    </xf>
    <xf numFmtId="0" fontId="22" fillId="0" borderId="0" xfId="0" applyNumberFormat="1" applyFont="1" applyFill="1" applyBorder="1" applyAlignment="1" applyProtection="1">
      <alignment horizontal="center"/>
      <protection locked="0"/>
    </xf>
    <xf numFmtId="0" fontId="24" fillId="5" borderId="0" xfId="0" applyNumberFormat="1" applyFont="1" applyFill="1" applyBorder="1">
      <alignment vertical="top"/>
    </xf>
    <xf numFmtId="49" fontId="24" fillId="5" borderId="0" xfId="0" applyNumberFormat="1" applyFont="1" applyFill="1" applyBorder="1" applyAlignment="1">
      <alignment horizontal="center"/>
    </xf>
    <xf numFmtId="49" fontId="24" fillId="0" borderId="0" xfId="0" applyNumberFormat="1" applyFont="1" applyFill="1" applyBorder="1">
      <alignment vertical="top"/>
    </xf>
    <xf numFmtId="3" fontId="24" fillId="0" borderId="0" xfId="0" applyNumberFormat="1" applyFont="1" applyFill="1" applyBorder="1">
      <alignment vertical="top"/>
    </xf>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4" fillId="0" borderId="0" xfId="0" applyNumberFormat="1" applyFont="1" applyFill="1" applyBorder="1" applyAlignment="1"/>
    <xf numFmtId="3" fontId="26"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
    </xf>
    <xf numFmtId="0" fontId="26" fillId="0" borderId="0" xfId="0" applyNumberFormat="1" applyFont="1" applyFill="1" applyBorder="1" applyAlignment="1"/>
    <xf numFmtId="0" fontId="28" fillId="0" borderId="0" xfId="0" applyNumberFormat="1" applyFont="1" applyFill="1" applyBorder="1" applyAlignment="1" applyProtection="1">
      <alignment horizontal="center"/>
      <protection locked="0"/>
    </xf>
    <xf numFmtId="3" fontId="22"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41" fontId="24" fillId="5" borderId="0" xfId="0" applyNumberFormat="1" applyFont="1" applyFill="1" applyBorder="1" applyAlignment="1"/>
    <xf numFmtId="3" fontId="24" fillId="5" borderId="0" xfId="0" applyNumberFormat="1" applyFont="1" applyFill="1" applyBorder="1" applyAlignment="1"/>
    <xf numFmtId="10" fontId="24" fillId="0" borderId="0" xfId="0" applyNumberFormat="1" applyFont="1" applyFill="1" applyBorder="1" applyAlignment="1"/>
    <xf numFmtId="10" fontId="29" fillId="0" borderId="0" xfId="7" applyNumberFormat="1" applyFont="1" applyFill="1" applyBorder="1" applyAlignment="1"/>
    <xf numFmtId="10" fontId="26" fillId="0" borderId="0" xfId="0" applyNumberFormat="1" applyFont="1" applyFill="1" applyBorder="1" applyAlignment="1"/>
    <xf numFmtId="3" fontId="27" fillId="0" borderId="0" xfId="0" applyNumberFormat="1" applyFont="1" applyFill="1" applyBorder="1" applyAlignment="1"/>
    <xf numFmtId="173" fontId="26" fillId="0" borderId="0" xfId="0" applyNumberFormat="1" applyFont="1" applyFill="1" applyBorder="1" applyAlignment="1"/>
    <xf numFmtId="10" fontId="0" fillId="0" borderId="0" xfId="7" applyNumberFormat="1" applyFont="1" applyFill="1" applyBorder="1" applyAlignment="1"/>
    <xf numFmtId="49" fontId="0" fillId="0" borderId="0" xfId="0" applyNumberFormat="1" applyFont="1" applyFill="1" applyBorder="1" applyAlignment="1">
      <alignment horizontal="center"/>
    </xf>
    <xf numFmtId="0" fontId="24" fillId="0" borderId="0" xfId="0" applyFont="1" applyFill="1" applyBorder="1" applyAlignment="1">
      <alignment horizontal="center"/>
    </xf>
    <xf numFmtId="49" fontId="22"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27" fillId="0" borderId="0" xfId="0" applyNumberFormat="1" applyFont="1" applyFill="1" applyBorder="1" applyAlignment="1">
      <alignment horizontal="center"/>
    </xf>
    <xf numFmtId="0" fontId="27" fillId="0" borderId="0" xfId="0" applyFont="1" applyFill="1" applyBorder="1" applyAlignment="1"/>
    <xf numFmtId="3" fontId="26" fillId="0" borderId="0" xfId="0" applyNumberFormat="1" applyFont="1" applyFill="1" applyBorder="1" applyAlignment="1"/>
    <xf numFmtId="10" fontId="26" fillId="0" borderId="0" xfId="7" applyNumberFormat="1" applyFont="1" applyFill="1" applyBorder="1" applyAlignment="1"/>
    <xf numFmtId="0" fontId="0" fillId="0" borderId="0" xfId="0" applyNumberFormat="1" applyFont="1" applyFill="1" applyBorder="1" applyAlignment="1">
      <alignment horizontal="fill"/>
    </xf>
    <xf numFmtId="0" fontId="30" fillId="0" borderId="0" xfId="0" applyFont="1" applyFill="1" applyBorder="1" applyAlignment="1"/>
    <xf numFmtId="3" fontId="31" fillId="0" borderId="0" xfId="0" applyNumberFormat="1" applyFont="1" applyFill="1" applyBorder="1" applyAlignment="1"/>
    <xf numFmtId="170" fontId="24" fillId="0" borderId="0" xfId="0" applyNumberFormat="1" applyFont="1" applyFill="1" applyBorder="1" applyAlignment="1">
      <alignment horizontal="center"/>
    </xf>
    <xf numFmtId="10" fontId="24" fillId="0" borderId="0" xfId="7" applyNumberFormat="1" applyFont="1" applyFill="1" applyBorder="1" applyAlignment="1"/>
    <xf numFmtId="164" fontId="22" fillId="0" borderId="0" xfId="0" applyNumberFormat="1" applyFont="1" applyFill="1" applyBorder="1" applyAlignment="1"/>
    <xf numFmtId="0" fontId="31" fillId="0" borderId="0" xfId="0" applyNumberFormat="1" applyFont="1" applyFill="1" applyBorder="1">
      <alignment vertical="top"/>
    </xf>
    <xf numFmtId="0" fontId="24" fillId="0" borderId="0" xfId="0" applyFont="1" applyFill="1" applyBorder="1" applyAlignment="1"/>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22" fillId="0" borderId="0" xfId="0" applyNumberFormat="1" applyFont="1" applyFill="1" applyBorder="1" applyAlignment="1">
      <alignment horizontal="left"/>
    </xf>
    <xf numFmtId="0" fontId="24" fillId="0" borderId="0" xfId="0" applyFont="1" applyFill="1" applyBorder="1" applyAlignment="1">
      <alignment horizontal="right"/>
    </xf>
    <xf numFmtId="174" fontId="26" fillId="0" borderId="0" xfId="0" applyNumberFormat="1" applyFont="1" applyFill="1" applyBorder="1" applyAlignment="1">
      <alignment horizontal="center"/>
    </xf>
    <xf numFmtId="0" fontId="27" fillId="0" borderId="8" xfId="0" applyFont="1" applyFill="1" applyBorder="1" applyAlignment="1">
      <alignment horizontal="center" wrapText="1"/>
    </xf>
    <xf numFmtId="0" fontId="27" fillId="0" borderId="7" xfId="0" applyFont="1" applyFill="1" applyBorder="1" applyAlignment="1"/>
    <xf numFmtId="0" fontId="27" fillId="0" borderId="7" xfId="0" applyFont="1" applyFill="1" applyBorder="1" applyAlignment="1">
      <alignment horizontal="center" wrapText="1"/>
    </xf>
    <xf numFmtId="0" fontId="26" fillId="0" borderId="7" xfId="0" applyNumberFormat="1" applyFont="1" applyFill="1" applyBorder="1" applyAlignment="1">
      <alignment horizontal="center" wrapText="1"/>
    </xf>
    <xf numFmtId="0" fontId="27" fillId="0" borderId="6" xfId="0" applyFont="1" applyFill="1" applyBorder="1" applyAlignment="1">
      <alignment horizontal="center" wrapText="1"/>
    </xf>
    <xf numFmtId="3" fontId="26" fillId="0" borderId="6" xfId="0" applyNumberFormat="1" applyFont="1" applyFill="1" applyBorder="1" applyAlignment="1">
      <alignment horizontal="center" wrapText="1"/>
    </xf>
    <xf numFmtId="3" fontId="26" fillId="0" borderId="7" xfId="0" applyNumberFormat="1" applyFont="1" applyFill="1" applyBorder="1" applyAlignment="1">
      <alignment horizontal="center" wrapText="1"/>
    </xf>
    <xf numFmtId="0" fontId="24" fillId="0" borderId="8" xfId="0" applyNumberFormat="1" applyFont="1" applyFill="1" applyBorder="1">
      <alignment vertical="top"/>
    </xf>
    <xf numFmtId="0" fontId="24" fillId="0" borderId="7" xfId="0" applyNumberFormat="1" applyFont="1" applyFill="1" applyBorder="1">
      <alignment vertical="top"/>
    </xf>
    <xf numFmtId="0" fontId="24" fillId="0" borderId="7" xfId="0" applyNumberFormat="1" applyFont="1" applyFill="1" applyBorder="1" applyAlignment="1">
      <alignment horizontal="center"/>
    </xf>
    <xf numFmtId="0" fontId="24" fillId="0" borderId="6" xfId="0" applyNumberFormat="1" applyFont="1" applyFill="1" applyBorder="1" applyAlignment="1">
      <alignment horizontal="center"/>
    </xf>
    <xf numFmtId="3" fontId="24" fillId="0" borderId="7" xfId="0" applyNumberFormat="1" applyFont="1" applyFill="1" applyBorder="1" applyAlignment="1">
      <alignment horizontal="center"/>
    </xf>
    <xf numFmtId="3" fontId="24" fillId="0" borderId="6" xfId="0" applyNumberFormat="1" applyFont="1" applyFill="1" applyBorder="1" applyAlignment="1">
      <alignment horizontal="center" wrapText="1"/>
    </xf>
    <xf numFmtId="6" fontId="32" fillId="0" borderId="0" xfId="0" applyNumberFormat="1" applyFont="1" applyFill="1" applyBorder="1" applyAlignment="1">
      <alignment horizontal="center" wrapText="1"/>
    </xf>
    <xf numFmtId="3" fontId="33" fillId="0" borderId="0" xfId="0" applyNumberFormat="1" applyFont="1" applyFill="1" applyBorder="1" applyAlignment="1"/>
    <xf numFmtId="0" fontId="24" fillId="0" borderId="16" xfId="0" applyNumberFormat="1" applyFont="1" applyFill="1" applyBorder="1">
      <alignment vertical="top"/>
    </xf>
    <xf numFmtId="0" fontId="24" fillId="0" borderId="3" xfId="0" applyNumberFormat="1" applyFont="1" applyFill="1" applyBorder="1">
      <alignment vertical="top"/>
    </xf>
    <xf numFmtId="3" fontId="24" fillId="0" borderId="3" xfId="0" applyNumberFormat="1" applyFont="1" applyFill="1" applyBorder="1" applyAlignment="1"/>
    <xf numFmtId="0" fontId="33" fillId="0" borderId="0" xfId="0" applyNumberFormat="1" applyFont="1" applyFill="1" applyBorder="1">
      <alignment vertical="top"/>
    </xf>
    <xf numFmtId="0" fontId="22" fillId="0" borderId="16" xfId="0" applyFont="1" applyFill="1" applyBorder="1" applyAlignment="1"/>
    <xf numFmtId="0" fontId="34" fillId="0" borderId="0" xfId="0" applyFont="1" applyFill="1" applyBorder="1" applyAlignment="1"/>
    <xf numFmtId="6" fontId="35" fillId="0" borderId="0" xfId="2" applyNumberFormat="1" applyFont="1" applyFill="1" applyBorder="1" applyAlignment="1"/>
    <xf numFmtId="0" fontId="36" fillId="0" borderId="0" xfId="0" applyFont="1">
      <alignment vertical="top"/>
    </xf>
    <xf numFmtId="0" fontId="36" fillId="0" borderId="0" xfId="0" applyFont="1" applyFill="1">
      <alignment vertical="top"/>
    </xf>
    <xf numFmtId="0" fontId="34" fillId="0" borderId="3" xfId="0" applyFont="1" applyFill="1" applyBorder="1" applyAlignment="1"/>
    <xf numFmtId="0" fontId="22" fillId="0" borderId="4" xfId="0" applyFont="1" applyFill="1" applyBorder="1" applyAlignment="1"/>
    <xf numFmtId="0" fontId="22" fillId="0" borderId="17" xfId="0" applyFont="1" applyFill="1" applyBorder="1" applyAlignment="1"/>
    <xf numFmtId="0" fontId="34" fillId="0" borderId="17" xfId="0" applyFont="1" applyFill="1" applyBorder="1" applyAlignment="1"/>
    <xf numFmtId="0" fontId="34" fillId="0" borderId="5" xfId="0" applyFont="1" applyFill="1" applyBorder="1" applyAlignment="1"/>
    <xf numFmtId="167" fontId="24" fillId="0" borderId="0" xfId="1" applyNumberFormat="1" applyFont="1" applyFill="1" applyBorder="1" applyAlignment="1"/>
    <xf numFmtId="3" fontId="24" fillId="2" borderId="0" xfId="0" applyNumberFormat="1" applyFont="1" applyFill="1" applyBorder="1" applyAlignment="1"/>
    <xf numFmtId="6" fontId="24" fillId="2" borderId="0" xfId="2" applyNumberFormat="1" applyFont="1" applyFill="1" applyBorder="1" applyAlignment="1"/>
    <xf numFmtId="0" fontId="37" fillId="0" borderId="0" xfId="0" applyFont="1" applyFill="1" applyBorder="1" applyAlignment="1"/>
    <xf numFmtId="6" fontId="34" fillId="0" borderId="0" xfId="2" applyNumberFormat="1" applyFont="1" applyFill="1" applyBorder="1" applyAlignment="1"/>
    <xf numFmtId="1" fontId="24" fillId="0" borderId="0" xfId="1" applyNumberFormat="1" applyFont="1" applyFill="1" applyBorder="1" applyAlignment="1">
      <alignment horizontal="center"/>
    </xf>
    <xf numFmtId="164" fontId="24" fillId="0" borderId="0" xfId="0" applyNumberFormat="1" applyFont="1" applyFill="1" applyBorder="1" applyAlignment="1"/>
    <xf numFmtId="0" fontId="32" fillId="0" borderId="0" xfId="0" applyFont="1" applyFill="1" applyBorder="1" applyAlignment="1"/>
    <xf numFmtId="0" fontId="24" fillId="0" borderId="30" xfId="0" applyFont="1" applyFill="1" applyBorder="1" applyAlignment="1"/>
    <xf numFmtId="0" fontId="32" fillId="0" borderId="0" xfId="0" applyFont="1" applyFill="1" applyBorder="1" applyAlignment="1">
      <alignment horizontal="center" vertical="top"/>
    </xf>
    <xf numFmtId="0" fontId="32" fillId="0" borderId="0" xfId="0" applyFont="1" applyFill="1" applyBorder="1" applyAlignment="1">
      <alignment horizontal="center"/>
    </xf>
    <xf numFmtId="49" fontId="6" fillId="0" borderId="0" xfId="0" applyNumberFormat="1" applyFont="1" applyFill="1" applyBorder="1" applyAlignment="1">
      <alignment horizontal="center"/>
    </xf>
    <xf numFmtId="167" fontId="24" fillId="5" borderId="0" xfId="1" applyNumberFormat="1" applyFont="1" applyFill="1" applyBorder="1" applyAlignment="1"/>
    <xf numFmtId="167" fontId="24" fillId="5" borderId="17" xfId="1" applyNumberFormat="1" applyFont="1" applyFill="1" applyBorder="1" applyAlignment="1"/>
    <xf numFmtId="3" fontId="38" fillId="0" borderId="0" xfId="0" applyNumberFormat="1" applyFont="1" applyFill="1" applyBorder="1" applyAlignment="1"/>
    <xf numFmtId="41" fontId="24" fillId="0" borderId="0" xfId="0" applyNumberFormat="1" applyFont="1" applyFill="1" applyBorder="1" applyAlignment="1"/>
    <xf numFmtId="0" fontId="39" fillId="0" borderId="8" xfId="0" applyNumberFormat="1" applyFont="1" applyFill="1" applyBorder="1">
      <alignment vertical="top"/>
    </xf>
    <xf numFmtId="0" fontId="39" fillId="0" borderId="7" xfId="0" applyNumberFormat="1" applyFont="1" applyFill="1" applyBorder="1">
      <alignment vertical="top"/>
    </xf>
    <xf numFmtId="0" fontId="39" fillId="0" borderId="7" xfId="0" quotePrefix="1" applyNumberFormat="1" applyFont="1" applyFill="1" applyBorder="1" applyAlignment="1">
      <alignment horizontal="center"/>
    </xf>
    <xf numFmtId="0" fontId="39" fillId="0" borderId="7" xfId="0" applyNumberFormat="1" applyFont="1" applyFill="1" applyBorder="1" applyAlignment="1">
      <alignment horizontal="center"/>
    </xf>
    <xf numFmtId="0" fontId="39" fillId="0" borderId="6" xfId="0" quotePrefix="1" applyNumberFormat="1" applyFont="1" applyFill="1" applyBorder="1" applyAlignment="1">
      <alignment horizontal="center"/>
    </xf>
    <xf numFmtId="0" fontId="39" fillId="0" borderId="6" xfId="0" applyNumberFormat="1" applyFont="1" applyFill="1" applyBorder="1" applyAlignment="1">
      <alignment horizontal="center"/>
    </xf>
    <xf numFmtId="3" fontId="39" fillId="0" borderId="7" xfId="0" applyNumberFormat="1" applyFont="1" applyFill="1" applyBorder="1" applyAlignment="1">
      <alignment horizontal="center"/>
    </xf>
    <xf numFmtId="3" fontId="39" fillId="0" borderId="6" xfId="0" applyNumberFormat="1"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right"/>
    </xf>
    <xf numFmtId="0" fontId="40" fillId="0" borderId="0" xfId="0" applyNumberFormat="1" applyFont="1" applyFill="1" applyBorder="1">
      <alignment vertical="top"/>
    </xf>
    <xf numFmtId="0" fontId="40"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0" fontId="38" fillId="0" borderId="0" xfId="0" applyNumberFormat="1" applyFont="1" applyFill="1" applyBorder="1" applyAlignment="1" applyProtection="1">
      <alignment horizontal="center"/>
      <protection locked="0"/>
    </xf>
    <xf numFmtId="3" fontId="3" fillId="0" borderId="0" xfId="0" applyNumberFormat="1" applyFont="1" applyFill="1" applyBorder="1" applyAlignment="1">
      <alignment horizontal="center"/>
    </xf>
    <xf numFmtId="173" fontId="24" fillId="0" borderId="0" xfId="0" applyNumberFormat="1" applyFont="1" applyFill="1" applyBorder="1" applyAlignment="1"/>
    <xf numFmtId="49" fontId="3" fillId="0" borderId="0" xfId="0" applyNumberFormat="1" applyFont="1" applyFill="1" applyBorder="1" applyAlignment="1">
      <alignment horizontal="center"/>
    </xf>
    <xf numFmtId="0" fontId="24" fillId="0" borderId="0" xfId="0" applyNumberFormat="1" applyFont="1" applyFill="1" applyBorder="1" applyAlignment="1">
      <alignment horizontal="fill"/>
    </xf>
    <xf numFmtId="0" fontId="31" fillId="0" borderId="0" xfId="0" applyFont="1" applyFill="1" applyBorder="1" applyAlignment="1"/>
    <xf numFmtId="164" fontId="3" fillId="0" borderId="0" xfId="0" applyNumberFormat="1" applyFont="1" applyFill="1" applyBorder="1" applyAlignment="1"/>
    <xf numFmtId="0" fontId="3" fillId="0" borderId="0" xfId="0" quotePrefix="1" applyNumberFormat="1" applyFont="1" applyFill="1" applyBorder="1" applyAlignment="1" applyProtection="1">
      <alignment horizontal="center"/>
      <protection locked="0"/>
    </xf>
    <xf numFmtId="174" fontId="24" fillId="0" borderId="0" xfId="0" quotePrefix="1" applyNumberFormat="1" applyFont="1" applyFill="1" applyBorder="1" applyAlignment="1">
      <alignment horizontal="center"/>
    </xf>
    <xf numFmtId="0" fontId="24" fillId="0" borderId="8" xfId="0" applyFont="1" applyFill="1" applyBorder="1" applyAlignment="1">
      <alignment horizontal="center" wrapText="1"/>
    </xf>
    <xf numFmtId="0" fontId="24" fillId="0" borderId="7" xfId="0" applyFont="1" applyFill="1" applyBorder="1" applyAlignment="1"/>
    <xf numFmtId="0" fontId="24" fillId="0" borderId="7" xfId="0" applyFont="1" applyFill="1" applyBorder="1" applyAlignment="1">
      <alignment horizontal="center" wrapText="1"/>
    </xf>
    <xf numFmtId="0" fontId="24" fillId="0" borderId="7" xfId="0" applyNumberFormat="1" applyFont="1" applyFill="1" applyBorder="1" applyAlignment="1">
      <alignment horizontal="center" wrapText="1"/>
    </xf>
    <xf numFmtId="0" fontId="24" fillId="0" borderId="24" xfId="0" applyFont="1" applyFill="1" applyBorder="1" applyAlignment="1">
      <alignment horizontal="center" wrapText="1"/>
    </xf>
    <xf numFmtId="0" fontId="24" fillId="0" borderId="6" xfId="0" applyFont="1" applyFill="1" applyBorder="1" applyAlignment="1">
      <alignment horizontal="center" wrapText="1"/>
    </xf>
    <xf numFmtId="3" fontId="24" fillId="0" borderId="7" xfId="0" applyNumberFormat="1" applyFont="1" applyFill="1" applyBorder="1" applyAlignment="1">
      <alignment horizontal="center" wrapText="1"/>
    </xf>
    <xf numFmtId="3" fontId="39" fillId="0" borderId="0" xfId="0" applyNumberFormat="1" applyFont="1" applyFill="1" applyBorder="1" applyAlignment="1"/>
    <xf numFmtId="0" fontId="39" fillId="0" borderId="0" xfId="0" applyNumberFormat="1" applyFont="1" applyFill="1" applyBorder="1">
      <alignment vertical="top"/>
    </xf>
    <xf numFmtId="0" fontId="39" fillId="0" borderId="0" xfId="0" applyNumberFormat="1" applyFont="1" applyFill="1" applyBorder="1" applyAlignment="1"/>
    <xf numFmtId="0" fontId="39" fillId="0" borderId="0" xfId="0" applyFont="1" applyFill="1" applyBorder="1" applyAlignment="1"/>
    <xf numFmtId="0" fontId="3" fillId="0" borderId="16" xfId="0" applyFont="1" applyFill="1" applyBorder="1" applyAlignment="1"/>
    <xf numFmtId="0" fontId="3" fillId="0" borderId="0" xfId="0" applyNumberFormat="1" applyFont="1" applyFill="1" applyBorder="1" applyAlignment="1">
      <alignment horizontal="center"/>
    </xf>
    <xf numFmtId="0" fontId="3" fillId="0" borderId="3" xfId="0" applyFont="1" applyFill="1" applyBorder="1" applyAlignment="1"/>
    <xf numFmtId="0" fontId="37" fillId="0" borderId="0" xfId="0" applyNumberFormat="1" applyFont="1" applyFill="1" applyBorder="1" applyAlignment="1">
      <alignment horizontal="center"/>
    </xf>
    <xf numFmtId="0" fontId="37" fillId="0" borderId="3" xfId="0" applyFont="1" applyFill="1" applyBorder="1" applyAlignment="1"/>
    <xf numFmtId="0" fontId="3" fillId="0" borderId="4" xfId="0" applyFont="1" applyFill="1" applyBorder="1" applyAlignment="1"/>
    <xf numFmtId="0" fontId="3" fillId="0" borderId="17" xfId="0" applyFont="1" applyFill="1" applyBorder="1" applyAlignment="1"/>
    <xf numFmtId="0" fontId="37" fillId="0" borderId="17" xfId="0" applyFont="1" applyFill="1" applyBorder="1" applyAlignment="1"/>
    <xf numFmtId="0" fontId="37" fillId="0" borderId="5" xfId="0" applyFont="1" applyFill="1" applyBorder="1" applyAlignment="1"/>
    <xf numFmtId="0" fontId="39" fillId="0" borderId="0" xfId="0" applyFont="1" applyFill="1" applyBorder="1" applyAlignment="1">
      <alignment horizontal="center" vertical="top"/>
    </xf>
    <xf numFmtId="0" fontId="39" fillId="0" borderId="0" xfId="0" applyFont="1" applyFill="1" applyBorder="1" applyAlignment="1">
      <alignment horizontal="left" vertical="top" wrapText="1"/>
    </xf>
    <xf numFmtId="0" fontId="39" fillId="0" borderId="0" xfId="0" applyFont="1" applyFill="1" applyBorder="1" applyAlignment="1">
      <alignment horizontal="left" vertical="top" indent="1"/>
    </xf>
    <xf numFmtId="0" fontId="39" fillId="0" borderId="0" xfId="0" applyFont="1" applyFill="1" applyBorder="1" applyAlignment="1">
      <alignment horizontal="center"/>
    </xf>
    <xf numFmtId="0" fontId="37" fillId="0" borderId="0" xfId="0" applyFont="1" applyFill="1" applyBorder="1" applyAlignment="1">
      <alignment horizontal="center"/>
    </xf>
    <xf numFmtId="49" fontId="24" fillId="0" borderId="0" xfId="0" applyNumberFormat="1" applyFont="1" applyFill="1" applyBorder="1" applyAlignment="1">
      <alignment horizontal="left"/>
    </xf>
    <xf numFmtId="0" fontId="24" fillId="0" borderId="0" xfId="0" applyNumberFormat="1" applyFont="1" applyFill="1" applyBorder="1" applyAlignment="1">
      <alignment horizontal="right"/>
    </xf>
    <xf numFmtId="165" fontId="24" fillId="0" borderId="0" xfId="2" applyNumberFormat="1" applyFont="1" applyFill="1" applyBorder="1" applyAlignment="1">
      <alignment vertical="top"/>
    </xf>
    <xf numFmtId="0" fontId="3" fillId="0" borderId="0" xfId="0" applyFont="1">
      <alignment vertical="top"/>
    </xf>
    <xf numFmtId="0" fontId="3" fillId="0" borderId="16" xfId="0" applyFont="1" applyBorder="1">
      <alignment vertical="top"/>
    </xf>
    <xf numFmtId="0" fontId="3" fillId="0" borderId="0" xfId="0" applyFont="1" applyBorder="1">
      <alignment vertical="top"/>
    </xf>
    <xf numFmtId="0" fontId="3" fillId="0" borderId="22" xfId="0" applyFont="1" applyBorder="1">
      <alignment vertical="top"/>
    </xf>
    <xf numFmtId="0" fontId="3" fillId="0" borderId="0" xfId="0" applyFont="1" applyFill="1" applyBorder="1" applyAlignment="1">
      <alignment horizontal="center"/>
    </xf>
    <xf numFmtId="0" fontId="3" fillId="0" borderId="4" xfId="0" applyFont="1" applyBorder="1">
      <alignment vertical="top"/>
    </xf>
    <xf numFmtId="0" fontId="3" fillId="0" borderId="17" xfId="0" applyFont="1" applyBorder="1">
      <alignment vertical="top"/>
    </xf>
    <xf numFmtId="0" fontId="3" fillId="0" borderId="17" xfId="0" applyFont="1" applyFill="1" applyBorder="1" applyAlignment="1">
      <alignment horizontal="center"/>
    </xf>
    <xf numFmtId="0" fontId="3" fillId="0" borderId="27" xfId="0" applyFont="1" applyFill="1" applyBorder="1" applyAlignment="1">
      <alignment horizontal="center"/>
    </xf>
    <xf numFmtId="10" fontId="42" fillId="5" borderId="0" xfId="7" applyNumberFormat="1" applyFont="1" applyFill="1"/>
    <xf numFmtId="0" fontId="41" fillId="0" borderId="0" xfId="0" quotePrefix="1" applyFont="1" applyAlignment="1">
      <alignment horizontal="center"/>
    </xf>
    <xf numFmtId="0" fontId="43" fillId="0" borderId="0" xfId="0" applyFont="1">
      <alignment vertical="top"/>
    </xf>
    <xf numFmtId="0" fontId="44" fillId="0" borderId="0" xfId="0" applyFont="1">
      <alignment vertical="top"/>
    </xf>
    <xf numFmtId="0" fontId="44" fillId="0" borderId="0" xfId="0" applyFont="1" applyAlignment="1">
      <alignment horizontal="right"/>
    </xf>
    <xf numFmtId="0" fontId="44" fillId="5" borderId="0" xfId="0" applyFont="1" applyFill="1">
      <alignment vertical="top"/>
    </xf>
    <xf numFmtId="0" fontId="44" fillId="0" borderId="0" xfId="0" applyFont="1" applyAlignment="1">
      <alignment horizontal="center"/>
    </xf>
    <xf numFmtId="0" fontId="44" fillId="0" borderId="2" xfId="0" applyFont="1" applyBorder="1">
      <alignment vertical="top"/>
    </xf>
    <xf numFmtId="0" fontId="44" fillId="0" borderId="23" xfId="0" applyFont="1" applyBorder="1">
      <alignment vertical="top"/>
    </xf>
    <xf numFmtId="0" fontId="44" fillId="0" borderId="23" xfId="0" applyFont="1" applyBorder="1" applyAlignment="1">
      <alignment horizontal="center"/>
    </xf>
    <xf numFmtId="0" fontId="44" fillId="0" borderId="26" xfId="0" applyFont="1" applyBorder="1">
      <alignment vertical="top"/>
    </xf>
    <xf numFmtId="0" fontId="44" fillId="0" borderId="16" xfId="0" applyFont="1" applyBorder="1">
      <alignment vertical="top"/>
    </xf>
    <xf numFmtId="0" fontId="44" fillId="0" borderId="0" xfId="0" applyFont="1" applyBorder="1">
      <alignment vertical="top"/>
    </xf>
    <xf numFmtId="0" fontId="44" fillId="0" borderId="0" xfId="0" applyFont="1" applyBorder="1" applyAlignment="1">
      <alignment horizontal="center"/>
    </xf>
    <xf numFmtId="0" fontId="44" fillId="0" borderId="22" xfId="0" applyFont="1" applyBorder="1">
      <alignment vertical="top"/>
    </xf>
    <xf numFmtId="0" fontId="44" fillId="0" borderId="22" xfId="0" applyFont="1" applyBorder="1" applyAlignment="1">
      <alignment horizontal="center"/>
    </xf>
    <xf numFmtId="0" fontId="44" fillId="0" borderId="16" xfId="0" applyFont="1" applyBorder="1" applyAlignment="1">
      <alignment horizontal="center"/>
    </xf>
    <xf numFmtId="0" fontId="44" fillId="0" borderId="4" xfId="0" applyFont="1" applyBorder="1" applyAlignment="1">
      <alignment horizontal="center"/>
    </xf>
    <xf numFmtId="0" fontId="44" fillId="0" borderId="17" xfId="0" applyFont="1" applyBorder="1" applyAlignment="1">
      <alignment horizontal="center"/>
    </xf>
    <xf numFmtId="0" fontId="44" fillId="0" borderId="27" xfId="0" applyFont="1" applyBorder="1" applyAlignment="1">
      <alignment horizontal="center"/>
    </xf>
    <xf numFmtId="0" fontId="44" fillId="0" borderId="17" xfId="0" applyFont="1" applyBorder="1">
      <alignment vertical="top"/>
    </xf>
    <xf numFmtId="0" fontId="44" fillId="0" borderId="16" xfId="0" applyFont="1" applyBorder="1" applyAlignment="1">
      <alignment horizontal="center" vertical="center"/>
    </xf>
    <xf numFmtId="167" fontId="39" fillId="0" borderId="0" xfId="1" applyNumberFormat="1" applyFont="1" applyBorder="1"/>
    <xf numFmtId="167" fontId="44" fillId="0" borderId="0" xfId="0" applyNumberFormat="1" applyFont="1" applyBorder="1">
      <alignment vertical="top"/>
    </xf>
    <xf numFmtId="10" fontId="39" fillId="0" borderId="0" xfId="7" applyNumberFormat="1" applyFont="1" applyBorder="1"/>
    <xf numFmtId="167" fontId="44" fillId="0" borderId="22" xfId="0" applyNumberFormat="1" applyFont="1" applyBorder="1">
      <alignment vertical="top"/>
    </xf>
    <xf numFmtId="0" fontId="44" fillId="0" borderId="27" xfId="0" applyFont="1" applyBorder="1">
      <alignment vertical="top"/>
    </xf>
    <xf numFmtId="165" fontId="39" fillId="0" borderId="0" xfId="2" applyNumberFormat="1" applyFont="1"/>
    <xf numFmtId="0" fontId="44" fillId="0" borderId="16" xfId="0" applyFont="1" applyFill="1" applyBorder="1" applyAlignment="1">
      <alignment horizontal="center"/>
    </xf>
    <xf numFmtId="0" fontId="44" fillId="0" borderId="0" xfId="0" applyFont="1" applyFill="1" applyBorder="1">
      <alignment vertical="top"/>
    </xf>
    <xf numFmtId="167" fontId="39" fillId="0" borderId="0" xfId="1" applyNumberFormat="1" applyFont="1" applyFill="1" applyBorder="1"/>
    <xf numFmtId="167" fontId="42" fillId="0" borderId="0" xfId="1" applyNumberFormat="1" applyFont="1" applyFill="1" applyBorder="1"/>
    <xf numFmtId="167" fontId="44" fillId="0" borderId="0" xfId="0" applyNumberFormat="1" applyFont="1" applyFill="1" applyBorder="1">
      <alignment vertical="top"/>
    </xf>
    <xf numFmtId="10" fontId="39" fillId="0" borderId="0" xfId="7" applyNumberFormat="1" applyFont="1" applyFill="1" applyBorder="1"/>
    <xf numFmtId="167" fontId="44" fillId="0" borderId="22" xfId="0" applyNumberFormat="1" applyFont="1" applyFill="1" applyBorder="1">
      <alignment vertical="top"/>
    </xf>
    <xf numFmtId="0" fontId="44" fillId="0" borderId="22" xfId="0" applyFont="1" applyFill="1" applyBorder="1">
      <alignment vertical="top"/>
    </xf>
    <xf numFmtId="165" fontId="39" fillId="5" borderId="0" xfId="2" applyNumberFormat="1" applyFont="1" applyFill="1" applyBorder="1"/>
    <xf numFmtId="167" fontId="39" fillId="5" borderId="0" xfId="1" applyNumberFormat="1" applyFont="1" applyFill="1" applyBorder="1"/>
    <xf numFmtId="0" fontId="44" fillId="0" borderId="0" xfId="0" applyFont="1" applyFill="1">
      <alignment vertical="top"/>
    </xf>
    <xf numFmtId="0" fontId="44" fillId="0" borderId="16" xfId="0" applyFont="1" applyFill="1" applyBorder="1" applyAlignment="1"/>
    <xf numFmtId="0" fontId="44" fillId="0" borderId="0" xfId="0" applyFont="1" applyFill="1" applyBorder="1" applyAlignment="1"/>
    <xf numFmtId="0" fontId="44" fillId="0" borderId="0" xfId="0" quotePrefix="1" applyFont="1" applyFill="1" applyBorder="1" applyAlignment="1"/>
    <xf numFmtId="165" fontId="36" fillId="5" borderId="0" xfId="2" applyNumberFormat="1" applyFont="1" applyFill="1" applyBorder="1" applyAlignment="1"/>
    <xf numFmtId="10" fontId="36" fillId="0" borderId="0" xfId="7" applyNumberFormat="1" applyFont="1" applyFill="1" applyBorder="1" applyAlignment="1"/>
    <xf numFmtId="164" fontId="44" fillId="0" borderId="3" xfId="0" applyNumberFormat="1" applyFont="1" applyFill="1" applyBorder="1" applyAlignment="1"/>
    <xf numFmtId="164" fontId="36" fillId="5" borderId="0" xfId="0" applyNumberFormat="1" applyFont="1" applyFill="1" applyBorder="1" applyAlignment="1"/>
    <xf numFmtId="3" fontId="36" fillId="2" borderId="3" xfId="0" applyNumberFormat="1" applyFont="1" applyFill="1" applyBorder="1" applyAlignment="1"/>
    <xf numFmtId="0" fontId="36" fillId="0" borderId="0" xfId="0" applyFont="1" applyFill="1" applyBorder="1" applyAlignment="1"/>
    <xf numFmtId="6" fontId="36" fillId="2" borderId="0" xfId="2" applyNumberFormat="1" applyFont="1" applyFill="1" applyBorder="1" applyAlignment="1"/>
    <xf numFmtId="6" fontId="46" fillId="0" borderId="0" xfId="2" applyNumberFormat="1" applyFont="1" applyFill="1" applyBorder="1" applyAlignment="1"/>
    <xf numFmtId="0" fontId="36" fillId="0" borderId="0" xfId="0" applyNumberFormat="1" applyFont="1" applyFill="1" applyBorder="1" applyAlignment="1"/>
    <xf numFmtId="0" fontId="36" fillId="0" borderId="0" xfId="0" applyNumberFormat="1" applyFont="1" applyFill="1" applyBorder="1">
      <alignment vertical="top"/>
    </xf>
    <xf numFmtId="0" fontId="36" fillId="0" borderId="16" xfId="0" applyNumberFormat="1" applyFont="1" applyFill="1" applyBorder="1">
      <alignment vertical="top"/>
    </xf>
    <xf numFmtId="0" fontId="36" fillId="0" borderId="3" xfId="0" applyNumberFormat="1" applyFont="1" applyFill="1" applyBorder="1">
      <alignment vertical="top"/>
    </xf>
    <xf numFmtId="3" fontId="36" fillId="0" borderId="0" xfId="0" applyNumberFormat="1" applyFont="1" applyFill="1" applyBorder="1" applyAlignment="1"/>
    <xf numFmtId="3" fontId="36" fillId="0" borderId="3" xfId="0" applyNumberFormat="1" applyFont="1" applyFill="1" applyBorder="1" applyAlignment="1"/>
    <xf numFmtId="166" fontId="36" fillId="0" borderId="0" xfId="3" applyFont="1" applyFill="1" applyBorder="1" applyAlignment="1"/>
    <xf numFmtId="0" fontId="44" fillId="0" borderId="0" xfId="0" applyNumberFormat="1" applyFont="1" applyFill="1" applyBorder="1" applyAlignment="1">
      <alignment horizontal="center"/>
    </xf>
    <xf numFmtId="165" fontId="36" fillId="0" borderId="0" xfId="2" applyNumberFormat="1" applyFont="1" applyFill="1" applyBorder="1" applyAlignment="1"/>
    <xf numFmtId="164" fontId="44" fillId="0" borderId="0" xfId="0" applyNumberFormat="1" applyFont="1" applyFill="1" applyBorder="1" applyAlignment="1"/>
    <xf numFmtId="165" fontId="36" fillId="0" borderId="3" xfId="2" applyNumberFormat="1" applyFont="1" applyFill="1" applyBorder="1" applyAlignment="1"/>
    <xf numFmtId="165" fontId="36" fillId="0" borderId="0" xfId="2" applyNumberFormat="1" applyFont="1" applyFill="1" applyBorder="1" applyAlignment="1">
      <alignment vertical="top"/>
    </xf>
    <xf numFmtId="0" fontId="44" fillId="0" borderId="3" xfId="0" applyFont="1" applyFill="1" applyBorder="1" applyAlignment="1"/>
    <xf numFmtId="165" fontId="36" fillId="0" borderId="7" xfId="2" applyNumberFormat="1" applyFont="1" applyFill="1" applyBorder="1" applyAlignment="1"/>
    <xf numFmtId="167" fontId="6" fillId="3" borderId="0" xfId="0" applyNumberFormat="1" applyFont="1" applyFill="1" applyAlignment="1"/>
    <xf numFmtId="0" fontId="5" fillId="0" borderId="31" xfId="5"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5" fillId="0" borderId="32" xfId="5"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166" fontId="6" fillId="0" borderId="8" xfId="0" applyNumberFormat="1" applyFont="1" applyBorder="1" applyAlignment="1">
      <alignment horizontal="center"/>
    </xf>
    <xf numFmtId="0" fontId="0" fillId="0" borderId="7" xfId="0" applyBorder="1" applyAlignment="1">
      <alignment horizontal="center"/>
    </xf>
    <xf numFmtId="0" fontId="0" fillId="0" borderId="24" xfId="0" applyBorder="1" applyAlignment="1">
      <alignment horizontal="center"/>
    </xf>
    <xf numFmtId="164" fontId="5" fillId="0" borderId="35" xfId="5" applyNumberFormat="1"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5" fillId="0" borderId="32" xfId="4" applyFont="1" applyBorder="1" applyAlignment="1">
      <alignment horizontal="left" vertical="center" wrapText="1"/>
    </xf>
    <xf numFmtId="164" fontId="5" fillId="0" borderId="35" xfId="4" applyNumberFormat="1" applyFont="1" applyBorder="1" applyAlignment="1">
      <alignment horizontal="left" vertical="center" wrapText="1"/>
    </xf>
    <xf numFmtId="0" fontId="5" fillId="0" borderId="12" xfId="5" applyFont="1" applyBorder="1" applyAlignment="1">
      <alignment horizontal="left" vertical="center" wrapText="1"/>
    </xf>
    <xf numFmtId="0" fontId="5" fillId="0" borderId="32" xfId="4" applyNumberFormat="1" applyFont="1" applyBorder="1" applyAlignment="1">
      <alignment horizontal="left" vertical="center" wrapText="1"/>
    </xf>
    <xf numFmtId="0" fontId="5" fillId="0" borderId="20" xfId="5" applyFont="1" applyBorder="1" applyAlignment="1">
      <alignment horizontal="left" vertical="center" wrapText="1"/>
    </xf>
    <xf numFmtId="0" fontId="5" fillId="0" borderId="39" xfId="5" applyFont="1" applyBorder="1" applyAlignment="1">
      <alignment horizontal="left" vertical="center" wrapText="1"/>
    </xf>
    <xf numFmtId="0" fontId="5" fillId="0" borderId="40" xfId="5" applyFont="1" applyBorder="1" applyAlignment="1">
      <alignment horizontal="left" vertical="center" wrapText="1"/>
    </xf>
    <xf numFmtId="0" fontId="5" fillId="0" borderId="18" xfId="4" applyNumberFormat="1" applyFont="1" applyBorder="1" applyAlignment="1">
      <alignment horizontal="left" vertical="center" wrapText="1"/>
    </xf>
    <xf numFmtId="0" fontId="5" fillId="0" borderId="33" xfId="4" applyNumberFormat="1" applyFont="1" applyBorder="1" applyAlignment="1">
      <alignment horizontal="left" vertical="center" wrapText="1"/>
    </xf>
    <xf numFmtId="0" fontId="5" fillId="0" borderId="34" xfId="4" applyNumberFormat="1" applyFont="1" applyBorder="1" applyAlignment="1">
      <alignment horizontal="left" vertical="center" wrapText="1"/>
    </xf>
    <xf numFmtId="0" fontId="5" fillId="0" borderId="38" xfId="5" applyFont="1" applyBorder="1" applyAlignment="1">
      <alignment horizontal="left" vertical="center" wrapText="1"/>
    </xf>
    <xf numFmtId="0" fontId="5" fillId="0" borderId="18" xfId="4" applyFont="1" applyBorder="1" applyAlignment="1">
      <alignment horizontal="left" vertical="center" wrapText="1"/>
    </xf>
    <xf numFmtId="0" fontId="5" fillId="0" borderId="33" xfId="4" applyFont="1" applyBorder="1" applyAlignment="1">
      <alignment horizontal="left" vertical="center" wrapText="1"/>
    </xf>
    <xf numFmtId="0" fontId="5" fillId="0" borderId="34" xfId="4" applyFont="1" applyBorder="1" applyAlignment="1">
      <alignment horizontal="left" vertical="center" wrapText="1"/>
    </xf>
    <xf numFmtId="164" fontId="5" fillId="4" borderId="35" xfId="4" applyNumberFormat="1" applyFont="1" applyFill="1" applyBorder="1" applyAlignment="1">
      <alignment horizontal="left" vertical="center" wrapText="1"/>
    </xf>
    <xf numFmtId="0" fontId="5" fillId="4" borderId="31" xfId="5" applyFont="1" applyFill="1" applyBorder="1" applyAlignment="1">
      <alignment horizontal="left" vertical="center" wrapText="1"/>
    </xf>
    <xf numFmtId="0" fontId="5" fillId="4" borderId="32" xfId="4" applyFont="1" applyFill="1" applyBorder="1" applyAlignment="1">
      <alignment horizontal="left" vertical="center" wrapText="1"/>
    </xf>
    <xf numFmtId="0" fontId="5" fillId="4" borderId="32" xfId="4" applyNumberFormat="1"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5" fillId="0" borderId="13" xfId="5" applyFont="1" applyBorder="1" applyAlignment="1">
      <alignment horizontal="left" vertical="center" wrapText="1"/>
    </xf>
    <xf numFmtId="0" fontId="5" fillId="0" borderId="35" xfId="5" applyFont="1" applyBorder="1" applyAlignment="1">
      <alignment horizontal="left" vertical="center" wrapText="1"/>
    </xf>
    <xf numFmtId="0" fontId="19" fillId="0" borderId="12" xfId="5" applyFont="1" applyBorder="1" applyAlignment="1">
      <alignment horizontal="left" vertical="center" wrapText="1"/>
    </xf>
    <xf numFmtId="0" fontId="19" fillId="0" borderId="32" xfId="5" applyFont="1" applyBorder="1" applyAlignment="1">
      <alignment horizontal="left" vertical="center" wrapText="1"/>
    </xf>
    <xf numFmtId="0" fontId="19" fillId="0" borderId="13" xfId="5" applyFont="1" applyBorder="1" applyAlignment="1">
      <alignment horizontal="left" vertical="center" wrapText="1"/>
    </xf>
    <xf numFmtId="0" fontId="19" fillId="0" borderId="35" xfId="5" applyFont="1" applyBorder="1" applyAlignment="1">
      <alignment horizontal="left" vertical="center" wrapText="1"/>
    </xf>
    <xf numFmtId="0" fontId="19" fillId="0" borderId="38" xfId="5" applyFont="1" applyBorder="1" applyAlignment="1">
      <alignment horizontal="left" vertical="center" wrapText="1"/>
    </xf>
    <xf numFmtId="0" fontId="19" fillId="0" borderId="31" xfId="5" applyFont="1" applyBorder="1" applyAlignment="1">
      <alignment horizontal="left" vertical="center" wrapText="1"/>
    </xf>
    <xf numFmtId="164" fontId="19" fillId="0" borderId="19" xfId="4" applyNumberFormat="1" applyFont="1" applyBorder="1" applyAlignment="1">
      <alignment horizontal="left" vertical="center" wrapText="1"/>
    </xf>
    <xf numFmtId="0" fontId="0" fillId="0" borderId="36" xfId="0" applyBorder="1" applyAlignment="1"/>
    <xf numFmtId="0" fontId="0" fillId="0" borderId="37" xfId="0" applyBorder="1" applyAlignment="1"/>
    <xf numFmtId="164" fontId="5" fillId="0" borderId="19" xfId="4" applyNumberFormat="1" applyFont="1" applyBorder="1" applyAlignment="1">
      <alignment horizontal="left" vertical="center" wrapText="1"/>
    </xf>
    <xf numFmtId="164" fontId="5" fillId="0" borderId="36" xfId="4" applyNumberFormat="1" applyFont="1" applyBorder="1" applyAlignment="1">
      <alignment horizontal="left" vertical="center" wrapText="1"/>
    </xf>
    <xf numFmtId="164" fontId="5" fillId="0" borderId="37" xfId="4" applyNumberFormat="1" applyFont="1" applyBorder="1" applyAlignment="1">
      <alignment horizontal="left" vertical="center" wrapText="1"/>
    </xf>
    <xf numFmtId="0" fontId="19" fillId="0" borderId="20" xfId="5" applyFont="1" applyBorder="1" applyAlignment="1">
      <alignment horizontal="left" vertical="center" wrapText="1"/>
    </xf>
    <xf numFmtId="0" fontId="0" fillId="0" borderId="39" xfId="0" applyBorder="1" applyAlignment="1"/>
    <xf numFmtId="0" fontId="0" fillId="0" borderId="40" xfId="0" applyBorder="1" applyAlignment="1"/>
    <xf numFmtId="0" fontId="19" fillId="0" borderId="18" xfId="4" applyNumberFormat="1" applyFont="1" applyBorder="1" applyAlignment="1">
      <alignment horizontal="left" vertical="center" wrapText="1"/>
    </xf>
    <xf numFmtId="0" fontId="0" fillId="0" borderId="33" xfId="0" applyBorder="1" applyAlignment="1"/>
    <xf numFmtId="0" fontId="0" fillId="0" borderId="34" xfId="0" applyBorder="1" applyAlignment="1"/>
    <xf numFmtId="0" fontId="19" fillId="0" borderId="18" xfId="4" applyFont="1" applyBorder="1" applyAlignment="1">
      <alignment horizontal="left" vertical="center" wrapText="1"/>
    </xf>
    <xf numFmtId="0" fontId="24" fillId="0" borderId="0" xfId="0" applyFont="1" applyFill="1" applyBorder="1" applyAlignment="1">
      <alignment horizontal="right"/>
    </xf>
    <xf numFmtId="0" fontId="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applyFont="1" applyFill="1" applyBorder="1" applyAlignment="1">
      <alignment horizontal="left"/>
    </xf>
    <xf numFmtId="0" fontId="32" fillId="0" borderId="0" xfId="0" applyFont="1" applyFill="1" applyBorder="1" applyAlignment="1">
      <alignment horizontal="left" wrapText="1"/>
    </xf>
    <xf numFmtId="0" fontId="32" fillId="0" borderId="0" xfId="0" applyFont="1" applyFill="1" applyBorder="1" applyAlignment="1">
      <alignment horizontal="left"/>
    </xf>
    <xf numFmtId="0" fontId="22" fillId="0" borderId="0" xfId="0" applyFont="1" applyFill="1" applyBorder="1" applyAlignment="1">
      <alignment horizontal="left"/>
    </xf>
    <xf numFmtId="0" fontId="44" fillId="0" borderId="0" xfId="0" applyFont="1" applyBorder="1" applyAlignment="1">
      <alignment horizontal="center" wrapText="1"/>
    </xf>
    <xf numFmtId="0" fontId="39" fillId="0" borderId="0" xfId="0" applyFont="1" applyFill="1" applyBorder="1" applyAlignment="1">
      <alignment horizontal="left" vertical="top" wrapText="1"/>
    </xf>
    <xf numFmtId="0" fontId="48" fillId="0" borderId="0" xfId="8" applyFont="1">
      <alignment vertical="top"/>
    </xf>
    <xf numFmtId="0" fontId="49" fillId="0" borderId="0" xfId="0" applyFont="1">
      <alignment vertical="top"/>
    </xf>
    <xf numFmtId="0" fontId="50" fillId="0" borderId="0" xfId="8" applyFont="1">
      <alignment vertical="top"/>
    </xf>
    <xf numFmtId="0" fontId="50" fillId="0" borderId="0" xfId="5" applyFont="1" applyFill="1" applyBorder="1" applyAlignment="1">
      <alignment vertical="top"/>
    </xf>
    <xf numFmtId="0" fontId="37" fillId="5" borderId="17" xfId="0" quotePrefix="1" applyFont="1" applyFill="1" applyBorder="1" applyAlignment="1">
      <alignment horizontal="center"/>
    </xf>
    <xf numFmtId="0" fontId="37" fillId="0" borderId="0" xfId="8" applyFont="1">
      <alignment vertical="top"/>
    </xf>
    <xf numFmtId="49" fontId="37" fillId="0" borderId="17" xfId="0" applyNumberFormat="1" applyFont="1" applyFill="1" applyBorder="1" applyAlignment="1">
      <alignment horizontal="center"/>
    </xf>
    <xf numFmtId="0" fontId="37" fillId="0" borderId="0" xfId="8" applyFont="1" applyFill="1">
      <alignment vertical="top"/>
    </xf>
    <xf numFmtId="0" fontId="3" fillId="0" borderId="0" xfId="0" applyFont="1" applyFill="1">
      <alignment vertical="top"/>
    </xf>
    <xf numFmtId="0" fontId="37" fillId="0" borderId="0" xfId="0" applyFont="1">
      <alignment vertical="top"/>
    </xf>
    <xf numFmtId="0" fontId="47" fillId="0" borderId="0" xfId="8">
      <alignment vertical="top"/>
    </xf>
    <xf numFmtId="0" fontId="51" fillId="7" borderId="0" xfId="9" applyFont="1" applyFill="1" applyAlignment="1"/>
    <xf numFmtId="164" fontId="52" fillId="7" borderId="0" xfId="10" quotePrefix="1" applyNumberFormat="1" applyFont="1" applyFill="1" applyAlignment="1">
      <alignment horizontal="center" wrapText="1"/>
    </xf>
    <xf numFmtId="164" fontId="34" fillId="0" borderId="0" xfId="10" applyNumberFormat="1" applyFont="1" applyFill="1" applyAlignment="1">
      <alignment horizontal="center" wrapText="1"/>
    </xf>
    <xf numFmtId="164" fontId="52" fillId="7" borderId="0" xfId="10" applyNumberFormat="1" applyFont="1" applyFill="1" applyAlignment="1">
      <alignment horizontal="center" wrapText="1"/>
    </xf>
    <xf numFmtId="0" fontId="50" fillId="4" borderId="1" xfId="8" applyFont="1" applyFill="1" applyBorder="1">
      <alignment vertical="top"/>
    </xf>
    <xf numFmtId="0" fontId="37" fillId="0" borderId="1" xfId="9" quotePrefix="1" applyFont="1" applyFill="1" applyBorder="1" applyAlignment="1">
      <alignment horizontal="left"/>
    </xf>
    <xf numFmtId="164" fontId="37" fillId="8" borderId="1" xfId="2" applyNumberFormat="1" applyFont="1" applyFill="1" applyBorder="1" applyAlignment="1">
      <alignment horizontal="right" vertical="top"/>
    </xf>
    <xf numFmtId="164" fontId="37" fillId="0" borderId="1" xfId="2" applyNumberFormat="1" applyFont="1" applyBorder="1" applyAlignment="1">
      <alignment horizontal="right" vertical="top"/>
    </xf>
    <xf numFmtId="0" fontId="50" fillId="4" borderId="3" xfId="8" applyFont="1" applyFill="1" applyBorder="1">
      <alignment vertical="top"/>
    </xf>
    <xf numFmtId="0" fontId="37" fillId="0" borderId="3" xfId="9" quotePrefix="1" applyFont="1" applyFill="1" applyBorder="1" applyAlignment="1">
      <alignment horizontal="left"/>
    </xf>
    <xf numFmtId="164" fontId="37" fillId="8" borderId="3" xfId="8" applyNumberFormat="1" applyFont="1" applyFill="1" applyBorder="1" applyAlignment="1">
      <alignment horizontal="right" vertical="top"/>
    </xf>
    <xf numFmtId="164" fontId="37" fillId="0" borderId="3" xfId="8" applyNumberFormat="1" applyFont="1" applyBorder="1" applyAlignment="1">
      <alignment horizontal="right" vertical="top"/>
    </xf>
    <xf numFmtId="0" fontId="37" fillId="0" borderId="3" xfId="9" applyFont="1" applyFill="1" applyBorder="1"/>
    <xf numFmtId="0" fontId="50" fillId="4" borderId="5" xfId="8" applyFont="1" applyFill="1" applyBorder="1">
      <alignment vertical="top"/>
    </xf>
    <xf numFmtId="0" fontId="37" fillId="0" borderId="5" xfId="9" applyFont="1" applyFill="1" applyBorder="1"/>
    <xf numFmtId="164" fontId="37" fillId="8" borderId="5" xfId="8" applyNumberFormat="1" applyFont="1" applyFill="1" applyBorder="1" applyAlignment="1">
      <alignment horizontal="right" vertical="top"/>
    </xf>
    <xf numFmtId="164" fontId="37" fillId="0" borderId="5" xfId="8" applyNumberFormat="1" applyFont="1" applyBorder="1" applyAlignment="1">
      <alignment horizontal="right" vertical="top"/>
    </xf>
    <xf numFmtId="0" fontId="50" fillId="4" borderId="0" xfId="8" applyFont="1" applyFill="1">
      <alignment vertical="top"/>
    </xf>
    <xf numFmtId="0" fontId="50" fillId="0" borderId="0" xfId="9" applyFont="1" applyAlignment="1">
      <alignment horizontal="right"/>
    </xf>
    <xf numFmtId="164" fontId="37" fillId="8" borderId="6" xfId="8" applyNumberFormat="1" applyFont="1" applyFill="1" applyBorder="1" applyAlignment="1">
      <alignment horizontal="right" vertical="top"/>
    </xf>
    <xf numFmtId="164" fontId="37" fillId="0" borderId="6" xfId="8" applyNumberFormat="1" applyFont="1" applyBorder="1" applyAlignment="1">
      <alignment horizontal="right" vertical="top"/>
    </xf>
    <xf numFmtId="164" fontId="37" fillId="0" borderId="0" xfId="8" applyNumberFormat="1" applyFont="1" applyFill="1" applyBorder="1" applyAlignment="1">
      <alignment horizontal="right" vertical="top"/>
    </xf>
    <xf numFmtId="0" fontId="37" fillId="0" borderId="3" xfId="9" applyFont="1" applyBorder="1"/>
    <xf numFmtId="0" fontId="50" fillId="0" borderId="0" xfId="8" applyFont="1" applyFill="1">
      <alignment vertical="top"/>
    </xf>
    <xf numFmtId="0" fontId="50" fillId="0" borderId="0" xfId="9" applyFont="1" applyFill="1" applyAlignment="1">
      <alignment horizontal="right"/>
    </xf>
    <xf numFmtId="0" fontId="37" fillId="4" borderId="0" xfId="9" applyFont="1" applyFill="1" applyAlignment="1">
      <alignment horizontal="right"/>
    </xf>
    <xf numFmtId="164" fontId="37" fillId="4" borderId="0" xfId="9" applyNumberFormat="1" applyFont="1" applyFill="1" applyBorder="1" applyAlignment="1">
      <alignment horizontal="right"/>
    </xf>
    <xf numFmtId="0" fontId="37" fillId="4" borderId="0" xfId="9" applyFont="1" applyFill="1"/>
    <xf numFmtId="164" fontId="37" fillId="4" borderId="0" xfId="9" applyNumberFormat="1" applyFont="1" applyFill="1" applyAlignment="1">
      <alignment horizontal="right"/>
    </xf>
    <xf numFmtId="0" fontId="37" fillId="0" borderId="1" xfId="9" quotePrefix="1" applyFont="1" applyBorder="1" applyAlignment="1">
      <alignment horizontal="left"/>
    </xf>
    <xf numFmtId="0" fontId="37" fillId="0" borderId="3" xfId="9" quotePrefix="1" applyFont="1" applyBorder="1" applyAlignment="1">
      <alignment horizontal="left"/>
    </xf>
    <xf numFmtId="0" fontId="37" fillId="0" borderId="5" xfId="9" applyFont="1" applyBorder="1"/>
    <xf numFmtId="164" fontId="37" fillId="4" borderId="0" xfId="8" applyNumberFormat="1" applyFont="1" applyFill="1" applyBorder="1" applyAlignment="1">
      <alignment horizontal="right" vertical="top"/>
    </xf>
    <xf numFmtId="0" fontId="3" fillId="4" borderId="0" xfId="0" applyFont="1" applyFill="1">
      <alignment vertical="top"/>
    </xf>
    <xf numFmtId="164" fontId="3" fillId="4" borderId="0" xfId="0" applyNumberFormat="1" applyFont="1" applyFill="1" applyAlignment="1">
      <alignment horizontal="right"/>
    </xf>
    <xf numFmtId="0" fontId="50" fillId="0" borderId="1" xfId="0" applyFont="1" applyBorder="1">
      <alignment vertical="top"/>
    </xf>
    <xf numFmtId="0" fontId="37" fillId="0" borderId="1" xfId="8" applyFont="1" applyBorder="1">
      <alignment vertical="top"/>
    </xf>
    <xf numFmtId="164" fontId="37" fillId="8" borderId="1" xfId="8" applyNumberFormat="1" applyFont="1" applyFill="1" applyBorder="1" applyAlignment="1">
      <alignment horizontal="right" vertical="top"/>
    </xf>
    <xf numFmtId="164" fontId="37" fillId="0" borderId="1" xfId="8" applyNumberFormat="1" applyFont="1" applyBorder="1" applyAlignment="1">
      <alignment horizontal="right" vertical="top"/>
    </xf>
    <xf numFmtId="0" fontId="37" fillId="0" borderId="5" xfId="8" applyFont="1" applyBorder="1">
      <alignment vertical="top"/>
    </xf>
    <xf numFmtId="0" fontId="34" fillId="0" borderId="0" xfId="0" applyFont="1">
      <alignment vertical="top"/>
    </xf>
    <xf numFmtId="0" fontId="50" fillId="0" borderId="17" xfId="5" applyFont="1" applyFill="1" applyBorder="1" applyAlignment="1">
      <alignment vertical="top"/>
    </xf>
    <xf numFmtId="0" fontId="33" fillId="4" borderId="0" xfId="0" applyFont="1" applyFill="1" applyBorder="1">
      <alignment vertical="top"/>
    </xf>
    <xf numFmtId="164" fontId="52" fillId="4" borderId="0" xfId="10" applyNumberFormat="1" applyFont="1" applyFill="1" applyBorder="1" applyAlignment="1">
      <alignment horizontal="center" wrapText="1"/>
    </xf>
    <xf numFmtId="164" fontId="53" fillId="7" borderId="0" xfId="10" applyNumberFormat="1" applyFont="1" applyFill="1" applyAlignment="1">
      <alignment horizontal="center" wrapText="1"/>
    </xf>
    <xf numFmtId="166" fontId="54" fillId="4" borderId="0" xfId="2" applyNumberFormat="1" applyFont="1" applyFill="1" applyBorder="1" applyAlignment="1">
      <alignment horizontal="right" vertical="top"/>
    </xf>
    <xf numFmtId="166" fontId="55" fillId="0" borderId="23" xfId="2" applyNumberFormat="1" applyFont="1" applyBorder="1" applyAlignment="1">
      <alignment horizontal="right" vertical="top"/>
    </xf>
    <xf numFmtId="166" fontId="55" fillId="8" borderId="2" xfId="2" applyNumberFormat="1" applyFont="1" applyFill="1" applyBorder="1" applyAlignment="1">
      <alignment horizontal="right" vertical="top"/>
    </xf>
    <xf numFmtId="164" fontId="37" fillId="8" borderId="3" xfId="2" applyNumberFormat="1" applyFont="1" applyFill="1" applyBorder="1" applyAlignment="1">
      <alignment horizontal="right" vertical="top"/>
    </xf>
    <xf numFmtId="2" fontId="54" fillId="4" borderId="0" xfId="8" applyNumberFormat="1" applyFont="1" applyFill="1" applyBorder="1" applyAlignment="1">
      <alignment horizontal="right" vertical="top"/>
    </xf>
    <xf numFmtId="2" fontId="55" fillId="0" borderId="0" xfId="8" applyNumberFormat="1" applyFont="1" applyBorder="1" applyAlignment="1">
      <alignment horizontal="right" vertical="top"/>
    </xf>
    <xf numFmtId="2" fontId="55" fillId="8" borderId="16" xfId="8" applyNumberFormat="1" applyFont="1" applyFill="1" applyBorder="1" applyAlignment="1">
      <alignment horizontal="right" vertical="top"/>
    </xf>
    <xf numFmtId="164" fontId="37" fillId="8" borderId="5" xfId="2" applyNumberFormat="1" applyFont="1" applyFill="1" applyBorder="1" applyAlignment="1">
      <alignment horizontal="right" vertical="top"/>
    </xf>
    <xf numFmtId="166" fontId="54" fillId="4" borderId="0" xfId="8" applyNumberFormat="1" applyFont="1" applyFill="1" applyBorder="1" applyAlignment="1">
      <alignment horizontal="right" vertical="top"/>
    </xf>
    <xf numFmtId="166" fontId="37" fillId="0" borderId="7" xfId="8" applyNumberFormat="1" applyFont="1" applyBorder="1" applyAlignment="1">
      <alignment horizontal="right" vertical="top"/>
    </xf>
    <xf numFmtId="166" fontId="37" fillId="8" borderId="8" xfId="8" applyNumberFormat="1" applyFont="1" applyFill="1" applyBorder="1" applyAlignment="1">
      <alignment horizontal="right" vertical="top"/>
    </xf>
    <xf numFmtId="0" fontId="37" fillId="0" borderId="0" xfId="8" applyFont="1" applyFill="1" applyBorder="1" applyAlignment="1">
      <alignment horizontal="right" vertical="top"/>
    </xf>
    <xf numFmtId="0" fontId="54" fillId="4" borderId="0" xfId="8" applyFont="1" applyFill="1" applyBorder="1" applyAlignment="1">
      <alignment horizontal="right" vertical="top"/>
    </xf>
    <xf numFmtId="0" fontId="37" fillId="0" borderId="0" xfId="8" applyFont="1" applyBorder="1" applyAlignment="1">
      <alignment horizontal="right" vertical="top"/>
    </xf>
    <xf numFmtId="0" fontId="37" fillId="8" borderId="0" xfId="8" applyFont="1" applyFill="1" applyBorder="1" applyAlignment="1">
      <alignment horizontal="right" vertical="top"/>
    </xf>
    <xf numFmtId="37" fontId="37" fillId="0" borderId="0" xfId="9" applyNumberFormat="1" applyFont="1" applyFill="1" applyBorder="1" applyAlignment="1">
      <alignment horizontal="right"/>
    </xf>
    <xf numFmtId="37" fontId="54" fillId="4" borderId="0" xfId="9" applyNumberFormat="1" applyFont="1" applyFill="1" applyBorder="1" applyAlignment="1">
      <alignment horizontal="right"/>
    </xf>
    <xf numFmtId="37" fontId="37" fillId="4" borderId="0" xfId="9" applyNumberFormat="1" applyFont="1" applyFill="1" applyBorder="1" applyAlignment="1">
      <alignment horizontal="right"/>
    </xf>
    <xf numFmtId="0" fontId="37" fillId="0" borderId="0" xfId="9" applyFont="1" applyFill="1" applyAlignment="1">
      <alignment horizontal="right"/>
    </xf>
    <xf numFmtId="0" fontId="54" fillId="4" borderId="0" xfId="9" applyFont="1" applyFill="1" applyBorder="1" applyAlignment="1">
      <alignment horizontal="right"/>
    </xf>
    <xf numFmtId="166" fontId="37" fillId="0" borderId="23" xfId="2" applyNumberFormat="1" applyFont="1" applyBorder="1" applyAlignment="1">
      <alignment horizontal="right" vertical="top"/>
    </xf>
    <xf numFmtId="166" fontId="37" fillId="8" borderId="2" xfId="2" applyNumberFormat="1" applyFont="1" applyFill="1" applyBorder="1" applyAlignment="1">
      <alignment horizontal="right" vertical="top"/>
    </xf>
    <xf numFmtId="2" fontId="37" fillId="0" borderId="0" xfId="8" applyNumberFormat="1" applyFont="1" applyBorder="1" applyAlignment="1">
      <alignment horizontal="right" vertical="top"/>
    </xf>
    <xf numFmtId="2" fontId="37" fillId="8" borderId="16" xfId="8" applyNumberFormat="1" applyFont="1" applyFill="1" applyBorder="1" applyAlignment="1">
      <alignment horizontal="right" vertical="top"/>
    </xf>
    <xf numFmtId="0" fontId="37" fillId="4" borderId="0" xfId="8" applyFont="1" applyFill="1" applyBorder="1" applyAlignment="1">
      <alignment horizontal="right" vertical="top"/>
    </xf>
    <xf numFmtId="0" fontId="3" fillId="0" borderId="0" xfId="0" applyFont="1" applyFill="1" applyAlignment="1">
      <alignment horizontal="right"/>
    </xf>
    <xf numFmtId="0" fontId="33" fillId="4" borderId="0" xfId="0" applyFont="1" applyFill="1" applyBorder="1" applyAlignment="1">
      <alignment horizontal="right"/>
    </xf>
    <xf numFmtId="0" fontId="3" fillId="4" borderId="0" xfId="0" applyFont="1" applyFill="1" applyAlignment="1">
      <alignment horizontal="right"/>
    </xf>
    <xf numFmtId="166" fontId="55" fillId="0" borderId="23" xfId="8" applyNumberFormat="1" applyFont="1" applyBorder="1" applyAlignment="1">
      <alignment horizontal="right" vertical="top"/>
    </xf>
    <xf numFmtId="166" fontId="55" fillId="8" borderId="23" xfId="8" applyNumberFormat="1" applyFont="1" applyFill="1" applyBorder="1" applyAlignment="1">
      <alignment horizontal="right" vertical="top"/>
    </xf>
    <xf numFmtId="166" fontId="55" fillId="0" borderId="26" xfId="8" applyNumberFormat="1" applyFont="1" applyBorder="1" applyAlignment="1">
      <alignment horizontal="right" vertical="top"/>
    </xf>
    <xf numFmtId="1" fontId="37" fillId="8" borderId="3" xfId="8" applyNumberFormat="1" applyFont="1" applyFill="1" applyBorder="1" applyAlignment="1">
      <alignment horizontal="right" vertical="top"/>
    </xf>
    <xf numFmtId="2" fontId="55" fillId="0" borderId="17" xfId="8" applyNumberFormat="1" applyFont="1" applyBorder="1" applyAlignment="1">
      <alignment horizontal="right" vertical="top"/>
    </xf>
    <xf numFmtId="2" fontId="55" fillId="8" borderId="17" xfId="8" applyNumberFormat="1" applyFont="1" applyFill="1" applyBorder="1" applyAlignment="1">
      <alignment horizontal="right" vertical="top"/>
    </xf>
    <xf numFmtId="2" fontId="55" fillId="0" borderId="22" xfId="8" applyNumberFormat="1" applyFont="1" applyBorder="1" applyAlignment="1">
      <alignment horizontal="right" vertical="top"/>
    </xf>
    <xf numFmtId="0" fontId="3" fillId="9" borderId="0" xfId="0" applyFont="1" applyFill="1">
      <alignment vertical="top"/>
    </xf>
  </cellXfs>
  <cellStyles count="11">
    <cellStyle name="Comma" xfId="1" builtinId="3"/>
    <cellStyle name="Currency" xfId="2" builtinId="4"/>
    <cellStyle name="Normal" xfId="0" builtinId="0"/>
    <cellStyle name="Normal_Attachment GG (2)" xfId="10"/>
    <cellStyle name="Normal_Attachment GG Blank Template 8 26 09 (3)" xfId="3"/>
    <cellStyle name="Normal_East_Central_West Project_costsharing_0207 with Summary_June07_Rev3" xfId="4"/>
    <cellStyle name="Normal_Schedule O Info for Mike" xfId="9"/>
    <cellStyle name="Normal_Sheet1" xfId="5"/>
    <cellStyle name="Normal_Sheet1_Capx_pricingzone_051201" xfId="6"/>
    <cellStyle name="Normal_Sheet3" xfId="8"/>
    <cellStyle name="Percent" xfId="7" builtinId="5"/>
  </cellStyles>
  <dxfs count="1">
    <dxf>
      <font>
        <condense val="0"/>
        <extend val="0"/>
        <color indexed="9"/>
      </font>
    </dxf>
  </dxfs>
  <tableStyles count="0" defaultTableStyle="TableStyleMedium2" defaultPivotStyle="PivotStyleLight16"/>
  <colors>
    <mruColors>
      <color rgb="FFFFFF8F"/>
      <color rgb="FFB3FB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15</xdr:col>
      <xdr:colOff>238125</xdr:colOff>
      <xdr:row>76</xdr:row>
      <xdr:rowOff>190500</xdr:rowOff>
    </xdr:to>
    <xdr:pic>
      <xdr:nvPicPr>
        <xdr:cNvPr id="6158"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324"/>
        <a:stretch>
          <a:fillRect/>
        </a:stretch>
      </xdr:blipFill>
      <xdr:spPr bwMode="auto">
        <a:xfrm>
          <a:off x="0" y="7658100"/>
          <a:ext cx="10972800" cy="779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76</xdr:row>
      <xdr:rowOff>190500</xdr:rowOff>
    </xdr:from>
    <xdr:to>
      <xdr:col>15</xdr:col>
      <xdr:colOff>238125</xdr:colOff>
      <xdr:row>101</xdr:row>
      <xdr:rowOff>161925</xdr:rowOff>
    </xdr:to>
    <xdr:pic>
      <xdr:nvPicPr>
        <xdr:cNvPr id="6159"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35069" b="4514"/>
        <a:stretch>
          <a:fillRect/>
        </a:stretch>
      </xdr:blipFill>
      <xdr:spPr bwMode="auto">
        <a:xfrm>
          <a:off x="0" y="15449550"/>
          <a:ext cx="10972800" cy="4972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101</xdr:row>
      <xdr:rowOff>152400</xdr:rowOff>
    </xdr:from>
    <xdr:to>
      <xdr:col>15</xdr:col>
      <xdr:colOff>238125</xdr:colOff>
      <xdr:row>105</xdr:row>
      <xdr:rowOff>114300</xdr:rowOff>
    </xdr:to>
    <xdr:pic>
      <xdr:nvPicPr>
        <xdr:cNvPr id="6160" name="Picture 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3958" b="66783"/>
        <a:stretch>
          <a:fillRect/>
        </a:stretch>
      </xdr:blipFill>
      <xdr:spPr bwMode="auto">
        <a:xfrm>
          <a:off x="0" y="20412075"/>
          <a:ext cx="10972800" cy="762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B3FBB3"/>
  </sheetPr>
  <dimension ref="A1:O708"/>
  <sheetViews>
    <sheetView showGridLines="0" tabSelected="1" zoomScale="75" zoomScaleNormal="75" workbookViewId="0">
      <selection activeCell="B1" sqref="B1"/>
    </sheetView>
  </sheetViews>
  <sheetFormatPr defaultRowHeight="15.75"/>
  <cols>
    <col min="1" max="1" width="1.625" style="2" customWidth="1"/>
    <col min="2" max="2" width="17.5" style="2" customWidth="1"/>
    <col min="3" max="3" width="13.5" style="2" bestFit="1" customWidth="1"/>
    <col min="4" max="4" width="11.5" style="2" bestFit="1" customWidth="1"/>
    <col min="5" max="5" width="15.25" style="2" customWidth="1"/>
    <col min="6" max="6" width="17.5" style="2" customWidth="1"/>
    <col min="7" max="7" width="14.125" style="2" customWidth="1"/>
    <col min="8" max="8" width="13.125" style="141" customWidth="1"/>
    <col min="9" max="9" width="16.125" style="2" customWidth="1"/>
    <col min="10" max="10" width="15.625" style="97" customWidth="1"/>
    <col min="11" max="11" width="14.625" style="2" customWidth="1"/>
    <col min="12" max="12" width="11.375" style="2" customWidth="1"/>
    <col min="13" max="13" width="17.125" style="2" customWidth="1"/>
    <col min="14" max="14" width="1.625" style="92" customWidth="1"/>
    <col min="15" max="16384" width="9" style="2"/>
  </cols>
  <sheetData>
    <row r="1" spans="2:14" ht="18.75">
      <c r="E1" s="38" t="s">
        <v>265</v>
      </c>
    </row>
    <row r="2" spans="2:14" ht="18.75">
      <c r="C2" s="82"/>
      <c r="D2" s="82"/>
      <c r="E2" s="138" t="s">
        <v>180</v>
      </c>
      <c r="F2" s="82"/>
      <c r="J2" s="113" t="s">
        <v>163</v>
      </c>
      <c r="K2" s="3" t="s">
        <v>42</v>
      </c>
      <c r="M2" s="3" t="s">
        <v>56</v>
      </c>
    </row>
    <row r="3" spans="2:14">
      <c r="B3" s="82"/>
      <c r="C3" s="82"/>
      <c r="D3" s="82"/>
      <c r="E3" s="82"/>
      <c r="F3" s="82"/>
      <c r="G3" s="3" t="s">
        <v>39</v>
      </c>
      <c r="H3" s="142" t="s">
        <v>40</v>
      </c>
      <c r="I3" s="104" t="s">
        <v>41</v>
      </c>
      <c r="J3" s="114" t="s">
        <v>164</v>
      </c>
      <c r="K3" s="4" t="s">
        <v>165</v>
      </c>
      <c r="L3" s="4" t="s">
        <v>55</v>
      </c>
      <c r="M3" s="4" t="s">
        <v>166</v>
      </c>
      <c r="N3" s="233"/>
    </row>
    <row r="4" spans="2:14">
      <c r="B4" s="82"/>
      <c r="C4" s="82"/>
      <c r="D4" s="82"/>
      <c r="E4" s="82"/>
      <c r="F4" s="82"/>
      <c r="G4" s="5"/>
      <c r="H4" s="527" t="s">
        <v>43</v>
      </c>
      <c r="I4" s="528"/>
      <c r="J4" s="529"/>
      <c r="K4" s="6" t="s">
        <v>44</v>
      </c>
      <c r="L4" s="5"/>
      <c r="M4" s="6" t="s">
        <v>45</v>
      </c>
      <c r="N4" s="233"/>
    </row>
    <row r="5" spans="2:14">
      <c r="B5" s="134"/>
      <c r="C5" s="135"/>
      <c r="D5" s="135"/>
      <c r="E5" s="129"/>
      <c r="F5" s="98" t="s">
        <v>162</v>
      </c>
      <c r="G5" s="8" t="s">
        <v>46</v>
      </c>
      <c r="H5" s="143"/>
      <c r="I5" s="5"/>
      <c r="J5" s="115" t="s">
        <v>47</v>
      </c>
      <c r="K5" s="8" t="s">
        <v>48</v>
      </c>
      <c r="L5" s="9"/>
      <c r="M5" s="8" t="s">
        <v>49</v>
      </c>
    </row>
    <row r="6" spans="2:14" ht="15.75" customHeight="1">
      <c r="B6" s="132"/>
      <c r="C6" s="16"/>
      <c r="D6" s="16"/>
      <c r="E6" s="130"/>
      <c r="F6" s="99" t="s">
        <v>8</v>
      </c>
      <c r="G6" s="11" t="s">
        <v>50</v>
      </c>
      <c r="H6" s="144" t="s">
        <v>51</v>
      </c>
      <c r="I6" s="12" t="s">
        <v>159</v>
      </c>
      <c r="J6" s="116" t="s">
        <v>50</v>
      </c>
      <c r="K6" s="12" t="s">
        <v>50</v>
      </c>
      <c r="L6" s="12" t="s">
        <v>52</v>
      </c>
      <c r="M6" s="12" t="s">
        <v>53</v>
      </c>
    </row>
    <row r="7" spans="2:14" ht="31.5">
      <c r="B7" s="136"/>
      <c r="C7" s="16"/>
      <c r="D7" s="16"/>
      <c r="E7" s="131" t="s">
        <v>13</v>
      </c>
      <c r="F7" s="175" t="s">
        <v>15</v>
      </c>
      <c r="G7" s="16" t="s">
        <v>54</v>
      </c>
      <c r="H7" s="145"/>
      <c r="I7" s="17"/>
      <c r="J7" s="117" t="s">
        <v>54</v>
      </c>
      <c r="K7" s="17"/>
      <c r="L7" s="17"/>
      <c r="M7" s="16" t="s">
        <v>54</v>
      </c>
    </row>
    <row r="8" spans="2:14">
      <c r="B8" s="28"/>
      <c r="C8" s="137"/>
      <c r="D8" s="137"/>
      <c r="E8" s="139" t="s">
        <v>16</v>
      </c>
      <c r="F8" s="176">
        <f t="shared" ref="F8:M12" si="0">F49+F89+F129+F169+F211+F251+F293+F335+F375+F417+F459+F501+F543+F585+F627</f>
        <v>645267.41999999993</v>
      </c>
      <c r="G8" s="176">
        <f t="shared" si="0"/>
        <v>73194.500882543813</v>
      </c>
      <c r="H8" s="176">
        <f t="shared" si="0"/>
        <v>645267.41999999993</v>
      </c>
      <c r="I8" s="176">
        <f t="shared" si="0"/>
        <v>661503.49</v>
      </c>
      <c r="J8" s="176">
        <f t="shared" si="0"/>
        <v>16236.07000000002</v>
      </c>
      <c r="K8" s="176">
        <f t="shared" si="0"/>
        <v>89430.57088254382</v>
      </c>
      <c r="L8" s="176">
        <f t="shared" si="0"/>
        <v>7122.5199999999995</v>
      </c>
      <c r="M8" s="176">
        <f t="shared" si="0"/>
        <v>96553.090882543824</v>
      </c>
    </row>
    <row r="9" spans="2:14">
      <c r="B9" s="28"/>
      <c r="C9" s="137"/>
      <c r="D9" s="137"/>
      <c r="E9" s="140" t="s">
        <v>17</v>
      </c>
      <c r="F9" s="105">
        <f t="shared" si="0"/>
        <v>31041.84</v>
      </c>
      <c r="G9" s="105">
        <f t="shared" si="0"/>
        <v>3521.0822062971524</v>
      </c>
      <c r="H9" s="105">
        <f t="shared" si="0"/>
        <v>31979.759999999998</v>
      </c>
      <c r="I9" s="105">
        <f t="shared" si="0"/>
        <v>32784.44</v>
      </c>
      <c r="J9" s="105">
        <f t="shared" si="0"/>
        <v>1742.5999999999979</v>
      </c>
      <c r="K9" s="105">
        <f t="shared" si="0"/>
        <v>5263.6822062971496</v>
      </c>
      <c r="L9" s="105">
        <f t="shared" si="0"/>
        <v>342.65</v>
      </c>
      <c r="M9" s="105">
        <f t="shared" si="0"/>
        <v>5606.3322062971492</v>
      </c>
    </row>
    <row r="10" spans="2:14" s="87" customFormat="1">
      <c r="B10" s="28"/>
      <c r="C10" s="137"/>
      <c r="D10" s="137"/>
      <c r="E10" s="140" t="s">
        <v>201</v>
      </c>
      <c r="F10" s="280">
        <f t="shared" si="0"/>
        <v>247748.68999999997</v>
      </c>
      <c r="G10" s="280">
        <f t="shared" si="0"/>
        <v>28102.828882779442</v>
      </c>
      <c r="H10" s="280">
        <f t="shared" si="0"/>
        <v>247748.68999999997</v>
      </c>
      <c r="I10" s="280">
        <f t="shared" si="0"/>
        <v>253982.49000000002</v>
      </c>
      <c r="J10" s="280">
        <f t="shared" si="0"/>
        <v>6233.8</v>
      </c>
      <c r="K10" s="280">
        <f t="shared" si="0"/>
        <v>34336.628882779441</v>
      </c>
      <c r="L10" s="280">
        <f t="shared" si="0"/>
        <v>2734.67</v>
      </c>
      <c r="M10" s="280">
        <f t="shared" si="0"/>
        <v>37071.298882779447</v>
      </c>
      <c r="N10" s="92"/>
    </row>
    <row r="11" spans="2:14" s="87" customFormat="1">
      <c r="B11" s="28"/>
      <c r="C11" s="137"/>
      <c r="D11" s="137"/>
      <c r="E11" s="140" t="s">
        <v>260</v>
      </c>
      <c r="F11" s="280">
        <f t="shared" si="0"/>
        <v>340727.99</v>
      </c>
      <c r="G11" s="280">
        <f t="shared" si="0"/>
        <v>38649.733784155113</v>
      </c>
      <c r="H11" s="280">
        <f t="shared" si="0"/>
        <v>349084.92</v>
      </c>
      <c r="I11" s="280">
        <f t="shared" si="0"/>
        <v>357868.51000000007</v>
      </c>
      <c r="J11" s="280">
        <f t="shared" si="0"/>
        <v>17140.520000000048</v>
      </c>
      <c r="K11" s="280">
        <f t="shared" si="0"/>
        <v>55790.253784155153</v>
      </c>
      <c r="L11" s="280">
        <f t="shared" si="0"/>
        <v>3760.99</v>
      </c>
      <c r="M11" s="280">
        <f t="shared" si="0"/>
        <v>59551.243784155158</v>
      </c>
      <c r="N11" s="92"/>
    </row>
    <row r="12" spans="2:14">
      <c r="B12" s="28"/>
      <c r="C12" s="137"/>
      <c r="D12" s="137"/>
      <c r="E12" s="140" t="s">
        <v>18</v>
      </c>
      <c r="F12" s="105">
        <f t="shared" si="0"/>
        <v>58053.99</v>
      </c>
      <c r="G12" s="105">
        <f t="shared" si="0"/>
        <v>6585.1485120051348</v>
      </c>
      <c r="H12" s="105">
        <f t="shared" si="0"/>
        <v>56859.9</v>
      </c>
      <c r="I12" s="105">
        <f t="shared" si="0"/>
        <v>58290.6</v>
      </c>
      <c r="J12" s="105">
        <f t="shared" si="0"/>
        <v>236.6100000000018</v>
      </c>
      <c r="K12" s="105">
        <f t="shared" si="0"/>
        <v>6821.7585120051381</v>
      </c>
      <c r="L12" s="105">
        <f t="shared" si="0"/>
        <v>640.81000000000006</v>
      </c>
      <c r="M12" s="105">
        <f t="shared" si="0"/>
        <v>7462.5685120051367</v>
      </c>
    </row>
    <row r="13" spans="2:14">
      <c r="B13" s="28"/>
      <c r="C13" s="137"/>
      <c r="D13" s="137"/>
      <c r="E13" s="140" t="s">
        <v>19</v>
      </c>
      <c r="F13" s="105">
        <f t="shared" ref="F13:G18" si="1">F54+F94+F134+F174+F216+F256+F298+F340+F380+F422+F464+F506+F548+F590+F632</f>
        <v>145563.53</v>
      </c>
      <c r="G13" s="105">
        <f t="shared" si="1"/>
        <v>16511.493682551114</v>
      </c>
      <c r="H13" s="105">
        <f t="shared" ref="H13:M13" si="2">H54+H94+H134+H174+H216+H256+H298+H340+H380+H422+H464+H506+H548+H590+H632</f>
        <v>148325.36000000002</v>
      </c>
      <c r="I13" s="105">
        <f t="shared" si="2"/>
        <v>152057.49</v>
      </c>
      <c r="J13" s="105">
        <f t="shared" si="2"/>
        <v>6493.9600000000019</v>
      </c>
      <c r="K13" s="105">
        <f t="shared" si="2"/>
        <v>23005.453682551113</v>
      </c>
      <c r="L13" s="105">
        <f t="shared" si="2"/>
        <v>1606.75</v>
      </c>
      <c r="M13" s="105">
        <f t="shared" si="2"/>
        <v>24612.20368255111</v>
      </c>
    </row>
    <row r="14" spans="2:14">
      <c r="B14" s="28"/>
      <c r="C14" s="137"/>
      <c r="D14" s="137"/>
      <c r="E14" s="140" t="s">
        <v>20</v>
      </c>
      <c r="F14" s="105">
        <f t="shared" si="1"/>
        <v>167850.05</v>
      </c>
      <c r="G14" s="105">
        <f t="shared" si="1"/>
        <v>19039.679224468207</v>
      </c>
      <c r="H14" s="105">
        <f t="shared" ref="H14:M14" si="3">H55+H95+H135+H175+H217+H257+H299+H341+H381+H423+H465+H507+H549+H591+H633</f>
        <v>173365.59</v>
      </c>
      <c r="I14" s="105">
        <f t="shared" si="3"/>
        <v>177727.78</v>
      </c>
      <c r="J14" s="105">
        <f t="shared" si="3"/>
        <v>9877.7299999999959</v>
      </c>
      <c r="K14" s="105">
        <f t="shared" si="3"/>
        <v>28917.4092244682</v>
      </c>
      <c r="L14" s="105">
        <f t="shared" si="3"/>
        <v>1852.7499999999998</v>
      </c>
      <c r="M14" s="105">
        <f t="shared" si="3"/>
        <v>30770.159224468203</v>
      </c>
    </row>
    <row r="15" spans="2:14">
      <c r="B15" s="28"/>
      <c r="C15" s="137"/>
      <c r="D15" s="137"/>
      <c r="E15" s="140" t="s">
        <v>21</v>
      </c>
      <c r="F15" s="105">
        <f t="shared" si="1"/>
        <v>393326</v>
      </c>
      <c r="G15" s="105">
        <f t="shared" si="1"/>
        <v>44615.282370169196</v>
      </c>
      <c r="H15" s="105">
        <f t="shared" ref="H15:M15" si="4">H56+H96+H136+H176+H218+H258+H300+H342+H382+H424+H466+H508+H550+H592+H634</f>
        <v>396495.05999999994</v>
      </c>
      <c r="I15" s="105">
        <f t="shared" si="4"/>
        <v>406471.57999999996</v>
      </c>
      <c r="J15" s="105">
        <f t="shared" si="4"/>
        <v>13145.580000000031</v>
      </c>
      <c r="K15" s="105">
        <f t="shared" si="4"/>
        <v>57760.862370169227</v>
      </c>
      <c r="L15" s="105">
        <f t="shared" si="4"/>
        <v>4341.6000000000004</v>
      </c>
      <c r="M15" s="105">
        <f t="shared" si="4"/>
        <v>62102.462370169233</v>
      </c>
    </row>
    <row r="16" spans="2:14">
      <c r="B16" s="28"/>
      <c r="C16" s="137"/>
      <c r="D16" s="137"/>
      <c r="E16" s="140" t="s">
        <v>22</v>
      </c>
      <c r="F16" s="105">
        <f t="shared" si="1"/>
        <v>521827.82999999996</v>
      </c>
      <c r="G16" s="105">
        <f t="shared" si="1"/>
        <v>59191.52328960257</v>
      </c>
      <c r="H16" s="105">
        <f t="shared" ref="H16:M16" si="5">H57+H97+H137+H177+H219+H259+H301+H343+H383+H425+H467+H509+H551+H593+H635</f>
        <v>521827.82999999996</v>
      </c>
      <c r="I16" s="105">
        <f t="shared" si="5"/>
        <v>534957.95000000007</v>
      </c>
      <c r="J16" s="105">
        <f t="shared" si="5"/>
        <v>13130.120000000046</v>
      </c>
      <c r="K16" s="105">
        <f t="shared" si="5"/>
        <v>72321.643289602624</v>
      </c>
      <c r="L16" s="105">
        <f t="shared" si="5"/>
        <v>5760.0199999999995</v>
      </c>
      <c r="M16" s="105">
        <f t="shared" si="5"/>
        <v>78081.663289602613</v>
      </c>
    </row>
    <row r="17" spans="2:13">
      <c r="B17" s="28"/>
      <c r="C17" s="137"/>
      <c r="D17" s="137"/>
      <c r="E17" s="140" t="s">
        <v>23</v>
      </c>
      <c r="F17" s="105">
        <f t="shared" si="1"/>
        <v>1016115.2</v>
      </c>
      <c r="G17" s="105">
        <f t="shared" si="1"/>
        <v>-26795.680734195466</v>
      </c>
      <c r="H17" s="105">
        <f t="shared" ref="H17:M17" si="6">H58+H98+H138+H178+H220+H260+H302+H344+H384+H426+H468+H510+H552+H594+H636</f>
        <v>1020274.9499999998</v>
      </c>
      <c r="I17" s="105">
        <f t="shared" si="6"/>
        <v>1045946.8799999999</v>
      </c>
      <c r="J17" s="105">
        <f t="shared" si="6"/>
        <v>29831.680000000099</v>
      </c>
      <c r="K17" s="105">
        <f t="shared" si="6"/>
        <v>3035.9992658046331</v>
      </c>
      <c r="L17" s="105">
        <f t="shared" si="6"/>
        <v>6228.76</v>
      </c>
      <c r="M17" s="105">
        <f t="shared" si="6"/>
        <v>9264.7592658046306</v>
      </c>
    </row>
    <row r="18" spans="2:13">
      <c r="B18" s="28"/>
      <c r="C18" s="137"/>
      <c r="D18" s="137"/>
      <c r="E18" s="140" t="s">
        <v>24</v>
      </c>
      <c r="F18" s="105">
        <f t="shared" si="1"/>
        <v>13153.23</v>
      </c>
      <c r="G18" s="105">
        <f t="shared" si="1"/>
        <v>1492.0336131903116</v>
      </c>
      <c r="H18" s="105">
        <f t="shared" ref="H18:M18" si="7">H59+H99+H139+H179+H221+H261+H303+H345+H385+H427+H469+H511+H553+H595+H637</f>
        <v>13128.34</v>
      </c>
      <c r="I18" s="105">
        <f t="shared" si="7"/>
        <v>13458.67</v>
      </c>
      <c r="J18" s="105">
        <f t="shared" si="7"/>
        <v>305.44000000000131</v>
      </c>
      <c r="K18" s="105">
        <f t="shared" si="7"/>
        <v>1797.4736131903126</v>
      </c>
      <c r="L18" s="105">
        <f t="shared" si="7"/>
        <v>145.18</v>
      </c>
      <c r="M18" s="105">
        <f t="shared" si="7"/>
        <v>1942.6536131903124</v>
      </c>
    </row>
    <row r="19" spans="2:13">
      <c r="B19" s="28"/>
      <c r="C19" s="137"/>
      <c r="D19" s="137"/>
      <c r="E19" s="140" t="s">
        <v>25</v>
      </c>
      <c r="F19" s="105">
        <f t="shared" ref="F19:M19" si="8">F60+F100+F140+F181+F222+F263+F305+F346+F387+F429+F471+F513+F555+F597+F639</f>
        <v>397373.53</v>
      </c>
      <c r="G19" s="105">
        <f t="shared" si="8"/>
        <v>45074.698539821235</v>
      </c>
      <c r="H19" s="105">
        <f t="shared" si="8"/>
        <v>399822.72000000009</v>
      </c>
      <c r="I19" s="105">
        <f t="shared" si="8"/>
        <v>409882.97</v>
      </c>
      <c r="J19" s="105">
        <f t="shared" si="8"/>
        <v>12509.439999999971</v>
      </c>
      <c r="K19" s="105">
        <f t="shared" si="8"/>
        <v>57584.138539821208</v>
      </c>
      <c r="L19" s="105">
        <f t="shared" si="8"/>
        <v>4386.26</v>
      </c>
      <c r="M19" s="105">
        <f t="shared" si="8"/>
        <v>61970.39853982121</v>
      </c>
    </row>
    <row r="20" spans="2:13">
      <c r="B20" s="28"/>
      <c r="C20" s="137"/>
      <c r="D20" s="137"/>
      <c r="E20" s="140" t="s">
        <v>26</v>
      </c>
      <c r="F20" s="105">
        <f t="shared" ref="F20:M20" si="9">F61+F101+F141+F180+F223+F262+F304+F347+F386+F428+F470+F512+F554+F596+F638</f>
        <v>400562.78</v>
      </c>
      <c r="G20" s="105">
        <f t="shared" si="9"/>
        <v>45268.388292426549</v>
      </c>
      <c r="H20" s="105">
        <f t="shared" si="9"/>
        <v>400815.1</v>
      </c>
      <c r="I20" s="105">
        <f t="shared" si="9"/>
        <v>410900.32</v>
      </c>
      <c r="J20" s="105">
        <f t="shared" si="9"/>
        <v>10337.540000000021</v>
      </c>
      <c r="K20" s="105">
        <f t="shared" si="9"/>
        <v>55605.928292426572</v>
      </c>
      <c r="L20" s="105">
        <f t="shared" si="9"/>
        <v>4431.2899999999991</v>
      </c>
      <c r="M20" s="105">
        <f t="shared" si="9"/>
        <v>60037.218292426573</v>
      </c>
    </row>
    <row r="21" spans="2:13">
      <c r="B21" s="28"/>
      <c r="C21" s="137"/>
      <c r="D21" s="137"/>
      <c r="E21" s="140" t="s">
        <v>119</v>
      </c>
      <c r="F21" s="105">
        <f t="shared" ref="F21:M22" si="10">F182+F264+F306+F388+F430+F472+F514+F556+F598+F640</f>
        <v>27178.69</v>
      </c>
      <c r="G21" s="105">
        <f t="shared" si="10"/>
        <v>3083.7746007455899</v>
      </c>
      <c r="H21" s="105">
        <f t="shared" si="10"/>
        <v>27381.72</v>
      </c>
      <c r="I21" s="105">
        <f t="shared" si="10"/>
        <v>28070.690000000002</v>
      </c>
      <c r="J21" s="105">
        <f t="shared" si="10"/>
        <v>892.00000000000182</v>
      </c>
      <c r="K21" s="105">
        <f t="shared" si="10"/>
        <v>3975.7746007455917</v>
      </c>
      <c r="L21" s="105">
        <f t="shared" si="10"/>
        <v>299.96999999999997</v>
      </c>
      <c r="M21" s="105">
        <f t="shared" si="10"/>
        <v>4275.744600745591</v>
      </c>
    </row>
    <row r="22" spans="2:13">
      <c r="B22" s="28"/>
      <c r="C22" s="137"/>
      <c r="D22" s="137"/>
      <c r="E22" s="140" t="s">
        <v>120</v>
      </c>
      <c r="F22" s="105">
        <f t="shared" si="10"/>
        <v>7051.84</v>
      </c>
      <c r="G22" s="105">
        <f t="shared" si="10"/>
        <v>800.12178638238754</v>
      </c>
      <c r="H22" s="105">
        <f t="shared" si="10"/>
        <v>7108.66</v>
      </c>
      <c r="I22" s="105">
        <f t="shared" si="10"/>
        <v>7287.5300000000007</v>
      </c>
      <c r="J22" s="105">
        <f t="shared" si="10"/>
        <v>235.69000000000051</v>
      </c>
      <c r="K22" s="105">
        <f t="shared" si="10"/>
        <v>1035.8117863823882</v>
      </c>
      <c r="L22" s="105">
        <f t="shared" si="10"/>
        <v>77.83</v>
      </c>
      <c r="M22" s="105">
        <f t="shared" si="10"/>
        <v>1113.6417863823881</v>
      </c>
    </row>
    <row r="23" spans="2:13">
      <c r="B23" s="28"/>
      <c r="C23" s="137"/>
      <c r="D23" s="137"/>
      <c r="E23" s="140" t="s">
        <v>27</v>
      </c>
      <c r="F23" s="105">
        <f t="shared" ref="F23:M23" si="11">F62+F102+F142+F184+F224+F266+F308+F348+F390+F432+F474+F516+F558+F600+F642</f>
        <v>19617.829999999998</v>
      </c>
      <c r="G23" s="105">
        <f t="shared" si="11"/>
        <v>2225.3200166191073</v>
      </c>
      <c r="H23" s="105">
        <f t="shared" si="11"/>
        <v>19524.27</v>
      </c>
      <c r="I23" s="105">
        <f t="shared" si="11"/>
        <v>20015.530000000002</v>
      </c>
      <c r="J23" s="105">
        <f t="shared" si="11"/>
        <v>397.70000000000022</v>
      </c>
      <c r="K23" s="105">
        <f t="shared" si="11"/>
        <v>2623.0200166191075</v>
      </c>
      <c r="L23" s="105">
        <f t="shared" si="11"/>
        <v>216.54</v>
      </c>
      <c r="M23" s="105">
        <f t="shared" si="11"/>
        <v>2839.5600166191066</v>
      </c>
    </row>
    <row r="24" spans="2:13">
      <c r="B24" s="28"/>
      <c r="C24" s="137"/>
      <c r="D24" s="137"/>
      <c r="E24" s="140" t="s">
        <v>28</v>
      </c>
      <c r="F24" s="105">
        <f t="shared" ref="F24:G31" si="12">F63+F103+F143+F185+F225+F267+F309+F349+F391+F433+F475+F517+F559+F601+F643</f>
        <v>20781.37</v>
      </c>
      <c r="G24" s="105">
        <f t="shared" si="12"/>
        <v>2357.3047861351797</v>
      </c>
      <c r="H24" s="105">
        <f t="shared" ref="H24:M24" si="13">H63+H103+H143+H185+H225+H267+H309+H349+H391+H433+H475+H517+H559+H601+H643</f>
        <v>24408.589999999997</v>
      </c>
      <c r="I24" s="105">
        <f t="shared" si="13"/>
        <v>25022.75</v>
      </c>
      <c r="J24" s="105">
        <f t="shared" si="13"/>
        <v>4241.3799999999983</v>
      </c>
      <c r="K24" s="105">
        <f t="shared" si="13"/>
        <v>6598.684786135178</v>
      </c>
      <c r="L24" s="105">
        <f t="shared" si="13"/>
        <v>229.39</v>
      </c>
      <c r="M24" s="105">
        <f t="shared" si="13"/>
        <v>6828.0747861351774</v>
      </c>
    </row>
    <row r="25" spans="2:13">
      <c r="B25" s="28"/>
      <c r="C25" s="137"/>
      <c r="D25" s="137"/>
      <c r="E25" s="140" t="s">
        <v>29</v>
      </c>
      <c r="F25" s="105">
        <f t="shared" si="12"/>
        <v>1654936.44</v>
      </c>
      <c r="G25" s="105">
        <f t="shared" si="12"/>
        <v>-5998.0215166784601</v>
      </c>
      <c r="H25" s="105">
        <f t="shared" ref="H25:M25" si="14">H64+H104+H144+H186+H226+H268+H310+H350+H392+H434+H476+H518+H560+H602+H644</f>
        <v>1808896.53</v>
      </c>
      <c r="I25" s="105">
        <f t="shared" si="14"/>
        <v>1854411.56</v>
      </c>
      <c r="J25" s="105">
        <f t="shared" si="14"/>
        <v>199475.11999999991</v>
      </c>
      <c r="K25" s="105">
        <f t="shared" si="14"/>
        <v>193477.0984833214</v>
      </c>
      <c r="L25" s="105">
        <f t="shared" si="14"/>
        <v>11375.760000000002</v>
      </c>
      <c r="M25" s="105">
        <f t="shared" si="14"/>
        <v>204852.85848332141</v>
      </c>
    </row>
    <row r="26" spans="2:13">
      <c r="B26" s="28"/>
      <c r="C26" s="137"/>
      <c r="D26" s="137"/>
      <c r="E26" s="140" t="s">
        <v>30</v>
      </c>
      <c r="F26" s="105">
        <f t="shared" si="12"/>
        <v>20764579.530000001</v>
      </c>
      <c r="G26" s="105">
        <f t="shared" si="12"/>
        <v>2682190.9966053152</v>
      </c>
      <c r="H26" s="105">
        <f t="shared" ref="H26:M26" si="15">H65+H105+H145+H187+H227+H269+H311+H351+H393+H435+H477+H519+H561+H603+H645</f>
        <v>21171703.210000008</v>
      </c>
      <c r="I26" s="105">
        <f t="shared" si="15"/>
        <v>21704420.640000001</v>
      </c>
      <c r="J26" s="105">
        <f t="shared" si="15"/>
        <v>939841.10999999859</v>
      </c>
      <c r="K26" s="105">
        <f t="shared" si="15"/>
        <v>3622032.1066053128</v>
      </c>
      <c r="L26" s="105">
        <f t="shared" si="15"/>
        <v>243196.86000000002</v>
      </c>
      <c r="M26" s="105">
        <f t="shared" si="15"/>
        <v>3865228.9666053131</v>
      </c>
    </row>
    <row r="27" spans="2:13">
      <c r="B27" s="28"/>
      <c r="C27" s="137"/>
      <c r="D27" s="137"/>
      <c r="E27" s="140" t="s">
        <v>31</v>
      </c>
      <c r="F27" s="105">
        <f t="shared" si="12"/>
        <v>3879331.5499999993</v>
      </c>
      <c r="G27" s="105">
        <f t="shared" si="12"/>
        <v>548508.7345922949</v>
      </c>
      <c r="H27" s="105">
        <f t="shared" ref="H27:M27" si="16">H66+H106+H146+H188+H228+H270+H312+H352+H394+H436+H478+H520+H562+H604+H646</f>
        <v>3546819.4200000004</v>
      </c>
      <c r="I27" s="105">
        <f t="shared" si="16"/>
        <v>3636063.66</v>
      </c>
      <c r="J27" s="105">
        <f t="shared" si="16"/>
        <v>-243267.8899999999</v>
      </c>
      <c r="K27" s="105">
        <f t="shared" si="16"/>
        <v>305240.84459229489</v>
      </c>
      <c r="L27" s="105">
        <f t="shared" si="16"/>
        <v>51997.43</v>
      </c>
      <c r="M27" s="105">
        <f t="shared" si="16"/>
        <v>357238.27459229494</v>
      </c>
    </row>
    <row r="28" spans="2:13">
      <c r="B28" s="28"/>
      <c r="C28" s="137"/>
      <c r="D28" s="137"/>
      <c r="E28" s="140" t="s">
        <v>32</v>
      </c>
      <c r="F28" s="105">
        <f t="shared" si="12"/>
        <v>444465.20999999996</v>
      </c>
      <c r="G28" s="105">
        <f t="shared" si="12"/>
        <v>-60220.24062284016</v>
      </c>
      <c r="H28" s="105">
        <f t="shared" ref="H28:M28" si="17">H67+H107+H147+H189+H229+H271+H313+H353+H395+H437+H479+H521+H563+H605+H647</f>
        <v>441467.76</v>
      </c>
      <c r="I28" s="105">
        <f t="shared" si="17"/>
        <v>452575.87</v>
      </c>
      <c r="J28" s="105">
        <f t="shared" si="17"/>
        <v>8110.6599999999917</v>
      </c>
      <c r="K28" s="105">
        <f t="shared" si="17"/>
        <v>-52109.580622840171</v>
      </c>
      <c r="L28" s="105">
        <f t="shared" si="17"/>
        <v>515.64</v>
      </c>
      <c r="M28" s="105">
        <f t="shared" si="17"/>
        <v>-51593.940622840171</v>
      </c>
    </row>
    <row r="29" spans="2:13">
      <c r="B29" s="28"/>
      <c r="C29" s="137"/>
      <c r="D29" s="137"/>
      <c r="E29" s="140" t="s">
        <v>33</v>
      </c>
      <c r="F29" s="105">
        <f t="shared" si="12"/>
        <v>1383875.8399999999</v>
      </c>
      <c r="G29" s="105">
        <f t="shared" si="12"/>
        <v>393852.4324146047</v>
      </c>
      <c r="H29" s="105">
        <f t="shared" ref="H29:M29" si="18">H68+H108+H148+H190+H230+H272+H314+H354+H396+H438+H480+H522+H564+H606+H648</f>
        <v>1387534.1</v>
      </c>
      <c r="I29" s="105">
        <f t="shared" si="18"/>
        <v>1422446.9100000001</v>
      </c>
      <c r="J29" s="105">
        <f t="shared" si="18"/>
        <v>38571.07000000008</v>
      </c>
      <c r="K29" s="105">
        <f t="shared" si="18"/>
        <v>432423.50241460482</v>
      </c>
      <c r="L29" s="105">
        <f t="shared" si="18"/>
        <v>17832.630000000005</v>
      </c>
      <c r="M29" s="105">
        <f t="shared" si="18"/>
        <v>450256.13241460477</v>
      </c>
    </row>
    <row r="30" spans="2:13">
      <c r="B30" s="28"/>
      <c r="C30" s="137"/>
      <c r="D30" s="137"/>
      <c r="E30" s="140" t="s">
        <v>34</v>
      </c>
      <c r="F30" s="105">
        <f t="shared" si="12"/>
        <v>5844856.6899999995</v>
      </c>
      <c r="G30" s="105">
        <f t="shared" si="12"/>
        <v>839802.23758641467</v>
      </c>
      <c r="H30" s="105">
        <f t="shared" ref="H30:M30" si="19">H69+H109+H149+H191+H231+H273+H315+H355+H397+H439+H481+H523+H565+H607+H649</f>
        <v>6060358.54</v>
      </c>
      <c r="I30" s="105">
        <f t="shared" si="19"/>
        <v>6212847.8599999994</v>
      </c>
      <c r="J30" s="105">
        <f t="shared" si="19"/>
        <v>367991.16999999958</v>
      </c>
      <c r="K30" s="105">
        <f t="shared" si="19"/>
        <v>1207793.4075864139</v>
      </c>
      <c r="L30" s="105">
        <f t="shared" si="19"/>
        <v>80021.539999999994</v>
      </c>
      <c r="M30" s="105">
        <f t="shared" si="19"/>
        <v>1287814.9475864142</v>
      </c>
    </row>
    <row r="31" spans="2:13">
      <c r="B31" s="28"/>
      <c r="C31" s="137"/>
      <c r="D31" s="137"/>
      <c r="E31" s="140" t="s">
        <v>35</v>
      </c>
      <c r="F31" s="105">
        <f t="shared" si="12"/>
        <v>275082.71000000002</v>
      </c>
      <c r="G31" s="105">
        <f t="shared" si="12"/>
        <v>46711.76447475818</v>
      </c>
      <c r="H31" s="105">
        <f t="shared" ref="H31:M31" si="20">H70+H110+H150+H192+H232+H274+H316+H356+H398+H440+H482+H524+H566+H608+H650</f>
        <v>181269.99</v>
      </c>
      <c r="I31" s="105">
        <f t="shared" si="20"/>
        <v>185831.06</v>
      </c>
      <c r="J31" s="105">
        <f t="shared" si="20"/>
        <v>-89251.65</v>
      </c>
      <c r="K31" s="105">
        <f t="shared" si="20"/>
        <v>-42539.885525241829</v>
      </c>
      <c r="L31" s="105">
        <f t="shared" si="20"/>
        <v>3680.1800000000003</v>
      </c>
      <c r="M31" s="105">
        <f t="shared" si="20"/>
        <v>-38859.705525241821</v>
      </c>
    </row>
    <row r="32" spans="2:13">
      <c r="B32" s="28"/>
      <c r="C32" s="137"/>
      <c r="D32" s="137"/>
      <c r="E32" s="140" t="s">
        <v>112</v>
      </c>
      <c r="F32" s="105">
        <f t="shared" ref="F32:M34" si="21">F651</f>
        <v>0</v>
      </c>
      <c r="G32" s="105">
        <f t="shared" si="21"/>
        <v>0</v>
      </c>
      <c r="H32" s="105">
        <f t="shared" si="21"/>
        <v>0</v>
      </c>
      <c r="I32" s="105">
        <f t="shared" si="21"/>
        <v>0</v>
      </c>
      <c r="J32" s="105">
        <f t="shared" si="21"/>
        <v>0</v>
      </c>
      <c r="K32" s="105">
        <f t="shared" si="21"/>
        <v>0</v>
      </c>
      <c r="L32" s="105">
        <f t="shared" si="21"/>
        <v>0</v>
      </c>
      <c r="M32" s="105">
        <f t="shared" si="21"/>
        <v>0</v>
      </c>
    </row>
    <row r="33" spans="2:14">
      <c r="B33" s="28"/>
      <c r="C33" s="137"/>
      <c r="D33" s="137"/>
      <c r="E33" s="140" t="s">
        <v>113</v>
      </c>
      <c r="F33" s="105">
        <f t="shared" si="21"/>
        <v>0</v>
      </c>
      <c r="G33" s="105">
        <f t="shared" si="21"/>
        <v>0</v>
      </c>
      <c r="H33" s="105">
        <f t="shared" si="21"/>
        <v>0</v>
      </c>
      <c r="I33" s="105">
        <f t="shared" si="21"/>
        <v>0</v>
      </c>
      <c r="J33" s="105">
        <f t="shared" si="21"/>
        <v>0</v>
      </c>
      <c r="K33" s="105">
        <f t="shared" si="21"/>
        <v>0</v>
      </c>
      <c r="L33" s="105">
        <f t="shared" si="21"/>
        <v>0</v>
      </c>
      <c r="M33" s="105">
        <f t="shared" si="21"/>
        <v>0</v>
      </c>
    </row>
    <row r="34" spans="2:14">
      <c r="B34" s="28"/>
      <c r="C34" s="137"/>
      <c r="D34" s="137"/>
      <c r="E34" s="140" t="s">
        <v>121</v>
      </c>
      <c r="F34" s="105">
        <f t="shared" si="21"/>
        <v>0</v>
      </c>
      <c r="G34" s="105">
        <f t="shared" si="21"/>
        <v>0</v>
      </c>
      <c r="H34" s="105">
        <f t="shared" si="21"/>
        <v>0</v>
      </c>
      <c r="I34" s="105">
        <f t="shared" si="21"/>
        <v>0</v>
      </c>
      <c r="J34" s="105">
        <f t="shared" si="21"/>
        <v>0</v>
      </c>
      <c r="K34" s="105">
        <f t="shared" si="21"/>
        <v>0</v>
      </c>
      <c r="L34" s="105">
        <f t="shared" si="21"/>
        <v>0</v>
      </c>
      <c r="M34" s="105">
        <f t="shared" si="21"/>
        <v>0</v>
      </c>
    </row>
    <row r="35" spans="2:14">
      <c r="B35" s="132"/>
      <c r="C35" s="133"/>
      <c r="D35" s="133"/>
      <c r="E35" s="128"/>
      <c r="F35" s="101">
        <f t="shared" ref="F35:M35" si="22">SUM(F8:F34)</f>
        <v>38700369.780000001</v>
      </c>
      <c r="G35" s="177">
        <f t="shared" si="22"/>
        <v>4807765.1372695649</v>
      </c>
      <c r="H35" s="178">
        <f t="shared" si="22"/>
        <v>39081468.430000015</v>
      </c>
      <c r="I35" s="178">
        <f t="shared" si="22"/>
        <v>40064827.230000004</v>
      </c>
      <c r="J35" s="178">
        <f t="shared" si="22"/>
        <v>1364457.4499999988</v>
      </c>
      <c r="K35" s="178">
        <f t="shared" si="22"/>
        <v>6172222.5872695632</v>
      </c>
      <c r="L35" s="178">
        <f t="shared" si="22"/>
        <v>452798.02</v>
      </c>
      <c r="M35" s="178">
        <f t="shared" si="22"/>
        <v>6625020.6072695637</v>
      </c>
    </row>
    <row r="36" spans="2:14">
      <c r="D36" s="191"/>
      <c r="E36" s="191"/>
      <c r="F36" s="191"/>
      <c r="G36" s="191"/>
      <c r="H36" s="191"/>
      <c r="I36" s="191"/>
      <c r="J36" s="191"/>
      <c r="K36" s="191"/>
      <c r="L36" s="191"/>
      <c r="M36" s="191"/>
      <c r="N36" s="191"/>
    </row>
    <row r="37" spans="2:14">
      <c r="B37" s="88"/>
      <c r="C37" s="88"/>
      <c r="D37" s="88"/>
      <c r="E37" s="88"/>
      <c r="F37" s="520"/>
      <c r="G37" s="520"/>
      <c r="H37" s="520"/>
      <c r="I37" s="520"/>
      <c r="J37" s="520"/>
      <c r="K37" s="520"/>
      <c r="L37" s="520"/>
      <c r="M37" s="520"/>
    </row>
    <row r="39" spans="2:14" ht="15.75" customHeight="1">
      <c r="B39" s="78" t="s">
        <v>0</v>
      </c>
      <c r="C39" s="521" t="s">
        <v>1</v>
      </c>
      <c r="D39" s="522"/>
      <c r="E39" s="522"/>
      <c r="F39" s="522"/>
      <c r="G39" s="522"/>
      <c r="H39" s="523"/>
      <c r="I39" s="1"/>
    </row>
    <row r="40" spans="2:14" ht="15.75" customHeight="1">
      <c r="B40" s="76" t="s">
        <v>2</v>
      </c>
      <c r="C40" s="524" t="s">
        <v>3</v>
      </c>
      <c r="D40" s="525"/>
      <c r="E40" s="525"/>
      <c r="F40" s="525"/>
      <c r="G40" s="525"/>
      <c r="H40" s="526"/>
      <c r="I40" s="1"/>
    </row>
    <row r="41" spans="2:14" ht="15.75" customHeight="1">
      <c r="B41" s="76" t="s">
        <v>4</v>
      </c>
      <c r="C41" s="524" t="s">
        <v>5</v>
      </c>
      <c r="D41" s="525"/>
      <c r="E41" s="525"/>
      <c r="F41" s="525"/>
      <c r="G41" s="525"/>
      <c r="H41" s="526"/>
      <c r="I41" s="1"/>
    </row>
    <row r="42" spans="2:14" ht="15.75" customHeight="1">
      <c r="B42" s="77" t="s">
        <v>6</v>
      </c>
      <c r="C42" s="530" t="s">
        <v>7</v>
      </c>
      <c r="D42" s="531"/>
      <c r="E42" s="531"/>
      <c r="F42" s="531"/>
      <c r="G42" s="531"/>
      <c r="H42" s="532"/>
      <c r="I42" s="1"/>
    </row>
    <row r="43" spans="2:14">
      <c r="B43" s="82"/>
      <c r="C43" s="82"/>
      <c r="D43" s="82"/>
      <c r="E43" s="82"/>
      <c r="F43" s="82"/>
      <c r="J43" s="113" t="s">
        <v>163</v>
      </c>
      <c r="K43" s="3" t="s">
        <v>42</v>
      </c>
      <c r="M43" s="3" t="s">
        <v>56</v>
      </c>
    </row>
    <row r="44" spans="2:14">
      <c r="B44" s="82"/>
      <c r="C44" s="82"/>
      <c r="D44" s="82"/>
      <c r="E44" s="82"/>
      <c r="F44" s="82"/>
      <c r="G44" s="3" t="s">
        <v>39</v>
      </c>
      <c r="H44" s="142" t="s">
        <v>40</v>
      </c>
      <c r="I44" s="104" t="s">
        <v>41</v>
      </c>
      <c r="J44" s="114" t="s">
        <v>164</v>
      </c>
      <c r="K44" s="4" t="s">
        <v>165</v>
      </c>
      <c r="L44" s="4" t="s">
        <v>55</v>
      </c>
      <c r="M44" s="4" t="s">
        <v>166</v>
      </c>
    </row>
    <row r="45" spans="2:14">
      <c r="B45" s="82"/>
      <c r="C45" s="82"/>
      <c r="D45" s="82"/>
      <c r="E45" s="82"/>
      <c r="F45" s="82"/>
      <c r="G45" s="5"/>
      <c r="H45" s="527" t="s">
        <v>43</v>
      </c>
      <c r="I45" s="528"/>
      <c r="J45" s="529"/>
      <c r="K45" s="6" t="s">
        <v>44</v>
      </c>
      <c r="L45" s="5"/>
      <c r="M45" s="6" t="s">
        <v>45</v>
      </c>
    </row>
    <row r="46" spans="2:14">
      <c r="B46" s="83"/>
      <c r="C46" s="7">
        <v>0</v>
      </c>
      <c r="D46" s="7">
        <v>1</v>
      </c>
      <c r="E46" s="7"/>
      <c r="F46" s="98" t="s">
        <v>162</v>
      </c>
      <c r="G46" s="8" t="s">
        <v>46</v>
      </c>
      <c r="H46" s="143"/>
      <c r="I46" s="5"/>
      <c r="J46" s="115" t="s">
        <v>47</v>
      </c>
      <c r="K46" s="8" t="s">
        <v>48</v>
      </c>
      <c r="L46" s="9"/>
      <c r="M46" s="8" t="s">
        <v>49</v>
      </c>
    </row>
    <row r="47" spans="2:14" ht="15.75" customHeight="1">
      <c r="B47" s="10"/>
      <c r="C47" s="75" t="s">
        <v>9</v>
      </c>
      <c r="D47" s="75" t="s">
        <v>10</v>
      </c>
      <c r="E47" s="75" t="s">
        <v>11</v>
      </c>
      <c r="F47" s="99" t="s">
        <v>8</v>
      </c>
      <c r="G47" s="11" t="s">
        <v>50</v>
      </c>
      <c r="H47" s="144" t="s">
        <v>51</v>
      </c>
      <c r="I47" s="12" t="s">
        <v>159</v>
      </c>
      <c r="J47" s="116" t="s">
        <v>50</v>
      </c>
      <c r="K47" s="12" t="s">
        <v>50</v>
      </c>
      <c r="L47" s="12" t="s">
        <v>52</v>
      </c>
      <c r="M47" s="12" t="s">
        <v>53</v>
      </c>
    </row>
    <row r="48" spans="2:14" ht="31.5">
      <c r="B48" s="13" t="s">
        <v>13</v>
      </c>
      <c r="C48" s="14" t="s">
        <v>14</v>
      </c>
      <c r="D48" s="14" t="s">
        <v>14</v>
      </c>
      <c r="E48" s="15" t="s">
        <v>14</v>
      </c>
      <c r="F48" s="100" t="s">
        <v>15</v>
      </c>
      <c r="G48" s="16" t="s">
        <v>54</v>
      </c>
      <c r="H48" s="145"/>
      <c r="I48" s="17"/>
      <c r="J48" s="117" t="s">
        <v>54</v>
      </c>
      <c r="K48" s="17"/>
      <c r="L48" s="17"/>
      <c r="M48" s="16" t="s">
        <v>54</v>
      </c>
    </row>
    <row r="49" spans="1:14" s="87" customFormat="1">
      <c r="B49" s="18" t="s">
        <v>16</v>
      </c>
      <c r="C49" s="278">
        <v>0</v>
      </c>
      <c r="D49" s="281">
        <v>0</v>
      </c>
      <c r="E49" s="283">
        <f>C49+D49</f>
        <v>0</v>
      </c>
      <c r="F49" s="282">
        <f>ROUND(+E49*F$73,2)</f>
        <v>0</v>
      </c>
      <c r="G49" s="71">
        <f>(F$73-F$74)*E49</f>
        <v>0</v>
      </c>
      <c r="H49" s="71">
        <f>ROUND(F49*'Actual Load'!$B$8/'Zonal Load'!$N$8,2)</f>
        <v>0</v>
      </c>
      <c r="I49" s="71">
        <f>ROUND((H49*$H$708)/$H$706,2)</f>
        <v>0</v>
      </c>
      <c r="J49" s="71">
        <f t="shared" ref="J49:J64" si="23">I49-F49</f>
        <v>0</v>
      </c>
      <c r="K49" s="71">
        <f t="shared" ref="K49:K70" si="24">+G49+J49</f>
        <v>0</v>
      </c>
      <c r="L49" s="204">
        <f>ROUND(E49*'Interest Over Collect '!$J$5,2)</f>
        <v>0</v>
      </c>
      <c r="M49" s="71">
        <f t="shared" ref="M49:M56" si="25">+K49+L49</f>
        <v>0</v>
      </c>
      <c r="N49" s="92"/>
    </row>
    <row r="50" spans="1:14" s="87" customFormat="1">
      <c r="B50" s="23" t="s">
        <v>17</v>
      </c>
      <c r="C50" s="278">
        <v>0</v>
      </c>
      <c r="D50" s="281">
        <v>0</v>
      </c>
      <c r="E50" s="279">
        <f>C50+D50</f>
        <v>0</v>
      </c>
      <c r="F50" s="280">
        <f>ROUND(+E50*F$73,2)</f>
        <v>0</v>
      </c>
      <c r="G50" s="71">
        <f>(F$73-F$74)*E50</f>
        <v>0</v>
      </c>
      <c r="H50" s="71">
        <f>ROUND(F50*'Actual Load'!$B$14/'Zonal Load'!$N$14,2)</f>
        <v>0</v>
      </c>
      <c r="I50" s="71">
        <f t="shared" ref="I50:I70" si="26">ROUND((H50*$H$708)/$H$706,2)</f>
        <v>0</v>
      </c>
      <c r="J50" s="71">
        <f t="shared" si="23"/>
        <v>0</v>
      </c>
      <c r="K50" s="71">
        <f t="shared" si="24"/>
        <v>0</v>
      </c>
      <c r="L50" s="204">
        <f>ROUND(E50*'Interest Over Collect '!$J$5,2)</f>
        <v>0</v>
      </c>
      <c r="M50" s="71">
        <f t="shared" si="25"/>
        <v>0</v>
      </c>
      <c r="N50" s="92"/>
    </row>
    <row r="51" spans="1:14" s="87" customFormat="1">
      <c r="B51" s="23" t="s">
        <v>201</v>
      </c>
      <c r="C51" s="278">
        <f>0%*0.421</f>
        <v>0</v>
      </c>
      <c r="D51" s="281">
        <f>0%*0.421</f>
        <v>0</v>
      </c>
      <c r="E51" s="279">
        <f t="shared" ref="E51:E70" si="27">C51+D51</f>
        <v>0</v>
      </c>
      <c r="F51" s="280">
        <f t="shared" ref="F51:F70" si="28">ROUND(+E51*F$73,2)</f>
        <v>0</v>
      </c>
      <c r="G51" s="71">
        <f t="shared" ref="G51:G70" si="29">(F$73-F$74)*E51</f>
        <v>0</v>
      </c>
      <c r="H51" s="71">
        <f>ROUND(F51*'Actual Load'!$B$9/'Zonal Load'!$N$9,2)</f>
        <v>0</v>
      </c>
      <c r="I51" s="71">
        <f t="shared" si="26"/>
        <v>0</v>
      </c>
      <c r="J51" s="71">
        <f t="shared" si="23"/>
        <v>0</v>
      </c>
      <c r="K51" s="71">
        <f t="shared" si="24"/>
        <v>0</v>
      </c>
      <c r="L51" s="204">
        <f>ROUND(E51*'Interest Over Collect '!$J$5,2)</f>
        <v>0</v>
      </c>
      <c r="M51" s="71">
        <f t="shared" si="25"/>
        <v>0</v>
      </c>
      <c r="N51" s="92"/>
    </row>
    <row r="52" spans="1:14" s="87" customFormat="1">
      <c r="B52" s="140" t="s">
        <v>260</v>
      </c>
      <c r="C52" s="278">
        <f>0%*0.579</f>
        <v>0</v>
      </c>
      <c r="D52" s="281">
        <f>0%*0.579</f>
        <v>0</v>
      </c>
      <c r="E52" s="279">
        <f>C52+D52</f>
        <v>0</v>
      </c>
      <c r="F52" s="280">
        <f t="shared" si="28"/>
        <v>0</v>
      </c>
      <c r="G52" s="71">
        <f>(F$73-F$74)*E52</f>
        <v>0</v>
      </c>
      <c r="H52" s="71">
        <f>ROUND(F52*'Actual Load'!$B$10/'Zonal Load'!$N$10,2)</f>
        <v>0</v>
      </c>
      <c r="I52" s="71">
        <f t="shared" si="26"/>
        <v>0</v>
      </c>
      <c r="J52" s="71">
        <f>I52-F52</f>
        <v>0</v>
      </c>
      <c r="K52" s="71">
        <f>+G52+J52</f>
        <v>0</v>
      </c>
      <c r="L52" s="204">
        <f>ROUND(E52*'Interest Over Collect '!$J$5,2)</f>
        <v>0</v>
      </c>
      <c r="M52" s="71">
        <f>+K52+L52</f>
        <v>0</v>
      </c>
      <c r="N52" s="92"/>
    </row>
    <row r="53" spans="1:14" s="87" customFormat="1">
      <c r="B53" s="23" t="s">
        <v>18</v>
      </c>
      <c r="C53" s="278">
        <v>0</v>
      </c>
      <c r="D53" s="281">
        <v>0</v>
      </c>
      <c r="E53" s="279">
        <f t="shared" si="27"/>
        <v>0</v>
      </c>
      <c r="F53" s="280">
        <f t="shared" si="28"/>
        <v>0</v>
      </c>
      <c r="G53" s="71">
        <f t="shared" si="29"/>
        <v>0</v>
      </c>
      <c r="H53" s="71">
        <f>ROUND(F53*'Actual Load'!$B$26/'Zonal Load'!$N$26,2)</f>
        <v>0</v>
      </c>
      <c r="I53" s="71">
        <f t="shared" si="26"/>
        <v>0</v>
      </c>
      <c r="J53" s="71">
        <f t="shared" si="23"/>
        <v>0</v>
      </c>
      <c r="K53" s="71">
        <f t="shared" si="24"/>
        <v>0</v>
      </c>
      <c r="L53" s="204">
        <f>ROUND(E53*'Interest Over Collect '!$J$5,2)</f>
        <v>0</v>
      </c>
      <c r="M53" s="71">
        <f t="shared" si="25"/>
        <v>0</v>
      </c>
      <c r="N53" s="92"/>
    </row>
    <row r="54" spans="1:14" s="87" customFormat="1">
      <c r="B54" s="23" t="s">
        <v>19</v>
      </c>
      <c r="C54" s="278">
        <v>0</v>
      </c>
      <c r="D54" s="281">
        <v>0</v>
      </c>
      <c r="E54" s="279">
        <f t="shared" si="27"/>
        <v>0</v>
      </c>
      <c r="F54" s="280">
        <f t="shared" si="28"/>
        <v>0</v>
      </c>
      <c r="G54" s="71">
        <f t="shared" si="29"/>
        <v>0</v>
      </c>
      <c r="H54" s="71">
        <f>ROUND(F54*'Actual Load'!$B$16/'Zonal Load'!$N$16,2)</f>
        <v>0</v>
      </c>
      <c r="I54" s="71">
        <f t="shared" si="26"/>
        <v>0</v>
      </c>
      <c r="J54" s="71">
        <f t="shared" si="23"/>
        <v>0</v>
      </c>
      <c r="K54" s="71">
        <f t="shared" si="24"/>
        <v>0</v>
      </c>
      <c r="L54" s="204">
        <f>ROUND(E54*'Interest Over Collect '!$J$5,2)</f>
        <v>0</v>
      </c>
      <c r="M54" s="71">
        <f t="shared" si="25"/>
        <v>0</v>
      </c>
      <c r="N54" s="92"/>
    </row>
    <row r="55" spans="1:14" s="87" customFormat="1">
      <c r="B55" s="23" t="s">
        <v>20</v>
      </c>
      <c r="C55" s="278">
        <v>0</v>
      </c>
      <c r="D55" s="281">
        <v>0</v>
      </c>
      <c r="E55" s="279">
        <f t="shared" si="27"/>
        <v>0</v>
      </c>
      <c r="F55" s="280">
        <f t="shared" si="28"/>
        <v>0</v>
      </c>
      <c r="G55" s="71">
        <f t="shared" si="29"/>
        <v>0</v>
      </c>
      <c r="H55" s="71">
        <f>ROUND(F55*'Actual Load'!$B$22/'Zonal Load'!$N$22,2)</f>
        <v>0</v>
      </c>
      <c r="I55" s="71">
        <f t="shared" si="26"/>
        <v>0</v>
      </c>
      <c r="J55" s="71">
        <f t="shared" si="23"/>
        <v>0</v>
      </c>
      <c r="K55" s="71">
        <f t="shared" si="24"/>
        <v>0</v>
      </c>
      <c r="L55" s="204">
        <f>ROUND(E55*'Interest Over Collect '!$J$5,2)</f>
        <v>0</v>
      </c>
      <c r="M55" s="71">
        <f t="shared" si="25"/>
        <v>0</v>
      </c>
      <c r="N55" s="92"/>
    </row>
    <row r="56" spans="1:14" s="87" customFormat="1">
      <c r="B56" s="23" t="s">
        <v>21</v>
      </c>
      <c r="C56" s="278">
        <v>0</v>
      </c>
      <c r="D56" s="281">
        <v>0</v>
      </c>
      <c r="E56" s="279">
        <f t="shared" si="27"/>
        <v>0</v>
      </c>
      <c r="F56" s="280">
        <f t="shared" si="28"/>
        <v>0</v>
      </c>
      <c r="G56" s="71">
        <f t="shared" si="29"/>
        <v>0</v>
      </c>
      <c r="H56" s="71">
        <f>ROUND(F56*'Actual Load'!$B$17/'Zonal Load'!$N$17,2)</f>
        <v>0</v>
      </c>
      <c r="I56" s="71">
        <f t="shared" si="26"/>
        <v>0</v>
      </c>
      <c r="J56" s="71">
        <f t="shared" si="23"/>
        <v>0</v>
      </c>
      <c r="K56" s="71">
        <f t="shared" si="24"/>
        <v>0</v>
      </c>
      <c r="L56" s="204">
        <f>ROUND(E56*'Interest Over Collect '!$J$5,2)</f>
        <v>0</v>
      </c>
      <c r="M56" s="71">
        <f t="shared" si="25"/>
        <v>0</v>
      </c>
      <c r="N56" s="92"/>
    </row>
    <row r="57" spans="1:14" s="87" customFormat="1">
      <c r="B57" s="23" t="s">
        <v>22</v>
      </c>
      <c r="C57" s="278">
        <v>0</v>
      </c>
      <c r="D57" s="281">
        <v>0</v>
      </c>
      <c r="E57" s="279">
        <f t="shared" si="27"/>
        <v>0</v>
      </c>
      <c r="F57" s="280">
        <f t="shared" si="28"/>
        <v>0</v>
      </c>
      <c r="G57" s="71">
        <f t="shared" si="29"/>
        <v>0</v>
      </c>
      <c r="H57" s="71">
        <f>ROUND(F57*'Actual Load'!$B$15/'Zonal Load'!$N$15,2)</f>
        <v>0</v>
      </c>
      <c r="I57" s="71">
        <f t="shared" si="26"/>
        <v>0</v>
      </c>
      <c r="J57" s="71">
        <f t="shared" si="23"/>
        <v>0</v>
      </c>
      <c r="K57" s="71">
        <f t="shared" si="24"/>
        <v>0</v>
      </c>
      <c r="L57" s="204">
        <f>ROUND(E57*'Interest Over Collect '!$J$5,2)</f>
        <v>0</v>
      </c>
      <c r="M57" s="71">
        <f>+K57+L57</f>
        <v>0</v>
      </c>
      <c r="N57" s="92"/>
    </row>
    <row r="58" spans="1:14" s="87" customFormat="1">
      <c r="B58" s="23" t="s">
        <v>23</v>
      </c>
      <c r="C58" s="278">
        <v>0</v>
      </c>
      <c r="D58" s="281">
        <v>0</v>
      </c>
      <c r="E58" s="279">
        <f t="shared" si="27"/>
        <v>0</v>
      </c>
      <c r="F58" s="280">
        <f t="shared" si="28"/>
        <v>0</v>
      </c>
      <c r="G58" s="71">
        <f t="shared" si="29"/>
        <v>0</v>
      </c>
      <c r="H58" s="71">
        <f>ROUND(F58*'Actual Load'!$B$4/'Zonal Load'!$N$4,2)</f>
        <v>0</v>
      </c>
      <c r="I58" s="71">
        <f t="shared" si="26"/>
        <v>0</v>
      </c>
      <c r="J58" s="71">
        <f t="shared" si="23"/>
        <v>0</v>
      </c>
      <c r="K58" s="71">
        <f t="shared" si="24"/>
        <v>0</v>
      </c>
      <c r="L58" s="204">
        <f>ROUND(E58*'Interest Over Collect '!$J$5,2)</f>
        <v>0</v>
      </c>
      <c r="M58" s="71">
        <f t="shared" ref="M58:M70" si="30">+K58+L58</f>
        <v>0</v>
      </c>
      <c r="N58" s="92"/>
    </row>
    <row r="59" spans="1:14" s="87" customFormat="1">
      <c r="B59" s="23" t="s">
        <v>24</v>
      </c>
      <c r="C59" s="278">
        <v>0</v>
      </c>
      <c r="D59" s="281">
        <v>0</v>
      </c>
      <c r="E59" s="279">
        <f t="shared" si="27"/>
        <v>0</v>
      </c>
      <c r="F59" s="280">
        <f t="shared" si="28"/>
        <v>0</v>
      </c>
      <c r="G59" s="71">
        <f t="shared" si="29"/>
        <v>0</v>
      </c>
      <c r="H59" s="71">
        <f>ROUND(F59*'Actual Load'!$B$11/'Zonal Load'!$N$11,2)</f>
        <v>0</v>
      </c>
      <c r="I59" s="71">
        <f t="shared" si="26"/>
        <v>0</v>
      </c>
      <c r="J59" s="71">
        <f t="shared" si="23"/>
        <v>0</v>
      </c>
      <c r="K59" s="71">
        <f t="shared" si="24"/>
        <v>0</v>
      </c>
      <c r="L59" s="204">
        <f>ROUND(E59*'Interest Over Collect '!$J$5,2)</f>
        <v>0</v>
      </c>
      <c r="M59" s="71">
        <f t="shared" si="30"/>
        <v>0</v>
      </c>
      <c r="N59" s="92"/>
    </row>
    <row r="60" spans="1:14" s="87" customFormat="1">
      <c r="B60" s="23" t="s">
        <v>25</v>
      </c>
      <c r="C60" s="278">
        <v>0</v>
      </c>
      <c r="D60" s="281">
        <v>0</v>
      </c>
      <c r="E60" s="279">
        <f t="shared" si="27"/>
        <v>0</v>
      </c>
      <c r="F60" s="280">
        <f t="shared" si="28"/>
        <v>0</v>
      </c>
      <c r="G60" s="71">
        <f t="shared" si="29"/>
        <v>0</v>
      </c>
      <c r="H60" s="71">
        <f>ROUND(F60*'Actual Load'!$B$6/'Zonal Load'!$N$6,2)</f>
        <v>0</v>
      </c>
      <c r="I60" s="71">
        <f t="shared" si="26"/>
        <v>0</v>
      </c>
      <c r="J60" s="71">
        <f t="shared" si="23"/>
        <v>0</v>
      </c>
      <c r="K60" s="71">
        <f t="shared" si="24"/>
        <v>0</v>
      </c>
      <c r="L60" s="204">
        <f>ROUND(E60*'Interest Over Collect '!$J$5,2)</f>
        <v>0</v>
      </c>
      <c r="M60" s="71">
        <f t="shared" si="30"/>
        <v>0</v>
      </c>
      <c r="N60" s="92"/>
    </row>
    <row r="61" spans="1:14" s="87" customFormat="1">
      <c r="B61" s="23" t="s">
        <v>26</v>
      </c>
      <c r="C61" s="278">
        <v>0</v>
      </c>
      <c r="D61" s="281">
        <v>0</v>
      </c>
      <c r="E61" s="279">
        <f t="shared" si="27"/>
        <v>0</v>
      </c>
      <c r="F61" s="280">
        <f t="shared" si="28"/>
        <v>0</v>
      </c>
      <c r="G61" s="71">
        <f t="shared" si="29"/>
        <v>0</v>
      </c>
      <c r="H61" s="71">
        <f>ROUND(F61*'Actual Load'!$B$7/'Zonal Load'!$N$7,2)</f>
        <v>0</v>
      </c>
      <c r="I61" s="71">
        <f t="shared" si="26"/>
        <v>0</v>
      </c>
      <c r="J61" s="71">
        <f t="shared" si="23"/>
        <v>0</v>
      </c>
      <c r="K61" s="71">
        <f t="shared" si="24"/>
        <v>0</v>
      </c>
      <c r="L61" s="204">
        <f>ROUND(E61*'Interest Over Collect '!$J$5,2)</f>
        <v>0</v>
      </c>
      <c r="M61" s="71">
        <f t="shared" si="30"/>
        <v>0</v>
      </c>
      <c r="N61" s="92"/>
    </row>
    <row r="62" spans="1:14" s="87" customFormat="1">
      <c r="A62" s="23"/>
      <c r="B62" s="23" t="s">
        <v>27</v>
      </c>
      <c r="C62" s="278">
        <v>0</v>
      </c>
      <c r="D62" s="281">
        <v>0</v>
      </c>
      <c r="E62" s="279">
        <f t="shared" si="27"/>
        <v>0</v>
      </c>
      <c r="F62" s="280">
        <f t="shared" si="28"/>
        <v>0</v>
      </c>
      <c r="G62" s="71">
        <f t="shared" si="29"/>
        <v>0</v>
      </c>
      <c r="H62" s="71">
        <f>ROUND(F62*'Actual Load'!$B$12/'Zonal Load'!$N$12,2)</f>
        <v>0</v>
      </c>
      <c r="I62" s="71">
        <f t="shared" si="26"/>
        <v>0</v>
      </c>
      <c r="J62" s="71">
        <f t="shared" si="23"/>
        <v>0</v>
      </c>
      <c r="K62" s="71">
        <f t="shared" si="24"/>
        <v>0</v>
      </c>
      <c r="L62" s="204">
        <f>ROUND(E62*'Interest Over Collect '!$J$5,2)</f>
        <v>0</v>
      </c>
      <c r="M62" s="71">
        <f t="shared" si="30"/>
        <v>0</v>
      </c>
      <c r="N62" s="92"/>
    </row>
    <row r="63" spans="1:14" s="87" customFormat="1">
      <c r="A63" s="23"/>
      <c r="B63" s="23" t="s">
        <v>28</v>
      </c>
      <c r="C63" s="278">
        <v>0</v>
      </c>
      <c r="D63" s="281">
        <v>0</v>
      </c>
      <c r="E63" s="279">
        <f t="shared" si="27"/>
        <v>0</v>
      </c>
      <c r="F63" s="280">
        <f t="shared" si="28"/>
        <v>0</v>
      </c>
      <c r="G63" s="71">
        <f t="shared" si="29"/>
        <v>0</v>
      </c>
      <c r="H63" s="71">
        <f>ROUND(F63*'Actual Load'!$B$24/'Zonal Load'!$N$24,2)</f>
        <v>0</v>
      </c>
      <c r="I63" s="71">
        <f t="shared" si="26"/>
        <v>0</v>
      </c>
      <c r="J63" s="71">
        <f t="shared" si="23"/>
        <v>0</v>
      </c>
      <c r="K63" s="71">
        <f t="shared" si="24"/>
        <v>0</v>
      </c>
      <c r="L63" s="204">
        <f>ROUND(E63*'Interest Over Collect '!$J$5,2)</f>
        <v>0</v>
      </c>
      <c r="M63" s="71">
        <f t="shared" si="30"/>
        <v>0</v>
      </c>
      <c r="N63" s="92"/>
    </row>
    <row r="64" spans="1:14">
      <c r="A64" s="23"/>
      <c r="B64" s="23" t="s">
        <v>29</v>
      </c>
      <c r="C64" s="19">
        <v>0</v>
      </c>
      <c r="D64" s="20">
        <v>0</v>
      </c>
      <c r="E64" s="108">
        <f t="shared" si="27"/>
        <v>0</v>
      </c>
      <c r="F64" s="105">
        <f t="shared" si="28"/>
        <v>0</v>
      </c>
      <c r="G64" s="21">
        <f t="shared" si="29"/>
        <v>0</v>
      </c>
      <c r="H64" s="89">
        <f>ROUND(F64*'Actual Load'!$B$5/'Zonal Load'!$N$5,2)</f>
        <v>0</v>
      </c>
      <c r="I64" s="21">
        <f t="shared" si="26"/>
        <v>0</v>
      </c>
      <c r="J64" s="21">
        <f t="shared" si="23"/>
        <v>0</v>
      </c>
      <c r="K64" s="21">
        <f t="shared" si="24"/>
        <v>0</v>
      </c>
      <c r="L64" s="204">
        <f>ROUND(E64*'Interest Over Collect '!$J$5,2)</f>
        <v>0</v>
      </c>
      <c r="M64" s="21">
        <f t="shared" si="30"/>
        <v>0</v>
      </c>
    </row>
    <row r="65" spans="1:13">
      <c r="A65" s="23"/>
      <c r="B65" s="23" t="s">
        <v>30</v>
      </c>
      <c r="C65" s="19">
        <v>0</v>
      </c>
      <c r="D65" s="20">
        <v>1</v>
      </c>
      <c r="E65" s="108">
        <f t="shared" si="27"/>
        <v>1</v>
      </c>
      <c r="F65" s="105">
        <f t="shared" si="28"/>
        <v>1078347.51</v>
      </c>
      <c r="G65" s="21">
        <f t="shared" si="29"/>
        <v>40052.269715242321</v>
      </c>
      <c r="H65" s="89">
        <f>ROUND(F65*'Actual Load'!$B$21/'Zonal Load'!$N$21,2)</f>
        <v>1099490.28</v>
      </c>
      <c r="I65" s="21">
        <f t="shared" si="26"/>
        <v>1127155.3999999999</v>
      </c>
      <c r="J65" s="21">
        <f t="shared" ref="J65:J70" si="31">I65-F65</f>
        <v>48807.889999999898</v>
      </c>
      <c r="K65" s="21">
        <f t="shared" si="24"/>
        <v>88860.159715242218</v>
      </c>
      <c r="L65" s="204">
        <f>ROUND(E65*'Interest Over Collect '!$J$5,2)</f>
        <v>14784.21</v>
      </c>
      <c r="M65" s="21">
        <f t="shared" si="30"/>
        <v>103644.36971524221</v>
      </c>
    </row>
    <row r="66" spans="1:13">
      <c r="A66" s="23"/>
      <c r="B66" s="23" t="s">
        <v>31</v>
      </c>
      <c r="C66" s="19">
        <v>0</v>
      </c>
      <c r="D66" s="20">
        <v>0</v>
      </c>
      <c r="E66" s="108">
        <f t="shared" si="27"/>
        <v>0</v>
      </c>
      <c r="F66" s="105">
        <f t="shared" si="28"/>
        <v>0</v>
      </c>
      <c r="G66" s="21">
        <f t="shared" si="29"/>
        <v>0</v>
      </c>
      <c r="H66" s="89">
        <f>ROUND(F66*'Actual Load'!$B$19/'Zonal Load'!$N$19,2)</f>
        <v>0</v>
      </c>
      <c r="I66" s="21">
        <f t="shared" si="26"/>
        <v>0</v>
      </c>
      <c r="J66" s="21">
        <f t="shared" si="31"/>
        <v>0</v>
      </c>
      <c r="K66" s="21">
        <f t="shared" si="24"/>
        <v>0</v>
      </c>
      <c r="L66" s="204">
        <f>ROUND(E66*'Interest Over Collect '!$J$5,2)</f>
        <v>0</v>
      </c>
      <c r="M66" s="21">
        <f t="shared" si="30"/>
        <v>0</v>
      </c>
    </row>
    <row r="67" spans="1:13">
      <c r="A67" s="23"/>
      <c r="B67" s="23" t="s">
        <v>32</v>
      </c>
      <c r="C67" s="19">
        <v>0</v>
      </c>
      <c r="D67" s="20">
        <v>0</v>
      </c>
      <c r="E67" s="108">
        <f t="shared" si="27"/>
        <v>0</v>
      </c>
      <c r="F67" s="105">
        <f t="shared" si="28"/>
        <v>0</v>
      </c>
      <c r="G67" s="21">
        <f t="shared" si="29"/>
        <v>0</v>
      </c>
      <c r="H67" s="89">
        <f>ROUND(F67*'Actual Load'!$B$25/'Zonal Load'!$N$25,2)</f>
        <v>0</v>
      </c>
      <c r="I67" s="21">
        <f t="shared" si="26"/>
        <v>0</v>
      </c>
      <c r="J67" s="21">
        <f t="shared" si="31"/>
        <v>0</v>
      </c>
      <c r="K67" s="21">
        <f t="shared" si="24"/>
        <v>0</v>
      </c>
      <c r="L67" s="204">
        <f>ROUND(E67*'Interest Over Collect '!$J$5,2)</f>
        <v>0</v>
      </c>
      <c r="M67" s="21">
        <f t="shared" si="30"/>
        <v>0</v>
      </c>
    </row>
    <row r="68" spans="1:13">
      <c r="A68" s="23"/>
      <c r="B68" s="23" t="s">
        <v>33</v>
      </c>
      <c r="C68" s="19">
        <v>0</v>
      </c>
      <c r="D68" s="20">
        <v>0</v>
      </c>
      <c r="E68" s="108">
        <f t="shared" si="27"/>
        <v>0</v>
      </c>
      <c r="F68" s="105">
        <f t="shared" si="28"/>
        <v>0</v>
      </c>
      <c r="G68" s="21">
        <f t="shared" si="29"/>
        <v>0</v>
      </c>
      <c r="H68" s="89">
        <f>ROUND(F68*'Actual Load'!$B$13/'Zonal Load'!$N$13,2)</f>
        <v>0</v>
      </c>
      <c r="I68" s="21">
        <f t="shared" si="26"/>
        <v>0</v>
      </c>
      <c r="J68" s="21">
        <f t="shared" si="31"/>
        <v>0</v>
      </c>
      <c r="K68" s="21">
        <f t="shared" si="24"/>
        <v>0</v>
      </c>
      <c r="L68" s="204">
        <f>ROUND(E68*'Interest Over Collect '!$J$5,2)</f>
        <v>0</v>
      </c>
      <c r="M68" s="21">
        <f t="shared" si="30"/>
        <v>0</v>
      </c>
    </row>
    <row r="69" spans="1:13">
      <c r="A69" s="23"/>
      <c r="B69" s="23" t="s">
        <v>34</v>
      </c>
      <c r="C69" s="19">
        <v>0</v>
      </c>
      <c r="D69" s="20">
        <v>0</v>
      </c>
      <c r="E69" s="108">
        <f t="shared" si="27"/>
        <v>0</v>
      </c>
      <c r="F69" s="105">
        <f t="shared" si="28"/>
        <v>0</v>
      </c>
      <c r="G69" s="21">
        <f t="shared" si="29"/>
        <v>0</v>
      </c>
      <c r="H69" s="89">
        <f>ROUND(F69*'Actual Load'!$B$23/'Zonal Load'!$N$23,2)</f>
        <v>0</v>
      </c>
      <c r="I69" s="21">
        <f t="shared" si="26"/>
        <v>0</v>
      </c>
      <c r="J69" s="21">
        <f t="shared" si="31"/>
        <v>0</v>
      </c>
      <c r="K69" s="21">
        <f t="shared" si="24"/>
        <v>0</v>
      </c>
      <c r="L69" s="204">
        <f>ROUND(E69*'Interest Over Collect '!$J$5,2)</f>
        <v>0</v>
      </c>
      <c r="M69" s="21">
        <f t="shared" si="30"/>
        <v>0</v>
      </c>
    </row>
    <row r="70" spans="1:13">
      <c r="B70" s="24" t="s">
        <v>35</v>
      </c>
      <c r="C70" s="19">
        <v>0</v>
      </c>
      <c r="D70" s="20">
        <v>0</v>
      </c>
      <c r="E70" s="108">
        <f t="shared" si="27"/>
        <v>0</v>
      </c>
      <c r="F70" s="105">
        <f t="shared" si="28"/>
        <v>0</v>
      </c>
      <c r="G70" s="21">
        <f t="shared" si="29"/>
        <v>0</v>
      </c>
      <c r="H70" s="89">
        <f>ROUND(F70*'Actual Load'!$B$20/'Zonal Load'!$N$20,2)</f>
        <v>0</v>
      </c>
      <c r="I70" s="21">
        <f t="shared" si="26"/>
        <v>0</v>
      </c>
      <c r="J70" s="21">
        <f t="shared" si="31"/>
        <v>0</v>
      </c>
      <c r="K70" s="21">
        <f t="shared" si="24"/>
        <v>0</v>
      </c>
      <c r="L70" s="204">
        <f>ROUND(E70*'Interest Over Collect '!$J$5,2)</f>
        <v>0</v>
      </c>
      <c r="M70" s="21">
        <f t="shared" si="30"/>
        <v>0</v>
      </c>
    </row>
    <row r="71" spans="1:13">
      <c r="B71" s="25"/>
      <c r="C71" s="26">
        <f>SUM(C49:C70)</f>
        <v>0</v>
      </c>
      <c r="D71" s="27">
        <f>SUM(D49:D70)</f>
        <v>1</v>
      </c>
      <c r="E71" s="107">
        <f>SUM(E49:E70)</f>
        <v>1</v>
      </c>
      <c r="F71" s="101">
        <f>SUM(F49:F70)</f>
        <v>1078347.51</v>
      </c>
      <c r="G71" s="84">
        <f t="shared" ref="G71:M71" si="32">SUM(G49:G70)</f>
        <v>40052.269715242321</v>
      </c>
      <c r="H71" s="146">
        <f t="shared" si="32"/>
        <v>1099490.28</v>
      </c>
      <c r="I71" s="85">
        <f t="shared" si="32"/>
        <v>1127155.3999999999</v>
      </c>
      <c r="J71" s="118">
        <f t="shared" si="32"/>
        <v>48807.889999999898</v>
      </c>
      <c r="K71" s="163">
        <f t="shared" si="32"/>
        <v>88860.159715242218</v>
      </c>
      <c r="L71" s="85">
        <f t="shared" si="32"/>
        <v>14784.21</v>
      </c>
      <c r="M71" s="85">
        <f t="shared" si="32"/>
        <v>103644.36971524221</v>
      </c>
    </row>
    <row r="72" spans="1:13">
      <c r="G72" s="21"/>
      <c r="I72" s="86"/>
    </row>
    <row r="73" spans="1:13">
      <c r="E73" s="102" t="s">
        <v>266</v>
      </c>
      <c r="F73" s="201">
        <v>1078347.5067152423</v>
      </c>
      <c r="H73" s="147"/>
      <c r="I73" s="29"/>
      <c r="K73" s="71"/>
      <c r="L73" s="87"/>
    </row>
    <row r="74" spans="1:13">
      <c r="E74" s="103" t="s">
        <v>267</v>
      </c>
      <c r="F74" s="202">
        <v>1038295.237</v>
      </c>
      <c r="L74" s="87"/>
    </row>
    <row r="75" spans="1:13">
      <c r="E75" s="103" t="s">
        <v>160</v>
      </c>
      <c r="F75" s="210">
        <f>I71</f>
        <v>1127155.3999999999</v>
      </c>
      <c r="L75" s="87"/>
    </row>
    <row r="77" spans="1:13">
      <c r="B77" s="88"/>
      <c r="C77" s="88"/>
      <c r="D77" s="88"/>
      <c r="E77" s="88"/>
      <c r="F77" s="88"/>
      <c r="G77" s="88"/>
      <c r="H77" s="88"/>
      <c r="I77" s="88"/>
      <c r="J77" s="119"/>
      <c r="K77" s="88"/>
      <c r="L77" s="88"/>
      <c r="M77" s="88"/>
    </row>
    <row r="79" spans="1:13" ht="15.75" customHeight="1">
      <c r="B79" s="78" t="s">
        <v>0</v>
      </c>
      <c r="C79" s="521" t="s">
        <v>36</v>
      </c>
      <c r="D79" s="522"/>
      <c r="E79" s="522"/>
      <c r="F79" s="522"/>
      <c r="G79" s="522"/>
      <c r="H79" s="523"/>
      <c r="I79" s="1"/>
    </row>
    <row r="80" spans="1:13" ht="15.75" customHeight="1">
      <c r="B80" s="76" t="s">
        <v>2</v>
      </c>
      <c r="C80" s="524" t="s">
        <v>37</v>
      </c>
      <c r="D80" s="525"/>
      <c r="E80" s="525"/>
      <c r="F80" s="525"/>
      <c r="G80" s="525"/>
      <c r="H80" s="526"/>
      <c r="I80" s="1"/>
    </row>
    <row r="81" spans="2:14" ht="15.75" customHeight="1">
      <c r="B81" s="76" t="s">
        <v>4</v>
      </c>
      <c r="C81" s="524" t="s">
        <v>38</v>
      </c>
      <c r="D81" s="525"/>
      <c r="E81" s="525"/>
      <c r="F81" s="525"/>
      <c r="G81" s="525"/>
      <c r="H81" s="526"/>
      <c r="I81" s="1"/>
    </row>
    <row r="82" spans="2:14" ht="15.75" customHeight="1">
      <c r="B82" s="77" t="s">
        <v>6</v>
      </c>
      <c r="C82" s="530" t="s">
        <v>7</v>
      </c>
      <c r="D82" s="531"/>
      <c r="E82" s="531"/>
      <c r="F82" s="531"/>
      <c r="G82" s="531"/>
      <c r="H82" s="532"/>
      <c r="I82" s="1"/>
    </row>
    <row r="83" spans="2:14">
      <c r="B83" s="82"/>
      <c r="C83" s="82"/>
      <c r="D83" s="82"/>
      <c r="E83" s="82"/>
      <c r="F83" s="82"/>
      <c r="J83" s="113" t="s">
        <v>163</v>
      </c>
      <c r="K83" s="3" t="s">
        <v>42</v>
      </c>
      <c r="M83" s="3" t="s">
        <v>56</v>
      </c>
    </row>
    <row r="84" spans="2:14">
      <c r="B84" s="82"/>
      <c r="C84" s="82"/>
      <c r="D84" s="82"/>
      <c r="E84" s="82"/>
      <c r="F84" s="82"/>
      <c r="G84" s="3" t="s">
        <v>39</v>
      </c>
      <c r="H84" s="142" t="s">
        <v>40</v>
      </c>
      <c r="I84" s="104" t="s">
        <v>41</v>
      </c>
      <c r="J84" s="114" t="s">
        <v>164</v>
      </c>
      <c r="K84" s="4" t="s">
        <v>165</v>
      </c>
      <c r="L84" s="4" t="s">
        <v>55</v>
      </c>
      <c r="M84" s="4" t="s">
        <v>166</v>
      </c>
      <c r="N84" s="233"/>
    </row>
    <row r="85" spans="2:14">
      <c r="B85" s="82"/>
      <c r="C85" s="82"/>
      <c r="D85" s="82"/>
      <c r="E85" s="82"/>
      <c r="F85" s="82"/>
      <c r="G85" s="5"/>
      <c r="H85" s="527" t="s">
        <v>43</v>
      </c>
      <c r="I85" s="528"/>
      <c r="J85" s="529"/>
      <c r="K85" s="6" t="s">
        <v>44</v>
      </c>
      <c r="L85" s="5"/>
      <c r="M85" s="6" t="s">
        <v>45</v>
      </c>
      <c r="N85" s="233"/>
    </row>
    <row r="86" spans="2:14">
      <c r="B86" s="83"/>
      <c r="C86" s="7">
        <v>0</v>
      </c>
      <c r="D86" s="7">
        <v>1</v>
      </c>
      <c r="E86" s="7"/>
      <c r="F86" s="98" t="s">
        <v>162</v>
      </c>
      <c r="G86" s="8" t="s">
        <v>46</v>
      </c>
      <c r="H86" s="143"/>
      <c r="I86" s="5"/>
      <c r="J86" s="115" t="s">
        <v>47</v>
      </c>
      <c r="K86" s="8" t="s">
        <v>48</v>
      </c>
      <c r="L86" s="9"/>
      <c r="M86" s="8" t="s">
        <v>49</v>
      </c>
    </row>
    <row r="87" spans="2:14" ht="15.75" customHeight="1">
      <c r="B87" s="10"/>
      <c r="C87" s="75" t="s">
        <v>9</v>
      </c>
      <c r="D87" s="75" t="s">
        <v>10</v>
      </c>
      <c r="E87" s="75" t="s">
        <v>11</v>
      </c>
      <c r="F87" s="99" t="s">
        <v>8</v>
      </c>
      <c r="G87" s="11" t="s">
        <v>50</v>
      </c>
      <c r="H87" s="144" t="s">
        <v>51</v>
      </c>
      <c r="I87" s="12" t="s">
        <v>159</v>
      </c>
      <c r="J87" s="116" t="s">
        <v>50</v>
      </c>
      <c r="K87" s="12" t="s">
        <v>50</v>
      </c>
      <c r="L87" s="12" t="s">
        <v>52</v>
      </c>
      <c r="M87" s="12" t="s">
        <v>53</v>
      </c>
    </row>
    <row r="88" spans="2:14" ht="31.5">
      <c r="B88" s="13" t="s">
        <v>13</v>
      </c>
      <c r="C88" s="14" t="s">
        <v>14</v>
      </c>
      <c r="D88" s="14" t="s">
        <v>14</v>
      </c>
      <c r="E88" s="15" t="s">
        <v>14</v>
      </c>
      <c r="F88" s="100" t="s">
        <v>15</v>
      </c>
      <c r="G88" s="16" t="s">
        <v>54</v>
      </c>
      <c r="H88" s="145"/>
      <c r="I88" s="17"/>
      <c r="J88" s="117" t="s">
        <v>54</v>
      </c>
      <c r="K88" s="17"/>
      <c r="L88" s="17"/>
      <c r="M88" s="16" t="s">
        <v>54</v>
      </c>
    </row>
    <row r="89" spans="2:14" s="87" customFormat="1">
      <c r="B89" s="18" t="s">
        <v>16</v>
      </c>
      <c r="C89" s="278">
        <v>0</v>
      </c>
      <c r="D89" s="281">
        <v>0</v>
      </c>
      <c r="E89" s="279">
        <f t="shared" ref="E89:E110" si="33">C89+D89</f>
        <v>0</v>
      </c>
      <c r="F89" s="282">
        <f>ROUND(+E89*F$113,2)</f>
        <v>0</v>
      </c>
      <c r="G89" s="71">
        <f t="shared" ref="G89:G110" si="34">(F$113-F$114)*E89</f>
        <v>0</v>
      </c>
      <c r="H89" s="71">
        <f>ROUND(F89*'Actual Load'!$B$8/'Zonal Load'!$N$8,2)</f>
        <v>0</v>
      </c>
      <c r="I89" s="71">
        <f t="shared" ref="I89:I110" si="35">ROUND((H89*$H$708)/$H$706,2)</f>
        <v>0</v>
      </c>
      <c r="J89" s="71">
        <f t="shared" ref="J89:J110" si="36">I89-F89</f>
        <v>0</v>
      </c>
      <c r="K89" s="71">
        <f t="shared" ref="K89:K110" si="37">+G89+J89</f>
        <v>0</v>
      </c>
      <c r="L89" s="204">
        <f>ROUND(E89*'Interest Over Collect '!$J$6,2)</f>
        <v>0</v>
      </c>
      <c r="M89" s="71">
        <f t="shared" ref="M89:M96" si="38">+K89+L89</f>
        <v>0</v>
      </c>
      <c r="N89" s="92"/>
    </row>
    <row r="90" spans="2:14" s="87" customFormat="1">
      <c r="B90" s="23" t="s">
        <v>17</v>
      </c>
      <c r="C90" s="278">
        <v>0</v>
      </c>
      <c r="D90" s="281">
        <v>0</v>
      </c>
      <c r="E90" s="279">
        <f t="shared" si="33"/>
        <v>0</v>
      </c>
      <c r="F90" s="280">
        <f>ROUND(+E90*F$113,2)</f>
        <v>0</v>
      </c>
      <c r="G90" s="71">
        <f t="shared" si="34"/>
        <v>0</v>
      </c>
      <c r="H90" s="71">
        <f>ROUND(F90*'Actual Load'!$B$14/'Zonal Load'!$N$14,2)</f>
        <v>0</v>
      </c>
      <c r="I90" s="71">
        <f t="shared" si="35"/>
        <v>0</v>
      </c>
      <c r="J90" s="71">
        <f t="shared" si="36"/>
        <v>0</v>
      </c>
      <c r="K90" s="71">
        <f t="shared" si="37"/>
        <v>0</v>
      </c>
      <c r="L90" s="204">
        <f>ROUND(E90*'Interest Over Collect '!$J$6,2)</f>
        <v>0</v>
      </c>
      <c r="M90" s="71">
        <f t="shared" si="38"/>
        <v>0</v>
      </c>
      <c r="N90" s="92"/>
    </row>
    <row r="91" spans="2:14" s="87" customFormat="1">
      <c r="B91" s="23" t="s">
        <v>201</v>
      </c>
      <c r="C91" s="278">
        <f>0%*0.421</f>
        <v>0</v>
      </c>
      <c r="D91" s="281">
        <f>0%*0.421</f>
        <v>0</v>
      </c>
      <c r="E91" s="279">
        <f t="shared" si="33"/>
        <v>0</v>
      </c>
      <c r="F91" s="280">
        <f t="shared" ref="F91:F110" si="39">ROUND(+E91*F$113,2)</f>
        <v>0</v>
      </c>
      <c r="G91" s="71">
        <f t="shared" si="34"/>
        <v>0</v>
      </c>
      <c r="H91" s="71">
        <f>ROUND(F91*'Actual Load'!$B$9/'Zonal Load'!$N$9,2)</f>
        <v>0</v>
      </c>
      <c r="I91" s="71">
        <f t="shared" si="35"/>
        <v>0</v>
      </c>
      <c r="J91" s="71">
        <f t="shared" si="36"/>
        <v>0</v>
      </c>
      <c r="K91" s="71">
        <f t="shared" si="37"/>
        <v>0</v>
      </c>
      <c r="L91" s="204">
        <f>ROUND(E91*'Interest Over Collect '!$J$6,2)</f>
        <v>0</v>
      </c>
      <c r="M91" s="71">
        <f t="shared" si="38"/>
        <v>0</v>
      </c>
      <c r="N91" s="92"/>
    </row>
    <row r="92" spans="2:14" s="87" customFormat="1">
      <c r="B92" s="140" t="s">
        <v>260</v>
      </c>
      <c r="C92" s="278">
        <f>0%*0.579</f>
        <v>0</v>
      </c>
      <c r="D92" s="281">
        <f>0%*0.579</f>
        <v>0</v>
      </c>
      <c r="E92" s="279">
        <f>C92+D92</f>
        <v>0</v>
      </c>
      <c r="F92" s="280">
        <f t="shared" si="39"/>
        <v>0</v>
      </c>
      <c r="G92" s="71">
        <f>(F$113-F$114)*E92</f>
        <v>0</v>
      </c>
      <c r="H92" s="71">
        <f>ROUND(F92*'Actual Load'!$B$10/'Zonal Load'!$N$10,2)</f>
        <v>0</v>
      </c>
      <c r="I92" s="71">
        <f t="shared" si="35"/>
        <v>0</v>
      </c>
      <c r="J92" s="71">
        <f>I92-F92</f>
        <v>0</v>
      </c>
      <c r="K92" s="71">
        <f>+G92+J92</f>
        <v>0</v>
      </c>
      <c r="L92" s="204">
        <f>ROUND(E92*'Interest Over Collect '!$J$6,2)</f>
        <v>0</v>
      </c>
      <c r="M92" s="71">
        <f>+K92+L92</f>
        <v>0</v>
      </c>
      <c r="N92" s="92"/>
    </row>
    <row r="93" spans="2:14">
      <c r="B93" s="23" t="s">
        <v>18</v>
      </c>
      <c r="C93" s="19">
        <v>0</v>
      </c>
      <c r="D93" s="281">
        <v>0</v>
      </c>
      <c r="E93" s="108">
        <f t="shared" si="33"/>
        <v>0</v>
      </c>
      <c r="F93" s="105">
        <f t="shared" si="39"/>
        <v>0</v>
      </c>
      <c r="G93" s="21">
        <f t="shared" si="34"/>
        <v>0</v>
      </c>
      <c r="H93" s="89">
        <f>ROUND(F93*'Actual Load'!$B$26/'Zonal Load'!$N$26,2)</f>
        <v>0</v>
      </c>
      <c r="I93" s="21">
        <f t="shared" si="35"/>
        <v>0</v>
      </c>
      <c r="J93" s="21">
        <f t="shared" si="36"/>
        <v>0</v>
      </c>
      <c r="K93" s="21">
        <f t="shared" si="37"/>
        <v>0</v>
      </c>
      <c r="L93" s="204">
        <f>ROUND(E93*'Interest Over Collect '!$J$6,2)</f>
        <v>0</v>
      </c>
      <c r="M93" s="21">
        <f t="shared" si="38"/>
        <v>0</v>
      </c>
    </row>
    <row r="94" spans="2:14">
      <c r="B94" s="23" t="s">
        <v>19</v>
      </c>
      <c r="C94" s="19">
        <v>0</v>
      </c>
      <c r="D94" s="20">
        <v>0</v>
      </c>
      <c r="E94" s="108">
        <f t="shared" si="33"/>
        <v>0</v>
      </c>
      <c r="F94" s="105">
        <f t="shared" si="39"/>
        <v>0</v>
      </c>
      <c r="G94" s="21">
        <f t="shared" si="34"/>
        <v>0</v>
      </c>
      <c r="H94" s="89">
        <f>ROUND(F94*'Actual Load'!$B$16/'Zonal Load'!$N$16,2)</f>
        <v>0</v>
      </c>
      <c r="I94" s="21">
        <f t="shared" si="35"/>
        <v>0</v>
      </c>
      <c r="J94" s="21">
        <f t="shared" si="36"/>
        <v>0</v>
      </c>
      <c r="K94" s="21">
        <f t="shared" si="37"/>
        <v>0</v>
      </c>
      <c r="L94" s="204">
        <f>ROUND(E94*'Interest Over Collect '!$J$6,2)</f>
        <v>0</v>
      </c>
      <c r="M94" s="21">
        <f t="shared" si="38"/>
        <v>0</v>
      </c>
    </row>
    <row r="95" spans="2:14">
      <c r="B95" s="23" t="s">
        <v>20</v>
      </c>
      <c r="C95" s="19">
        <v>0</v>
      </c>
      <c r="D95" s="20">
        <v>0</v>
      </c>
      <c r="E95" s="108">
        <f t="shared" si="33"/>
        <v>0</v>
      </c>
      <c r="F95" s="105">
        <f t="shared" si="39"/>
        <v>0</v>
      </c>
      <c r="G95" s="21">
        <f t="shared" si="34"/>
        <v>0</v>
      </c>
      <c r="H95" s="89">
        <f>ROUND(F95*'Actual Load'!$B$22/'Zonal Load'!$N$22,2)</f>
        <v>0</v>
      </c>
      <c r="I95" s="21">
        <f t="shared" si="35"/>
        <v>0</v>
      </c>
      <c r="J95" s="21">
        <f t="shared" si="36"/>
        <v>0</v>
      </c>
      <c r="K95" s="21">
        <f t="shared" si="37"/>
        <v>0</v>
      </c>
      <c r="L95" s="204">
        <f>ROUND(E95*'Interest Over Collect '!$J$6,2)</f>
        <v>0</v>
      </c>
      <c r="M95" s="21">
        <f t="shared" si="38"/>
        <v>0</v>
      </c>
    </row>
    <row r="96" spans="2:14">
      <c r="B96" s="23" t="s">
        <v>21</v>
      </c>
      <c r="C96" s="19">
        <v>0</v>
      </c>
      <c r="D96" s="20">
        <v>0</v>
      </c>
      <c r="E96" s="108">
        <f t="shared" si="33"/>
        <v>0</v>
      </c>
      <c r="F96" s="105">
        <f t="shared" si="39"/>
        <v>0</v>
      </c>
      <c r="G96" s="21">
        <f t="shared" si="34"/>
        <v>0</v>
      </c>
      <c r="H96" s="89">
        <f>ROUND(F96*'Actual Load'!$B$17/'Zonal Load'!$N$17,2)</f>
        <v>0</v>
      </c>
      <c r="I96" s="21">
        <f t="shared" si="35"/>
        <v>0</v>
      </c>
      <c r="J96" s="21">
        <f t="shared" si="36"/>
        <v>0</v>
      </c>
      <c r="K96" s="21">
        <f t="shared" si="37"/>
        <v>0</v>
      </c>
      <c r="L96" s="204">
        <f>ROUND(E96*'Interest Over Collect '!$J$6,2)</f>
        <v>0</v>
      </c>
      <c r="M96" s="21">
        <f t="shared" si="38"/>
        <v>0</v>
      </c>
    </row>
    <row r="97" spans="1:14" s="87" customFormat="1">
      <c r="B97" s="23" t="s">
        <v>22</v>
      </c>
      <c r="C97" s="278">
        <v>0</v>
      </c>
      <c r="D97" s="281">
        <v>0</v>
      </c>
      <c r="E97" s="279">
        <f t="shared" si="33"/>
        <v>0</v>
      </c>
      <c r="F97" s="280">
        <f t="shared" si="39"/>
        <v>0</v>
      </c>
      <c r="G97" s="71">
        <f t="shared" si="34"/>
        <v>0</v>
      </c>
      <c r="H97" s="71">
        <f>ROUND(F97*'Actual Load'!$B$15/'Zonal Load'!$N$15,2)</f>
        <v>0</v>
      </c>
      <c r="I97" s="71">
        <f t="shared" si="35"/>
        <v>0</v>
      </c>
      <c r="J97" s="71">
        <f t="shared" si="36"/>
        <v>0</v>
      </c>
      <c r="K97" s="71">
        <f t="shared" si="37"/>
        <v>0</v>
      </c>
      <c r="L97" s="204">
        <f>ROUND(E97*'Interest Over Collect '!$J$6,2)</f>
        <v>0</v>
      </c>
      <c r="M97" s="71">
        <f>+K97+L97</f>
        <v>0</v>
      </c>
      <c r="N97" s="92"/>
    </row>
    <row r="98" spans="1:14" s="87" customFormat="1">
      <c r="B98" s="23" t="s">
        <v>23</v>
      </c>
      <c r="C98" s="278">
        <v>0</v>
      </c>
      <c r="D98" s="281">
        <v>0</v>
      </c>
      <c r="E98" s="279">
        <f t="shared" si="33"/>
        <v>0</v>
      </c>
      <c r="F98" s="280">
        <f t="shared" si="39"/>
        <v>0</v>
      </c>
      <c r="G98" s="71">
        <f t="shared" si="34"/>
        <v>0</v>
      </c>
      <c r="H98" s="71">
        <f>ROUND(F98*'Actual Load'!$B$4/'Zonal Load'!$N$4,2)</f>
        <v>0</v>
      </c>
      <c r="I98" s="71">
        <f t="shared" si="35"/>
        <v>0</v>
      </c>
      <c r="J98" s="71">
        <f t="shared" si="36"/>
        <v>0</v>
      </c>
      <c r="K98" s="71">
        <f t="shared" si="37"/>
        <v>0</v>
      </c>
      <c r="L98" s="204">
        <f>ROUND(E98*'Interest Over Collect '!$J$6,2)</f>
        <v>0</v>
      </c>
      <c r="M98" s="71">
        <f t="shared" ref="M98:M110" si="40">+K98+L98</f>
        <v>0</v>
      </c>
      <c r="N98" s="92"/>
    </row>
    <row r="99" spans="1:14" s="87" customFormat="1">
      <c r="B99" s="23" t="s">
        <v>24</v>
      </c>
      <c r="C99" s="278">
        <v>0</v>
      </c>
      <c r="D99" s="281">
        <v>0</v>
      </c>
      <c r="E99" s="279">
        <f t="shared" si="33"/>
        <v>0</v>
      </c>
      <c r="F99" s="280">
        <f t="shared" si="39"/>
        <v>0</v>
      </c>
      <c r="G99" s="71">
        <f t="shared" si="34"/>
        <v>0</v>
      </c>
      <c r="H99" s="71">
        <f>ROUND(F99*'Actual Load'!$B$11/'Zonal Load'!$N$11,2)</f>
        <v>0</v>
      </c>
      <c r="I99" s="71">
        <f t="shared" si="35"/>
        <v>0</v>
      </c>
      <c r="J99" s="71">
        <f t="shared" si="36"/>
        <v>0</v>
      </c>
      <c r="K99" s="71">
        <f t="shared" si="37"/>
        <v>0</v>
      </c>
      <c r="L99" s="204">
        <f>ROUND(E99*'Interest Over Collect '!$J$6,2)</f>
        <v>0</v>
      </c>
      <c r="M99" s="71">
        <f t="shared" si="40"/>
        <v>0</v>
      </c>
      <c r="N99" s="92"/>
    </row>
    <row r="100" spans="1:14" s="87" customFormat="1">
      <c r="B100" s="23" t="s">
        <v>25</v>
      </c>
      <c r="C100" s="278">
        <v>0</v>
      </c>
      <c r="D100" s="281">
        <v>0</v>
      </c>
      <c r="E100" s="279">
        <f t="shared" si="33"/>
        <v>0</v>
      </c>
      <c r="F100" s="280">
        <f t="shared" si="39"/>
        <v>0</v>
      </c>
      <c r="G100" s="71">
        <f t="shared" si="34"/>
        <v>0</v>
      </c>
      <c r="H100" s="71">
        <f>ROUND(F100*'Actual Load'!$B$6/'Zonal Load'!$N$6,2)</f>
        <v>0</v>
      </c>
      <c r="I100" s="71">
        <f t="shared" si="35"/>
        <v>0</v>
      </c>
      <c r="J100" s="71">
        <f t="shared" si="36"/>
        <v>0</v>
      </c>
      <c r="K100" s="71">
        <f t="shared" si="37"/>
        <v>0</v>
      </c>
      <c r="L100" s="204">
        <f>ROUND(E100*'Interest Over Collect '!$J$6,2)</f>
        <v>0</v>
      </c>
      <c r="M100" s="71">
        <f t="shared" si="40"/>
        <v>0</v>
      </c>
      <c r="N100" s="92"/>
    </row>
    <row r="101" spans="1:14" s="87" customFormat="1">
      <c r="B101" s="23" t="s">
        <v>26</v>
      </c>
      <c r="C101" s="278">
        <v>0</v>
      </c>
      <c r="D101" s="281">
        <v>0</v>
      </c>
      <c r="E101" s="279">
        <f t="shared" si="33"/>
        <v>0</v>
      </c>
      <c r="F101" s="280">
        <f t="shared" si="39"/>
        <v>0</v>
      </c>
      <c r="G101" s="71">
        <f t="shared" si="34"/>
        <v>0</v>
      </c>
      <c r="H101" s="71">
        <f>ROUND(F101*'Actual Load'!$B$7/'Zonal Load'!$N$7,2)</f>
        <v>0</v>
      </c>
      <c r="I101" s="71">
        <f t="shared" si="35"/>
        <v>0</v>
      </c>
      <c r="J101" s="71">
        <f t="shared" si="36"/>
        <v>0</v>
      </c>
      <c r="K101" s="71">
        <f t="shared" si="37"/>
        <v>0</v>
      </c>
      <c r="L101" s="204">
        <f>ROUND(E101*'Interest Over Collect '!$J$6,2)</f>
        <v>0</v>
      </c>
      <c r="M101" s="71">
        <f t="shared" si="40"/>
        <v>0</v>
      </c>
      <c r="N101" s="92"/>
    </row>
    <row r="102" spans="1:14" s="87" customFormat="1">
      <c r="A102" s="23"/>
      <c r="B102" s="23" t="s">
        <v>27</v>
      </c>
      <c r="C102" s="278">
        <v>0</v>
      </c>
      <c r="D102" s="281">
        <v>0</v>
      </c>
      <c r="E102" s="279">
        <f t="shared" si="33"/>
        <v>0</v>
      </c>
      <c r="F102" s="280">
        <f t="shared" si="39"/>
        <v>0</v>
      </c>
      <c r="G102" s="71">
        <f t="shared" si="34"/>
        <v>0</v>
      </c>
      <c r="H102" s="71">
        <f>ROUND(F102*'Actual Load'!$B$12/'Zonal Load'!$N$12,2)</f>
        <v>0</v>
      </c>
      <c r="I102" s="71">
        <f t="shared" si="35"/>
        <v>0</v>
      </c>
      <c r="J102" s="71">
        <f t="shared" si="36"/>
        <v>0</v>
      </c>
      <c r="K102" s="71">
        <f t="shared" si="37"/>
        <v>0</v>
      </c>
      <c r="L102" s="204">
        <f>ROUND(E102*'Interest Over Collect '!$J$6,2)</f>
        <v>0</v>
      </c>
      <c r="M102" s="71">
        <f t="shared" si="40"/>
        <v>0</v>
      </c>
      <c r="N102" s="92"/>
    </row>
    <row r="103" spans="1:14">
      <c r="A103" s="23"/>
      <c r="B103" s="23" t="s">
        <v>28</v>
      </c>
      <c r="C103" s="19">
        <v>0</v>
      </c>
      <c r="D103" s="20">
        <v>0</v>
      </c>
      <c r="E103" s="108">
        <f t="shared" si="33"/>
        <v>0</v>
      </c>
      <c r="F103" s="105">
        <f t="shared" si="39"/>
        <v>0</v>
      </c>
      <c r="G103" s="21">
        <f t="shared" si="34"/>
        <v>0</v>
      </c>
      <c r="H103" s="89">
        <f>ROUND(F103*'Actual Load'!$B$24/'Zonal Load'!$N$24,2)</f>
        <v>0</v>
      </c>
      <c r="I103" s="21">
        <f t="shared" si="35"/>
        <v>0</v>
      </c>
      <c r="J103" s="21">
        <f t="shared" si="36"/>
        <v>0</v>
      </c>
      <c r="K103" s="21">
        <f t="shared" si="37"/>
        <v>0</v>
      </c>
      <c r="L103" s="204">
        <f>ROUND(E103*'Interest Over Collect '!$J$6,2)</f>
        <v>0</v>
      </c>
      <c r="M103" s="21">
        <f t="shared" si="40"/>
        <v>0</v>
      </c>
    </row>
    <row r="104" spans="1:14">
      <c r="A104" s="23"/>
      <c r="B104" s="23" t="s">
        <v>29</v>
      </c>
      <c r="C104" s="19">
        <v>0</v>
      </c>
      <c r="D104" s="20">
        <v>0</v>
      </c>
      <c r="E104" s="108">
        <f t="shared" si="33"/>
        <v>0</v>
      </c>
      <c r="F104" s="105">
        <f t="shared" si="39"/>
        <v>0</v>
      </c>
      <c r="G104" s="21">
        <f t="shared" si="34"/>
        <v>0</v>
      </c>
      <c r="H104" s="89">
        <f>ROUND(F104*'Actual Load'!$B$5/'Zonal Load'!$N$5,2)</f>
        <v>0</v>
      </c>
      <c r="I104" s="21">
        <f t="shared" si="35"/>
        <v>0</v>
      </c>
      <c r="J104" s="21">
        <f t="shared" si="36"/>
        <v>0</v>
      </c>
      <c r="K104" s="21">
        <f t="shared" si="37"/>
        <v>0</v>
      </c>
      <c r="L104" s="204">
        <f>ROUND(E104*'Interest Over Collect '!$J$6,2)</f>
        <v>0</v>
      </c>
      <c r="M104" s="21">
        <f t="shared" si="40"/>
        <v>0</v>
      </c>
    </row>
    <row r="105" spans="1:14">
      <c r="A105" s="23"/>
      <c r="B105" s="23" t="s">
        <v>30</v>
      </c>
      <c r="C105" s="19">
        <v>0</v>
      </c>
      <c r="D105" s="20">
        <v>1</v>
      </c>
      <c r="E105" s="108">
        <f t="shared" si="33"/>
        <v>1</v>
      </c>
      <c r="F105" s="105">
        <f t="shared" si="39"/>
        <v>532587.37</v>
      </c>
      <c r="G105" s="21">
        <f t="shared" si="34"/>
        <v>19770.900182610087</v>
      </c>
      <c r="H105" s="89">
        <f>ROUND(F105*'Actual Load'!$B$21/'Zonal Load'!$N$21,2)</f>
        <v>543029.62</v>
      </c>
      <c r="I105" s="21">
        <f t="shared" si="35"/>
        <v>556693.19999999995</v>
      </c>
      <c r="J105" s="21">
        <f t="shared" si="36"/>
        <v>24105.829999999958</v>
      </c>
      <c r="K105" s="21">
        <f t="shared" si="37"/>
        <v>43876.730182610045</v>
      </c>
      <c r="L105" s="204">
        <f>ROUND(E105*'Interest Over Collect '!$J$6,2)</f>
        <v>7301.8</v>
      </c>
      <c r="M105" s="21">
        <f t="shared" si="40"/>
        <v>51178.530182610048</v>
      </c>
    </row>
    <row r="106" spans="1:14">
      <c r="A106" s="23"/>
      <c r="B106" s="23" t="s">
        <v>31</v>
      </c>
      <c r="C106" s="19">
        <v>0</v>
      </c>
      <c r="D106" s="20">
        <v>0</v>
      </c>
      <c r="E106" s="108">
        <f t="shared" si="33"/>
        <v>0</v>
      </c>
      <c r="F106" s="105">
        <f t="shared" si="39"/>
        <v>0</v>
      </c>
      <c r="G106" s="21">
        <f t="shared" si="34"/>
        <v>0</v>
      </c>
      <c r="H106" s="89">
        <f>ROUND(F106*'Actual Load'!$B$19/'Zonal Load'!$N$19,2)</f>
        <v>0</v>
      </c>
      <c r="I106" s="21">
        <f t="shared" si="35"/>
        <v>0</v>
      </c>
      <c r="J106" s="21">
        <f t="shared" si="36"/>
        <v>0</v>
      </c>
      <c r="K106" s="21">
        <f t="shared" si="37"/>
        <v>0</v>
      </c>
      <c r="L106" s="204">
        <f>ROUND(E106*'Interest Over Collect '!$J$6,2)</f>
        <v>0</v>
      </c>
      <c r="M106" s="21">
        <f t="shared" si="40"/>
        <v>0</v>
      </c>
    </row>
    <row r="107" spans="1:14">
      <c r="A107" s="23"/>
      <c r="B107" s="23" t="s">
        <v>32</v>
      </c>
      <c r="C107" s="19">
        <v>0</v>
      </c>
      <c r="D107" s="20">
        <v>0</v>
      </c>
      <c r="E107" s="108">
        <f t="shared" si="33"/>
        <v>0</v>
      </c>
      <c r="F107" s="105">
        <f t="shared" si="39"/>
        <v>0</v>
      </c>
      <c r="G107" s="21">
        <f t="shared" si="34"/>
        <v>0</v>
      </c>
      <c r="H107" s="89">
        <f>ROUND(F107*'Actual Load'!$B$25/'Zonal Load'!$N$25,2)</f>
        <v>0</v>
      </c>
      <c r="I107" s="21">
        <f t="shared" si="35"/>
        <v>0</v>
      </c>
      <c r="J107" s="21">
        <f t="shared" si="36"/>
        <v>0</v>
      </c>
      <c r="K107" s="21">
        <f t="shared" si="37"/>
        <v>0</v>
      </c>
      <c r="L107" s="204">
        <f>ROUND(E107*'Interest Over Collect '!$J$6,2)</f>
        <v>0</v>
      </c>
      <c r="M107" s="21">
        <f t="shared" si="40"/>
        <v>0</v>
      </c>
    </row>
    <row r="108" spans="1:14">
      <c r="A108" s="23"/>
      <c r="B108" s="23" t="s">
        <v>33</v>
      </c>
      <c r="C108" s="19">
        <v>0</v>
      </c>
      <c r="D108" s="20">
        <v>0</v>
      </c>
      <c r="E108" s="108">
        <f t="shared" si="33"/>
        <v>0</v>
      </c>
      <c r="F108" s="105">
        <f t="shared" si="39"/>
        <v>0</v>
      </c>
      <c r="G108" s="21">
        <f t="shared" si="34"/>
        <v>0</v>
      </c>
      <c r="H108" s="89">
        <f>ROUND(F108*'Actual Load'!$B$13/'Zonal Load'!$N$13,2)</f>
        <v>0</v>
      </c>
      <c r="I108" s="21">
        <f t="shared" si="35"/>
        <v>0</v>
      </c>
      <c r="J108" s="21">
        <f t="shared" si="36"/>
        <v>0</v>
      </c>
      <c r="K108" s="21">
        <f t="shared" si="37"/>
        <v>0</v>
      </c>
      <c r="L108" s="204">
        <f>ROUND(E108*'Interest Over Collect '!$J$6,2)</f>
        <v>0</v>
      </c>
      <c r="M108" s="21">
        <f t="shared" si="40"/>
        <v>0</v>
      </c>
    </row>
    <row r="109" spans="1:14">
      <c r="A109" s="23"/>
      <c r="B109" s="23" t="s">
        <v>34</v>
      </c>
      <c r="C109" s="19">
        <v>0</v>
      </c>
      <c r="D109" s="20">
        <v>0</v>
      </c>
      <c r="E109" s="108">
        <f t="shared" si="33"/>
        <v>0</v>
      </c>
      <c r="F109" s="105">
        <f t="shared" si="39"/>
        <v>0</v>
      </c>
      <c r="G109" s="21">
        <f t="shared" si="34"/>
        <v>0</v>
      </c>
      <c r="H109" s="89">
        <f>ROUND(F109*'Actual Load'!$B$23/'Zonal Load'!$N$23,2)</f>
        <v>0</v>
      </c>
      <c r="I109" s="21">
        <f t="shared" si="35"/>
        <v>0</v>
      </c>
      <c r="J109" s="21">
        <f t="shared" si="36"/>
        <v>0</v>
      </c>
      <c r="K109" s="21">
        <f t="shared" si="37"/>
        <v>0</v>
      </c>
      <c r="L109" s="204">
        <f>ROUND(E109*'Interest Over Collect '!$J$6,2)</f>
        <v>0</v>
      </c>
      <c r="M109" s="21">
        <f t="shared" si="40"/>
        <v>0</v>
      </c>
    </row>
    <row r="110" spans="1:14">
      <c r="B110" s="24" t="s">
        <v>35</v>
      </c>
      <c r="C110" s="19">
        <v>0</v>
      </c>
      <c r="D110" s="20">
        <v>0</v>
      </c>
      <c r="E110" s="108">
        <f t="shared" si="33"/>
        <v>0</v>
      </c>
      <c r="F110" s="105">
        <f t="shared" si="39"/>
        <v>0</v>
      </c>
      <c r="G110" s="21">
        <f t="shared" si="34"/>
        <v>0</v>
      </c>
      <c r="H110" s="89">
        <f>ROUND(F110*'Actual Load'!$B$20/'Zonal Load'!$N$20,2)</f>
        <v>0</v>
      </c>
      <c r="I110" s="21">
        <f t="shared" si="35"/>
        <v>0</v>
      </c>
      <c r="J110" s="21">
        <f t="shared" si="36"/>
        <v>0</v>
      </c>
      <c r="K110" s="21">
        <f t="shared" si="37"/>
        <v>0</v>
      </c>
      <c r="L110" s="204">
        <f>ROUND(E110*'Interest Over Collect '!$J$6,2)</f>
        <v>0</v>
      </c>
      <c r="M110" s="21">
        <f t="shared" si="40"/>
        <v>0</v>
      </c>
    </row>
    <row r="111" spans="1:14">
      <c r="B111" s="25"/>
      <c r="C111" s="26">
        <f>SUM(C89:C110)</f>
        <v>0</v>
      </c>
      <c r="D111" s="27">
        <f>SUM(D89:D110)</f>
        <v>1</v>
      </c>
      <c r="E111" s="107">
        <f>SUM(E89:E110)</f>
        <v>1</v>
      </c>
      <c r="F111" s="101">
        <f>SUM(F89:F110)</f>
        <v>532587.37</v>
      </c>
      <c r="G111" s="84">
        <f t="shared" ref="G111:M111" si="41">SUM(G89:G110)</f>
        <v>19770.900182610087</v>
      </c>
      <c r="H111" s="146">
        <f t="shared" si="41"/>
        <v>543029.62</v>
      </c>
      <c r="I111" s="85">
        <f t="shared" si="41"/>
        <v>556693.19999999995</v>
      </c>
      <c r="J111" s="85">
        <f t="shared" si="41"/>
        <v>24105.829999999958</v>
      </c>
      <c r="K111" s="163">
        <f t="shared" si="41"/>
        <v>43876.730182610045</v>
      </c>
      <c r="L111" s="85">
        <f t="shared" si="41"/>
        <v>7301.8</v>
      </c>
      <c r="M111" s="85">
        <f t="shared" si="41"/>
        <v>51178.530182610048</v>
      </c>
    </row>
    <row r="112" spans="1:14">
      <c r="G112" s="21"/>
      <c r="I112" s="86"/>
    </row>
    <row r="113" spans="2:14">
      <c r="E113" s="102" t="str">
        <f>$E$73</f>
        <v>2013 Estimated Revenue Requirement</v>
      </c>
      <c r="F113" s="201">
        <v>532587.37058261014</v>
      </c>
      <c r="H113" s="147"/>
      <c r="I113" s="29"/>
      <c r="K113" s="71"/>
      <c r="L113" s="87"/>
    </row>
    <row r="114" spans="2:14">
      <c r="E114" s="103" t="str">
        <f>$E$74</f>
        <v>2013 Rev Requirement Act</v>
      </c>
      <c r="F114" s="202">
        <v>512816.47040000005</v>
      </c>
      <c r="L114" s="87"/>
    </row>
    <row r="115" spans="2:14">
      <c r="E115" s="103" t="str">
        <f>$E$75</f>
        <v>Actual Revenue Booked</v>
      </c>
      <c r="F115" s="210">
        <f>I111</f>
        <v>556693.19999999995</v>
      </c>
      <c r="L115" s="87"/>
    </row>
    <row r="117" spans="2:14">
      <c r="B117" s="88"/>
      <c r="C117" s="88"/>
      <c r="D117" s="88"/>
      <c r="E117" s="88"/>
      <c r="F117" s="88"/>
      <c r="G117" s="88"/>
      <c r="H117" s="88"/>
      <c r="I117" s="88"/>
      <c r="J117" s="119"/>
      <c r="K117" s="88"/>
      <c r="L117" s="88"/>
      <c r="M117" s="88"/>
    </row>
    <row r="119" spans="2:14" ht="15.75" customHeight="1">
      <c r="B119" s="78" t="s">
        <v>0</v>
      </c>
      <c r="C119" s="521" t="s">
        <v>115</v>
      </c>
      <c r="D119" s="522"/>
      <c r="E119" s="522"/>
      <c r="F119" s="522"/>
      <c r="G119" s="522"/>
      <c r="H119" s="523"/>
      <c r="I119" s="1"/>
    </row>
    <row r="120" spans="2:14" ht="15.75" customHeight="1">
      <c r="B120" s="76" t="s">
        <v>2</v>
      </c>
      <c r="C120" s="524" t="s">
        <v>116</v>
      </c>
      <c r="D120" s="525"/>
      <c r="E120" s="525"/>
      <c r="F120" s="525"/>
      <c r="G120" s="525"/>
      <c r="H120" s="526"/>
      <c r="I120" s="1"/>
    </row>
    <row r="121" spans="2:14" ht="15.75" customHeight="1">
      <c r="B121" s="76" t="s">
        <v>4</v>
      </c>
      <c r="C121" s="524" t="s">
        <v>117</v>
      </c>
      <c r="D121" s="525"/>
      <c r="E121" s="525"/>
      <c r="F121" s="525"/>
      <c r="G121" s="525"/>
      <c r="H121" s="526"/>
      <c r="I121" s="1"/>
    </row>
    <row r="122" spans="2:14" ht="15.75" customHeight="1">
      <c r="B122" s="77" t="s">
        <v>6</v>
      </c>
      <c r="C122" s="530" t="s">
        <v>7</v>
      </c>
      <c r="D122" s="531"/>
      <c r="E122" s="531"/>
      <c r="F122" s="531"/>
      <c r="G122" s="531"/>
      <c r="H122" s="532"/>
      <c r="I122" s="1"/>
    </row>
    <row r="123" spans="2:14">
      <c r="B123" s="82"/>
      <c r="C123" s="82"/>
      <c r="D123" s="82"/>
      <c r="E123" s="82"/>
      <c r="F123" s="82"/>
      <c r="J123" s="113" t="s">
        <v>163</v>
      </c>
      <c r="K123" s="3" t="s">
        <v>42</v>
      </c>
      <c r="M123" s="3" t="s">
        <v>56</v>
      </c>
    </row>
    <row r="124" spans="2:14">
      <c r="B124" s="82"/>
      <c r="C124" s="82"/>
      <c r="D124" s="82"/>
      <c r="E124" s="82"/>
      <c r="F124" s="82"/>
      <c r="G124" s="3" t="s">
        <v>39</v>
      </c>
      <c r="H124" s="142" t="s">
        <v>40</v>
      </c>
      <c r="I124" s="104" t="s">
        <v>41</v>
      </c>
      <c r="J124" s="114" t="s">
        <v>164</v>
      </c>
      <c r="K124" s="4" t="s">
        <v>165</v>
      </c>
      <c r="L124" s="4" t="s">
        <v>55</v>
      </c>
      <c r="M124" s="4" t="s">
        <v>166</v>
      </c>
      <c r="N124" s="233"/>
    </row>
    <row r="125" spans="2:14">
      <c r="B125" s="82"/>
      <c r="C125" s="82"/>
      <c r="D125" s="82"/>
      <c r="E125" s="82"/>
      <c r="F125" s="82"/>
      <c r="G125" s="5"/>
      <c r="H125" s="527" t="s">
        <v>43</v>
      </c>
      <c r="I125" s="528"/>
      <c r="J125" s="529"/>
      <c r="K125" s="6" t="s">
        <v>44</v>
      </c>
      <c r="L125" s="5"/>
      <c r="M125" s="6" t="s">
        <v>45</v>
      </c>
      <c r="N125" s="233"/>
    </row>
    <row r="126" spans="2:14">
      <c r="B126" s="83"/>
      <c r="C126" s="7">
        <v>0.2</v>
      </c>
      <c r="D126" s="7">
        <v>0.8</v>
      </c>
      <c r="E126" s="7"/>
      <c r="F126" s="98" t="s">
        <v>162</v>
      </c>
      <c r="G126" s="8" t="s">
        <v>46</v>
      </c>
      <c r="H126" s="143"/>
      <c r="I126" s="5"/>
      <c r="J126" s="115" t="s">
        <v>47</v>
      </c>
      <c r="K126" s="8" t="s">
        <v>48</v>
      </c>
      <c r="L126" s="9"/>
      <c r="M126" s="8" t="s">
        <v>49</v>
      </c>
    </row>
    <row r="127" spans="2:14">
      <c r="B127" s="10"/>
      <c r="C127" s="75" t="s">
        <v>9</v>
      </c>
      <c r="D127" s="75" t="s">
        <v>10</v>
      </c>
      <c r="E127" s="75" t="s">
        <v>11</v>
      </c>
      <c r="F127" s="99" t="s">
        <v>8</v>
      </c>
      <c r="G127" s="11" t="s">
        <v>50</v>
      </c>
      <c r="H127" s="144" t="s">
        <v>51</v>
      </c>
      <c r="I127" s="12" t="s">
        <v>159</v>
      </c>
      <c r="J127" s="116" t="s">
        <v>50</v>
      </c>
      <c r="K127" s="12" t="s">
        <v>50</v>
      </c>
      <c r="L127" s="12" t="s">
        <v>52</v>
      </c>
      <c r="M127" s="12" t="s">
        <v>53</v>
      </c>
    </row>
    <row r="128" spans="2:14" ht="31.5">
      <c r="B128" s="13" t="s">
        <v>13</v>
      </c>
      <c r="C128" s="14" t="s">
        <v>14</v>
      </c>
      <c r="D128" s="14" t="s">
        <v>14</v>
      </c>
      <c r="E128" s="15" t="s">
        <v>14</v>
      </c>
      <c r="F128" s="100" t="s">
        <v>15</v>
      </c>
      <c r="G128" s="16" t="s">
        <v>54</v>
      </c>
      <c r="H128" s="145"/>
      <c r="I128" s="17"/>
      <c r="J128" s="117" t="s">
        <v>54</v>
      </c>
      <c r="K128" s="17"/>
      <c r="L128" s="17"/>
      <c r="M128" s="16" t="s">
        <v>54</v>
      </c>
    </row>
    <row r="129" spans="1:14" s="87" customFormat="1">
      <c r="B129" s="18" t="s">
        <v>16</v>
      </c>
      <c r="C129" s="281">
        <f>0.011821133757974%*2</f>
        <v>2.3642267515948002E-4</v>
      </c>
      <c r="D129" s="281">
        <v>0</v>
      </c>
      <c r="E129" s="279">
        <f t="shared" ref="E129:E150" si="42">C129+D129</f>
        <v>2.3642267515948002E-4</v>
      </c>
      <c r="F129" s="282">
        <f>ROUND(+E129*F$153,2)</f>
        <v>167.32</v>
      </c>
      <c r="G129" s="71">
        <f t="shared" ref="G129:G150" si="43">(F$153-F$154)*E129</f>
        <v>6.1550839915809332</v>
      </c>
      <c r="H129" s="71">
        <f>ROUND(F129*'Actual Load'!$B$8/'Zonal Load'!$N$8,2)</f>
        <v>167.32</v>
      </c>
      <c r="I129" s="71">
        <f t="shared" ref="I129:I150" si="44">ROUND((H129*$H$708)/$H$706,2)</f>
        <v>171.53</v>
      </c>
      <c r="J129" s="71">
        <f t="shared" ref="J129:J150" si="45">I129-F129</f>
        <v>4.210000000000008</v>
      </c>
      <c r="K129" s="71">
        <f t="shared" ref="K129:K150" si="46">+G129+J129</f>
        <v>10.365083991580942</v>
      </c>
      <c r="L129" s="204">
        <f>ROUND(E129*'Interest Over Collect '!$J$7,2)</f>
        <v>2.29</v>
      </c>
      <c r="M129" s="71">
        <f t="shared" ref="M129:M136" si="47">+K129+L129</f>
        <v>12.655083991580941</v>
      </c>
      <c r="N129" s="92"/>
    </row>
    <row r="130" spans="1:14" s="87" customFormat="1">
      <c r="B130" s="23" t="s">
        <v>17</v>
      </c>
      <c r="C130" s="281">
        <f>0.000617840076840076%*2</f>
        <v>1.2356801536801521E-5</v>
      </c>
      <c r="D130" s="281">
        <v>0</v>
      </c>
      <c r="E130" s="279">
        <f t="shared" si="42"/>
        <v>1.2356801536801521E-5</v>
      </c>
      <c r="F130" s="280">
        <f>ROUND(+E130*F$153,2)</f>
        <v>8.75</v>
      </c>
      <c r="G130" s="71">
        <f t="shared" si="43"/>
        <v>0.3216999015640315</v>
      </c>
      <c r="H130" s="71">
        <f>ROUND(F130*'Actual Load'!$B$14/'Zonal Load'!$N$14,2)</f>
        <v>9.01</v>
      </c>
      <c r="I130" s="71">
        <f t="shared" si="44"/>
        <v>9.24</v>
      </c>
      <c r="J130" s="71">
        <f t="shared" si="45"/>
        <v>0.49000000000000021</v>
      </c>
      <c r="K130" s="71">
        <f t="shared" si="46"/>
        <v>0.81169990156403171</v>
      </c>
      <c r="L130" s="204">
        <f>ROUND(E130*'Interest Over Collect '!$J$7,2)</f>
        <v>0.12</v>
      </c>
      <c r="M130" s="71">
        <f t="shared" si="47"/>
        <v>0.93169990156403171</v>
      </c>
      <c r="N130" s="92"/>
    </row>
    <row r="131" spans="1:14" s="87" customFormat="1">
      <c r="B131" s="23" t="s">
        <v>201</v>
      </c>
      <c r="C131" s="281">
        <f>(0.0107846485010274%*2)*0.421</f>
        <v>9.0806740378650692E-5</v>
      </c>
      <c r="D131" s="281">
        <f>0%*0.421</f>
        <v>0</v>
      </c>
      <c r="E131" s="279">
        <f t="shared" si="42"/>
        <v>9.0806740378650692E-5</v>
      </c>
      <c r="F131" s="280">
        <f t="shared" ref="F131:F150" si="48">ROUND(+E131*F$153,2)</f>
        <v>64.27</v>
      </c>
      <c r="G131" s="71">
        <f t="shared" si="43"/>
        <v>2.3640842133913536</v>
      </c>
      <c r="H131" s="71">
        <f>ROUND(F131*'Actual Load'!$B$9/'Zonal Load'!$N$9,2)</f>
        <v>64.27</v>
      </c>
      <c r="I131" s="71">
        <f t="shared" si="44"/>
        <v>65.89</v>
      </c>
      <c r="J131" s="71">
        <f t="shared" si="45"/>
        <v>1.6200000000000045</v>
      </c>
      <c r="K131" s="71">
        <f t="shared" si="46"/>
        <v>3.9840842133913581</v>
      </c>
      <c r="L131" s="204">
        <f>ROUND(E131*'Interest Over Collect '!$J$7,2)</f>
        <v>0.88</v>
      </c>
      <c r="M131" s="71">
        <f t="shared" si="47"/>
        <v>4.864084213391358</v>
      </c>
      <c r="N131" s="92"/>
    </row>
    <row r="132" spans="1:14" s="87" customFormat="1">
      <c r="B132" s="140" t="s">
        <v>260</v>
      </c>
      <c r="C132" s="281">
        <f>(0.0107846485010274%*2)*0.579</f>
        <v>1.2488622964189726E-4</v>
      </c>
      <c r="D132" s="281">
        <f>0%*0.579</f>
        <v>0</v>
      </c>
      <c r="E132" s="279">
        <f>C132+D132</f>
        <v>1.2488622964189726E-4</v>
      </c>
      <c r="F132" s="280">
        <f t="shared" si="48"/>
        <v>88.38</v>
      </c>
      <c r="G132" s="71">
        <f>(F$153-F$154)*E132</f>
        <v>3.2513177186546169</v>
      </c>
      <c r="H132" s="71">
        <f>ROUND(F132*'Actual Load'!$B$10/'Zonal Load'!$N$10,2)</f>
        <v>90.55</v>
      </c>
      <c r="I132" s="71">
        <f t="shared" si="44"/>
        <v>92.83</v>
      </c>
      <c r="J132" s="71">
        <f>I132-F132</f>
        <v>4.4500000000000028</v>
      </c>
      <c r="K132" s="71">
        <f>+G132+J132</f>
        <v>7.7013177186546198</v>
      </c>
      <c r="L132" s="204">
        <f>ROUND(E132*'Interest Over Collect '!$J$7,2)</f>
        <v>1.21</v>
      </c>
      <c r="M132" s="71">
        <f>+K132+L132</f>
        <v>8.9113177186546189</v>
      </c>
      <c r="N132" s="92"/>
    </row>
    <row r="133" spans="1:14" s="87" customFormat="1">
      <c r="B133" s="23" t="s">
        <v>18</v>
      </c>
      <c r="C133" s="281">
        <f>0.00111095238254239%*2</f>
        <v>2.2219047650847801E-5</v>
      </c>
      <c r="D133" s="281">
        <v>0</v>
      </c>
      <c r="E133" s="279">
        <f t="shared" si="42"/>
        <v>2.2219047650847801E-5</v>
      </c>
      <c r="F133" s="280">
        <f t="shared" si="48"/>
        <v>15.72</v>
      </c>
      <c r="G133" s="71">
        <f t="shared" si="43"/>
        <v>0.57845595568045693</v>
      </c>
      <c r="H133" s="71">
        <f>ROUND(F133*'Actual Load'!$B$26/'Zonal Load'!$N$26,2)</f>
        <v>15.4</v>
      </c>
      <c r="I133" s="71">
        <f t="shared" si="44"/>
        <v>15.79</v>
      </c>
      <c r="J133" s="71">
        <f t="shared" si="45"/>
        <v>6.9999999999998508E-2</v>
      </c>
      <c r="K133" s="71">
        <f t="shared" si="46"/>
        <v>0.64845595568045544</v>
      </c>
      <c r="L133" s="204">
        <f>ROUND(E133*'Interest Over Collect '!$J$7,2)</f>
        <v>0.22</v>
      </c>
      <c r="M133" s="71">
        <f t="shared" si="47"/>
        <v>0.86845595568045542</v>
      </c>
      <c r="N133" s="92"/>
    </row>
    <row r="134" spans="1:14" s="87" customFormat="1">
      <c r="B134" s="23" t="s">
        <v>19</v>
      </c>
      <c r="C134" s="281">
        <f>0.00278170302754758%*2</f>
        <v>5.5634060550951598E-5</v>
      </c>
      <c r="D134" s="281">
        <v>0</v>
      </c>
      <c r="E134" s="279">
        <f t="shared" si="42"/>
        <v>5.5634060550951598E-5</v>
      </c>
      <c r="F134" s="280">
        <f t="shared" si="48"/>
        <v>39.369999999999997</v>
      </c>
      <c r="G134" s="71">
        <f t="shared" si="43"/>
        <v>1.4483903257283472</v>
      </c>
      <c r="H134" s="71">
        <f>ROUND(F134*'Actual Load'!$B$16/'Zonal Load'!$N$16,2)</f>
        <v>40.119999999999997</v>
      </c>
      <c r="I134" s="71">
        <f t="shared" si="44"/>
        <v>41.13</v>
      </c>
      <c r="J134" s="71">
        <f t="shared" si="45"/>
        <v>1.7600000000000051</v>
      </c>
      <c r="K134" s="71">
        <f t="shared" si="46"/>
        <v>3.2083903257283524</v>
      </c>
      <c r="L134" s="204">
        <f>ROUND(E134*'Interest Over Collect '!$J$7,2)</f>
        <v>0.54</v>
      </c>
      <c r="M134" s="71">
        <f t="shared" si="47"/>
        <v>3.7483903257283524</v>
      </c>
      <c r="N134" s="92"/>
    </row>
    <row r="135" spans="1:14" s="87" customFormat="1">
      <c r="B135" s="23" t="s">
        <v>20</v>
      </c>
      <c r="C135" s="281">
        <f>0.00309053986609718%*2</f>
        <v>6.1810797321943596E-5</v>
      </c>
      <c r="D135" s="281">
        <v>0</v>
      </c>
      <c r="E135" s="279">
        <f t="shared" si="42"/>
        <v>6.1810797321943596E-5</v>
      </c>
      <c r="F135" s="280">
        <f t="shared" si="48"/>
        <v>43.74</v>
      </c>
      <c r="G135" s="71">
        <f t="shared" si="43"/>
        <v>1.6091969556072145</v>
      </c>
      <c r="H135" s="71">
        <f>ROUND(F135*'Actual Load'!$B$22/'Zonal Load'!$N$22,2)</f>
        <v>45.18</v>
      </c>
      <c r="I135" s="71">
        <f t="shared" si="44"/>
        <v>46.32</v>
      </c>
      <c r="J135" s="71">
        <f t="shared" si="45"/>
        <v>2.5799999999999983</v>
      </c>
      <c r="K135" s="71">
        <f t="shared" si="46"/>
        <v>4.1891969556072128</v>
      </c>
      <c r="L135" s="204">
        <f>ROUND(E135*'Interest Over Collect '!$J$7,2)</f>
        <v>0.6</v>
      </c>
      <c r="M135" s="71">
        <f t="shared" si="47"/>
        <v>4.7891969556072125</v>
      </c>
      <c r="N135" s="92"/>
    </row>
    <row r="136" spans="1:14" s="87" customFormat="1">
      <c r="B136" s="23" t="s">
        <v>21</v>
      </c>
      <c r="C136" s="281">
        <f>0.007689504908766%*2</f>
        <v>1.5379009817531998E-4</v>
      </c>
      <c r="D136" s="281">
        <v>0</v>
      </c>
      <c r="E136" s="279">
        <f t="shared" si="42"/>
        <v>1.5379009817531998E-4</v>
      </c>
      <c r="F136" s="280">
        <f t="shared" si="48"/>
        <v>108.84</v>
      </c>
      <c r="G136" s="71">
        <f t="shared" si="43"/>
        <v>4.0038078864645481</v>
      </c>
      <c r="H136" s="71">
        <f>ROUND(F136*'Actual Load'!$B$17/'Zonal Load'!$N$17,2)</f>
        <v>109.72</v>
      </c>
      <c r="I136" s="71">
        <f t="shared" si="44"/>
        <v>112.48</v>
      </c>
      <c r="J136" s="71">
        <f t="shared" si="45"/>
        <v>3.6400000000000006</v>
      </c>
      <c r="K136" s="71">
        <f t="shared" si="46"/>
        <v>7.6438078864645487</v>
      </c>
      <c r="L136" s="204">
        <f>ROUND(E136*'Interest Over Collect '!$J$7,2)</f>
        <v>1.49</v>
      </c>
      <c r="M136" s="71">
        <f t="shared" si="47"/>
        <v>9.1338078864645489</v>
      </c>
      <c r="N136" s="92"/>
    </row>
    <row r="137" spans="1:14" s="87" customFormat="1">
      <c r="B137" s="23" t="s">
        <v>22</v>
      </c>
      <c r="C137" s="281">
        <f>0.0100941972679958%*2</f>
        <v>2.0188394535991601E-4</v>
      </c>
      <c r="D137" s="281">
        <v>0</v>
      </c>
      <c r="E137" s="279">
        <f t="shared" si="42"/>
        <v>2.0188394535991601E-4</v>
      </c>
      <c r="F137" s="280">
        <f t="shared" si="48"/>
        <v>142.88</v>
      </c>
      <c r="G137" s="71">
        <f t="shared" si="43"/>
        <v>5.255894509288539</v>
      </c>
      <c r="H137" s="71">
        <f>ROUND(F137*'Actual Load'!$B$15/'Zonal Load'!$N$15,2)</f>
        <v>142.88</v>
      </c>
      <c r="I137" s="71">
        <f t="shared" si="44"/>
        <v>146.47999999999999</v>
      </c>
      <c r="J137" s="71">
        <f t="shared" si="45"/>
        <v>3.5999999999999943</v>
      </c>
      <c r="K137" s="71">
        <f t="shared" si="46"/>
        <v>8.8558945092885324</v>
      </c>
      <c r="L137" s="204">
        <f>ROUND(E137*'Interest Over Collect '!$J$7,2)</f>
        <v>1.96</v>
      </c>
      <c r="M137" s="71">
        <f>+K137+L137</f>
        <v>10.815894509288533</v>
      </c>
      <c r="N137" s="92"/>
    </row>
    <row r="138" spans="1:14" s="87" customFormat="1">
      <c r="B138" s="23" t="s">
        <v>23</v>
      </c>
      <c r="C138" s="281">
        <f>0.00317585938669022%*2</f>
        <v>6.3517187733804395E-5</v>
      </c>
      <c r="D138" s="281">
        <v>0</v>
      </c>
      <c r="E138" s="279">
        <f t="shared" si="42"/>
        <v>6.3517187733804395E-5</v>
      </c>
      <c r="F138" s="280">
        <f t="shared" si="48"/>
        <v>44.95</v>
      </c>
      <c r="G138" s="71">
        <f t="shared" si="43"/>
        <v>1.6536215282517239</v>
      </c>
      <c r="H138" s="71">
        <f>ROUND(F138*'Actual Load'!$B$4/'Zonal Load'!$N$4,2)</f>
        <v>45.13</v>
      </c>
      <c r="I138" s="71">
        <f t="shared" si="44"/>
        <v>46.27</v>
      </c>
      <c r="J138" s="71">
        <f t="shared" si="45"/>
        <v>1.3200000000000003</v>
      </c>
      <c r="K138" s="71">
        <f t="shared" si="46"/>
        <v>2.9736215282517242</v>
      </c>
      <c r="L138" s="204">
        <f>ROUND(E138*'Interest Over Collect '!$J$7,2)</f>
        <v>0.62</v>
      </c>
      <c r="M138" s="71">
        <f t="shared" ref="M138:M150" si="49">+K138+L138</f>
        <v>3.5936215282517243</v>
      </c>
      <c r="N138" s="92"/>
    </row>
    <row r="139" spans="1:14" s="87" customFormat="1">
      <c r="B139" s="23" t="s">
        <v>24</v>
      </c>
      <c r="C139" s="281">
        <f>0.00022366718416561%*2</f>
        <v>4.4733436833121996E-6</v>
      </c>
      <c r="D139" s="281">
        <v>0</v>
      </c>
      <c r="E139" s="279">
        <f t="shared" si="42"/>
        <v>4.4733436833121996E-6</v>
      </c>
      <c r="F139" s="280">
        <f t="shared" si="48"/>
        <v>3.17</v>
      </c>
      <c r="G139" s="71">
        <f t="shared" si="43"/>
        <v>0.11646009028288658</v>
      </c>
      <c r="H139" s="71">
        <f>ROUND(F139*'Actual Load'!$B$11/'Zonal Load'!$N$11,2)</f>
        <v>3.16</v>
      </c>
      <c r="I139" s="71">
        <f t="shared" si="44"/>
        <v>3.24</v>
      </c>
      <c r="J139" s="71">
        <f t="shared" si="45"/>
        <v>7.0000000000000284E-2</v>
      </c>
      <c r="K139" s="71">
        <f t="shared" si="46"/>
        <v>0.18646009028288685</v>
      </c>
      <c r="L139" s="204">
        <f>ROUND(E139*'Interest Over Collect '!$J$7,2)</f>
        <v>0.04</v>
      </c>
      <c r="M139" s="71">
        <f t="shared" si="49"/>
        <v>0.22646009028288686</v>
      </c>
      <c r="N139" s="92"/>
    </row>
    <row r="140" spans="1:14" s="87" customFormat="1">
      <c r="B140" s="23" t="s">
        <v>25</v>
      </c>
      <c r="C140" s="281">
        <f>0.00758599886735162%*2</f>
        <v>1.5171997734703241E-4</v>
      </c>
      <c r="D140" s="281">
        <v>0</v>
      </c>
      <c r="E140" s="279">
        <f t="shared" si="42"/>
        <v>1.5171997734703241E-4</v>
      </c>
      <c r="F140" s="280">
        <f t="shared" si="48"/>
        <v>107.37</v>
      </c>
      <c r="G140" s="71">
        <f t="shared" si="43"/>
        <v>3.9499138699018981</v>
      </c>
      <c r="H140" s="71">
        <f>ROUND(F140*'Actual Load'!$B$6/'Zonal Load'!$N$6,2)</f>
        <v>108.03</v>
      </c>
      <c r="I140" s="71">
        <f t="shared" si="44"/>
        <v>110.75</v>
      </c>
      <c r="J140" s="71">
        <f t="shared" si="45"/>
        <v>3.3799999999999955</v>
      </c>
      <c r="K140" s="71">
        <f t="shared" si="46"/>
        <v>7.329913869901894</v>
      </c>
      <c r="L140" s="204">
        <f>ROUND(E140*'Interest Over Collect '!$J$7,2)</f>
        <v>1.47</v>
      </c>
      <c r="M140" s="71">
        <f t="shared" si="49"/>
        <v>8.7999138699018946</v>
      </c>
      <c r="N140" s="92"/>
    </row>
    <row r="141" spans="1:14" s="87" customFormat="1">
      <c r="B141" s="23" t="s">
        <v>26</v>
      </c>
      <c r="C141" s="281">
        <f>0.00748513685298871%*2</f>
        <v>1.497027370597742E-4</v>
      </c>
      <c r="D141" s="281">
        <v>0</v>
      </c>
      <c r="E141" s="279">
        <f t="shared" si="42"/>
        <v>1.497027370597742E-4</v>
      </c>
      <c r="F141" s="280">
        <f t="shared" si="48"/>
        <v>105.95</v>
      </c>
      <c r="G141" s="71">
        <f t="shared" si="43"/>
        <v>3.8973965578847674</v>
      </c>
      <c r="H141" s="71">
        <f>ROUND(F141*'Actual Load'!$B$7/'Zonal Load'!$N$7,2)</f>
        <v>106.02</v>
      </c>
      <c r="I141" s="71">
        <f t="shared" si="44"/>
        <v>108.69</v>
      </c>
      <c r="J141" s="71">
        <f t="shared" si="45"/>
        <v>2.7399999999999949</v>
      </c>
      <c r="K141" s="71">
        <f t="shared" si="46"/>
        <v>6.6373965578847622</v>
      </c>
      <c r="L141" s="204">
        <f>ROUND(E141*'Interest Over Collect '!$J$7,2)</f>
        <v>1.45</v>
      </c>
      <c r="M141" s="71">
        <f t="shared" si="49"/>
        <v>8.0873965578847624</v>
      </c>
      <c r="N141" s="92"/>
    </row>
    <row r="142" spans="1:14" s="87" customFormat="1">
      <c r="A142" s="23"/>
      <c r="B142" s="23" t="s">
        <v>27</v>
      </c>
      <c r="C142" s="281">
        <f>0.000351168284317986%*2</f>
        <v>7.0233656863597203E-6</v>
      </c>
      <c r="D142" s="281">
        <v>0</v>
      </c>
      <c r="E142" s="279">
        <f t="shared" si="42"/>
        <v>7.0233656863597203E-6</v>
      </c>
      <c r="F142" s="280">
        <f t="shared" si="48"/>
        <v>4.97</v>
      </c>
      <c r="G142" s="71">
        <f t="shared" si="43"/>
        <v>0.1828479678354496</v>
      </c>
      <c r="H142" s="71">
        <f>ROUND(F142*'Actual Load'!$B$12/'Zonal Load'!$N$12,2)</f>
        <v>4.95</v>
      </c>
      <c r="I142" s="71">
        <f t="shared" si="44"/>
        <v>5.07</v>
      </c>
      <c r="J142" s="71">
        <f t="shared" si="45"/>
        <v>0.10000000000000053</v>
      </c>
      <c r="K142" s="71">
        <f t="shared" si="46"/>
        <v>0.28284796783545013</v>
      </c>
      <c r="L142" s="204">
        <f>ROUND(E142*'Interest Over Collect '!$J$7,2)</f>
        <v>7.0000000000000007E-2</v>
      </c>
      <c r="M142" s="71">
        <f t="shared" si="49"/>
        <v>0.35284796783545014</v>
      </c>
      <c r="N142" s="92"/>
    </row>
    <row r="143" spans="1:14" s="87" customFormat="1">
      <c r="A143" s="23"/>
      <c r="B143" s="23" t="s">
        <v>28</v>
      </c>
      <c r="C143" s="281">
        <f>0.000370617604680213%*2</f>
        <v>7.4123520936042607E-6</v>
      </c>
      <c r="D143" s="281">
        <v>0</v>
      </c>
      <c r="E143" s="279">
        <f t="shared" si="42"/>
        <v>7.4123520936042607E-6</v>
      </c>
      <c r="F143" s="280">
        <f t="shared" si="48"/>
        <v>5.25</v>
      </c>
      <c r="G143" s="71">
        <f t="shared" si="43"/>
        <v>0.19297493220787454</v>
      </c>
      <c r="H143" s="71">
        <f>ROUND(F143*'Actual Load'!$B$24/'Zonal Load'!$N$24,2)</f>
        <v>6.17</v>
      </c>
      <c r="I143" s="71">
        <f t="shared" si="44"/>
        <v>6.33</v>
      </c>
      <c r="J143" s="71">
        <f t="shared" si="45"/>
        <v>1.08</v>
      </c>
      <c r="K143" s="71">
        <f t="shared" si="46"/>
        <v>1.2729749322078745</v>
      </c>
      <c r="L143" s="204">
        <f>ROUND(E143*'Interest Over Collect '!$J$7,2)</f>
        <v>7.0000000000000007E-2</v>
      </c>
      <c r="M143" s="71">
        <f t="shared" si="49"/>
        <v>1.3429749322078746</v>
      </c>
      <c r="N143" s="92"/>
    </row>
    <row r="144" spans="1:14" s="87" customFormat="1">
      <c r="A144" s="23"/>
      <c r="B144" s="23" t="s">
        <v>29</v>
      </c>
      <c r="C144" s="281">
        <f>0.0112768499302261%*2</f>
        <v>2.2553699860452199E-4</v>
      </c>
      <c r="D144" s="281">
        <v>0</v>
      </c>
      <c r="E144" s="279">
        <f t="shared" si="42"/>
        <v>2.2553699860452199E-4</v>
      </c>
      <c r="F144" s="280">
        <f t="shared" si="48"/>
        <v>159.62</v>
      </c>
      <c r="G144" s="71">
        <f t="shared" si="43"/>
        <v>5.8716837066642968</v>
      </c>
      <c r="H144" s="71">
        <f>ROUND(F144*'Actual Load'!$B$5/'Zonal Load'!$N$5,2)</f>
        <v>174.47</v>
      </c>
      <c r="I144" s="71">
        <f t="shared" si="44"/>
        <v>178.86</v>
      </c>
      <c r="J144" s="71">
        <f t="shared" si="45"/>
        <v>19.240000000000009</v>
      </c>
      <c r="K144" s="71">
        <f t="shared" si="46"/>
        <v>25.111683706664305</v>
      </c>
      <c r="L144" s="204">
        <f>ROUND(E144*'Interest Over Collect '!$J$7,2)</f>
        <v>2.19</v>
      </c>
      <c r="M144" s="71">
        <f t="shared" si="49"/>
        <v>27.301683706664306</v>
      </c>
      <c r="N144" s="92"/>
    </row>
    <row r="145" spans="1:14" s="87" customFormat="1">
      <c r="A145" s="23"/>
      <c r="B145" s="23" t="s">
        <v>30</v>
      </c>
      <c r="C145" s="281">
        <f>0.00848913654918854%*2</f>
        <v>1.697827309837708E-4</v>
      </c>
      <c r="D145" s="281">
        <f>49.9085239803374%*2</f>
        <v>0.99817047960674798</v>
      </c>
      <c r="E145" s="279">
        <f t="shared" si="42"/>
        <v>0.99834026233773177</v>
      </c>
      <c r="F145" s="280">
        <f t="shared" si="48"/>
        <v>706541.74</v>
      </c>
      <c r="G145" s="71">
        <f t="shared" si="43"/>
        <v>25991.027141202227</v>
      </c>
      <c r="H145" s="71">
        <f>ROUND(F145*'Actual Load'!$B$21/'Zonal Load'!$N$21,2)</f>
        <v>720394.65</v>
      </c>
      <c r="I145" s="71">
        <f t="shared" si="44"/>
        <v>738521.05</v>
      </c>
      <c r="J145" s="71">
        <f t="shared" si="45"/>
        <v>31979.310000000056</v>
      </c>
      <c r="K145" s="71">
        <f t="shared" si="46"/>
        <v>57970.337141202283</v>
      </c>
      <c r="L145" s="204">
        <f>ROUND(E145*'Interest Over Collect '!$J$7,2)</f>
        <v>9686.73</v>
      </c>
      <c r="M145" s="71">
        <f t="shared" si="49"/>
        <v>67657.067141202278</v>
      </c>
      <c r="N145" s="92"/>
    </row>
    <row r="146" spans="1:14">
      <c r="A146" s="23"/>
      <c r="B146" s="23" t="s">
        <v>31</v>
      </c>
      <c r="C146" s="20">
        <f>0.00181623984528443%*2</f>
        <v>3.6324796905688601E-5</v>
      </c>
      <c r="D146" s="20">
        <v>0</v>
      </c>
      <c r="E146" s="108">
        <f t="shared" si="42"/>
        <v>3.6324796905688601E-5</v>
      </c>
      <c r="F146" s="105">
        <f t="shared" si="48"/>
        <v>25.71</v>
      </c>
      <c r="G146" s="71">
        <f t="shared" si="43"/>
        <v>0.94568837689030516</v>
      </c>
      <c r="H146" s="89">
        <f>ROUND(F146*'Actual Load'!$B$19/'Zonal Load'!$N$19,2)</f>
        <v>23.51</v>
      </c>
      <c r="I146" s="21">
        <f t="shared" si="44"/>
        <v>24.1</v>
      </c>
      <c r="J146" s="71">
        <f t="shared" si="45"/>
        <v>-1.6099999999999994</v>
      </c>
      <c r="K146" s="71">
        <f t="shared" si="46"/>
        <v>-0.66431162310969427</v>
      </c>
      <c r="L146" s="204">
        <f>ROUND(E146*'Interest Over Collect '!$J$7,2)</f>
        <v>0.35</v>
      </c>
      <c r="M146" s="89">
        <f t="shared" si="49"/>
        <v>-0.31431162310969429</v>
      </c>
    </row>
    <row r="147" spans="1:14">
      <c r="A147" s="23"/>
      <c r="B147" s="23" t="s">
        <v>32</v>
      </c>
      <c r="C147" s="20">
        <f>0.000276288400923413%*2</f>
        <v>5.5257680184682596E-6</v>
      </c>
      <c r="D147" s="20">
        <v>0</v>
      </c>
      <c r="E147" s="108">
        <f t="shared" si="42"/>
        <v>5.5257680184682596E-6</v>
      </c>
      <c r="F147" s="105">
        <f t="shared" si="48"/>
        <v>3.91</v>
      </c>
      <c r="G147" s="71">
        <f t="shared" si="43"/>
        <v>0.14385915500161403</v>
      </c>
      <c r="H147" s="89">
        <f>ROUND(F147*'Actual Load'!$B$25/'Zonal Load'!$N$25,2)</f>
        <v>3.88</v>
      </c>
      <c r="I147" s="21">
        <f t="shared" si="44"/>
        <v>3.98</v>
      </c>
      <c r="J147" s="71">
        <f t="shared" si="45"/>
        <v>6.999999999999984E-2</v>
      </c>
      <c r="K147" s="71">
        <f t="shared" si="46"/>
        <v>0.21385915500161387</v>
      </c>
      <c r="L147" s="204">
        <f>ROUND(E147*'Interest Over Collect '!$J$7,2)</f>
        <v>0.05</v>
      </c>
      <c r="M147" s="89">
        <f t="shared" si="49"/>
        <v>0.26385915500161389</v>
      </c>
    </row>
    <row r="148" spans="1:14">
      <c r="A148" s="23"/>
      <c r="B148" s="23" t="s">
        <v>33</v>
      </c>
      <c r="C148" s="20">
        <f>0.00107968163212288%*2</f>
        <v>2.1593632642457598E-5</v>
      </c>
      <c r="D148" s="20">
        <v>0</v>
      </c>
      <c r="E148" s="108">
        <f t="shared" si="42"/>
        <v>2.1593632642457598E-5</v>
      </c>
      <c r="F148" s="105">
        <f t="shared" si="48"/>
        <v>15.28</v>
      </c>
      <c r="G148" s="71">
        <f t="shared" si="43"/>
        <v>0.5621737530379215</v>
      </c>
      <c r="H148" s="89">
        <f>ROUND(F148*'Actual Load'!$B$13/'Zonal Load'!$N$13,2)</f>
        <v>15.32</v>
      </c>
      <c r="I148" s="21">
        <f t="shared" si="44"/>
        <v>15.71</v>
      </c>
      <c r="J148" s="71">
        <f t="shared" si="45"/>
        <v>0.43000000000000149</v>
      </c>
      <c r="K148" s="71">
        <f t="shared" si="46"/>
        <v>0.99217375303792299</v>
      </c>
      <c r="L148" s="204">
        <f>ROUND(E148*'Interest Over Collect '!$J$7,2)</f>
        <v>0.21</v>
      </c>
      <c r="M148" s="89">
        <f t="shared" si="49"/>
        <v>1.2021737530379231</v>
      </c>
    </row>
    <row r="149" spans="1:14">
      <c r="A149" s="23"/>
      <c r="B149" s="23" t="s">
        <v>34</v>
      </c>
      <c r="C149" s="20">
        <f>0.000757027529112798%*2</f>
        <v>1.5140550582255961E-5</v>
      </c>
      <c r="D149" s="20">
        <v>0</v>
      </c>
      <c r="E149" s="108">
        <f t="shared" si="42"/>
        <v>1.5140550582255961E-5</v>
      </c>
      <c r="F149" s="105">
        <f t="shared" si="48"/>
        <v>10.72</v>
      </c>
      <c r="G149" s="71">
        <f t="shared" si="43"/>
        <v>0.39417268436583919</v>
      </c>
      <c r="H149" s="89">
        <f>ROUND(F149*'Actual Load'!$B$23/'Zonal Load'!$N$23,2)</f>
        <v>11.12</v>
      </c>
      <c r="I149" s="21">
        <f t="shared" si="44"/>
        <v>11.4</v>
      </c>
      <c r="J149" s="71">
        <f t="shared" si="45"/>
        <v>0.67999999999999972</v>
      </c>
      <c r="K149" s="71">
        <f t="shared" si="46"/>
        <v>1.074172684365839</v>
      </c>
      <c r="L149" s="204">
        <f>ROUND(E149*'Interest Over Collect '!$J$7,2)</f>
        <v>0.15</v>
      </c>
      <c r="M149" s="89">
        <f t="shared" si="49"/>
        <v>1.2241726843658389</v>
      </c>
    </row>
    <row r="150" spans="1:14">
      <c r="B150" s="24" t="s">
        <v>35</v>
      </c>
      <c r="C150" s="20">
        <f>0.000597827806705142%*2</f>
        <v>1.195655613410284E-5</v>
      </c>
      <c r="D150" s="20">
        <v>0</v>
      </c>
      <c r="E150" s="108">
        <f t="shared" si="42"/>
        <v>1.195655613410284E-5</v>
      </c>
      <c r="F150" s="105">
        <f t="shared" si="48"/>
        <v>8.4600000000000009</v>
      </c>
      <c r="G150" s="71">
        <f t="shared" si="43"/>
        <v>0.31127981783393788</v>
      </c>
      <c r="H150" s="89">
        <f>ROUND(F150*'Actual Load'!$B$20/'Zonal Load'!$N$20,2)</f>
        <v>5.57</v>
      </c>
      <c r="I150" s="21">
        <f t="shared" si="44"/>
        <v>5.71</v>
      </c>
      <c r="J150" s="71">
        <f t="shared" si="45"/>
        <v>-2.7500000000000009</v>
      </c>
      <c r="K150" s="71">
        <f t="shared" si="46"/>
        <v>-2.4387201821660631</v>
      </c>
      <c r="L150" s="204">
        <f>ROUND(E150*'Interest Over Collect '!$J$7,2)</f>
        <v>0.12</v>
      </c>
      <c r="M150" s="89">
        <f t="shared" si="49"/>
        <v>-2.318720182166063</v>
      </c>
    </row>
    <row r="151" spans="1:14">
      <c r="B151" s="25"/>
      <c r="C151" s="26">
        <f t="shared" ref="C151:M151" si="50">SUM(C129:C150)</f>
        <v>1.8295203932509614E-3</v>
      </c>
      <c r="D151" s="27">
        <f t="shared" si="50"/>
        <v>0.99817047960674798</v>
      </c>
      <c r="E151" s="107">
        <f t="shared" si="50"/>
        <v>0.999999999999999</v>
      </c>
      <c r="F151" s="101">
        <f t="shared" si="50"/>
        <v>707716.37</v>
      </c>
      <c r="G151" s="84">
        <f t="shared" si="50"/>
        <v>26034.237145100346</v>
      </c>
      <c r="H151" s="146">
        <f t="shared" si="50"/>
        <v>721586.42999999993</v>
      </c>
      <c r="I151" s="85">
        <f t="shared" si="50"/>
        <v>739742.85</v>
      </c>
      <c r="J151" s="85">
        <f t="shared" si="50"/>
        <v>32026.480000000054</v>
      </c>
      <c r="K151" s="163">
        <f t="shared" si="50"/>
        <v>58060.717145100403</v>
      </c>
      <c r="L151" s="85">
        <f t="shared" si="50"/>
        <v>9702.8299999999981</v>
      </c>
      <c r="M151" s="85">
        <f t="shared" si="50"/>
        <v>67763.547145100398</v>
      </c>
    </row>
    <row r="152" spans="1:14">
      <c r="G152" s="21"/>
      <c r="I152" s="86"/>
    </row>
    <row r="153" spans="1:14">
      <c r="E153" s="102" t="str">
        <f>$E$73</f>
        <v>2013 Estimated Revenue Requirement</v>
      </c>
      <c r="F153" s="201">
        <v>707716.36494510062</v>
      </c>
      <c r="H153" s="147"/>
      <c r="I153" s="29"/>
      <c r="J153" s="120"/>
      <c r="K153" s="87"/>
      <c r="L153" s="90"/>
    </row>
    <row r="154" spans="1:14">
      <c r="E154" s="103" t="str">
        <f>$E$74</f>
        <v>2013 Rev Requirement Act</v>
      </c>
      <c r="F154" s="202">
        <v>681682.12780000025</v>
      </c>
      <c r="L154" s="87"/>
    </row>
    <row r="155" spans="1:14">
      <c r="E155" s="103" t="str">
        <f>$E$75</f>
        <v>Actual Revenue Booked</v>
      </c>
      <c r="F155" s="210">
        <f>I151</f>
        <v>739742.85</v>
      </c>
      <c r="L155" s="87"/>
    </row>
    <row r="157" spans="1:14">
      <c r="B157" s="88"/>
      <c r="C157" s="88"/>
      <c r="D157" s="88"/>
      <c r="E157" s="88"/>
      <c r="F157" s="88"/>
      <c r="G157" s="88"/>
      <c r="H157" s="88"/>
      <c r="I157" s="88"/>
      <c r="J157" s="119"/>
      <c r="K157" s="88"/>
      <c r="L157" s="88"/>
      <c r="M157" s="88"/>
    </row>
    <row r="159" spans="1:14" ht="15.75" customHeight="1">
      <c r="B159" s="78" t="s">
        <v>0</v>
      </c>
      <c r="C159" s="521">
        <v>1953</v>
      </c>
      <c r="D159" s="522"/>
      <c r="E159" s="522"/>
      <c r="F159" s="522"/>
      <c r="G159" s="522"/>
      <c r="H159" s="523"/>
      <c r="I159" s="1"/>
    </row>
    <row r="160" spans="1:14" ht="15.75" customHeight="1">
      <c r="B160" s="76" t="s">
        <v>2</v>
      </c>
      <c r="C160" s="524" t="s">
        <v>118</v>
      </c>
      <c r="D160" s="525"/>
      <c r="E160" s="525"/>
      <c r="F160" s="525"/>
      <c r="G160" s="525"/>
      <c r="H160" s="526"/>
      <c r="I160" s="1"/>
    </row>
    <row r="161" spans="2:14" ht="15.75" customHeight="1">
      <c r="B161" s="76" t="s">
        <v>4</v>
      </c>
      <c r="C161" s="524" t="s">
        <v>38</v>
      </c>
      <c r="D161" s="525"/>
      <c r="E161" s="525"/>
      <c r="F161" s="525"/>
      <c r="G161" s="525"/>
      <c r="H161" s="526"/>
      <c r="I161" s="1"/>
    </row>
    <row r="162" spans="2:14" ht="15.75" customHeight="1">
      <c r="B162" s="77" t="s">
        <v>6</v>
      </c>
      <c r="C162" s="530" t="s">
        <v>7</v>
      </c>
      <c r="D162" s="531"/>
      <c r="E162" s="531"/>
      <c r="F162" s="531"/>
      <c r="G162" s="531"/>
      <c r="H162" s="532"/>
      <c r="I162" s="1"/>
    </row>
    <row r="163" spans="2:14">
      <c r="B163" s="82"/>
      <c r="C163" s="82"/>
      <c r="D163" s="82"/>
      <c r="E163" s="82"/>
      <c r="F163" s="82"/>
      <c r="J163" s="113" t="s">
        <v>163</v>
      </c>
      <c r="K163" s="3" t="s">
        <v>42</v>
      </c>
      <c r="M163" s="3" t="s">
        <v>56</v>
      </c>
    </row>
    <row r="164" spans="2:14">
      <c r="B164" s="82"/>
      <c r="C164" s="82"/>
      <c r="D164" s="82"/>
      <c r="E164" s="82"/>
      <c r="F164" s="82"/>
      <c r="G164" s="3" t="s">
        <v>39</v>
      </c>
      <c r="H164" s="142" t="s">
        <v>40</v>
      </c>
      <c r="I164" s="104" t="s">
        <v>41</v>
      </c>
      <c r="J164" s="114" t="s">
        <v>164</v>
      </c>
      <c r="K164" s="4" t="s">
        <v>165</v>
      </c>
      <c r="L164" s="4" t="s">
        <v>55</v>
      </c>
      <c r="M164" s="4" t="s">
        <v>166</v>
      </c>
      <c r="N164" s="233"/>
    </row>
    <row r="165" spans="2:14">
      <c r="B165" s="82"/>
      <c r="C165" s="82"/>
      <c r="D165" s="82"/>
      <c r="E165" s="82"/>
      <c r="F165" s="82"/>
      <c r="G165" s="5"/>
      <c r="H165" s="527" t="s">
        <v>43</v>
      </c>
      <c r="I165" s="528"/>
      <c r="J165" s="529"/>
      <c r="K165" s="6" t="s">
        <v>44</v>
      </c>
      <c r="L165" s="5"/>
      <c r="M165" s="6" t="s">
        <v>45</v>
      </c>
      <c r="N165" s="233"/>
    </row>
    <row r="166" spans="2:14">
      <c r="B166" s="83"/>
      <c r="C166" s="7">
        <v>0.2</v>
      </c>
      <c r="D166" s="7">
        <v>0.8</v>
      </c>
      <c r="E166" s="7"/>
      <c r="F166" s="98" t="s">
        <v>162</v>
      </c>
      <c r="G166" s="8" t="s">
        <v>46</v>
      </c>
      <c r="H166" s="143"/>
      <c r="I166" s="5"/>
      <c r="J166" s="115" t="s">
        <v>47</v>
      </c>
      <c r="K166" s="8" t="s">
        <v>48</v>
      </c>
      <c r="L166" s="9"/>
      <c r="M166" s="8" t="s">
        <v>49</v>
      </c>
    </row>
    <row r="167" spans="2:14">
      <c r="B167" s="10"/>
      <c r="C167" s="75" t="s">
        <v>9</v>
      </c>
      <c r="D167" s="75" t="s">
        <v>10</v>
      </c>
      <c r="E167" s="75" t="s">
        <v>11</v>
      </c>
      <c r="F167" s="99" t="s">
        <v>8</v>
      </c>
      <c r="G167" s="11" t="s">
        <v>50</v>
      </c>
      <c r="H167" s="144" t="s">
        <v>51</v>
      </c>
      <c r="I167" s="12" t="s">
        <v>159</v>
      </c>
      <c r="J167" s="116" t="s">
        <v>50</v>
      </c>
      <c r="K167" s="12" t="s">
        <v>50</v>
      </c>
      <c r="L167" s="12" t="s">
        <v>52</v>
      </c>
      <c r="M167" s="12" t="s">
        <v>53</v>
      </c>
    </row>
    <row r="168" spans="2:14" ht="63" customHeight="1">
      <c r="B168" s="13" t="s">
        <v>13</v>
      </c>
      <c r="C168" s="14" t="s">
        <v>14</v>
      </c>
      <c r="D168" s="14" t="s">
        <v>14</v>
      </c>
      <c r="E168" s="15" t="s">
        <v>14</v>
      </c>
      <c r="F168" s="100" t="s">
        <v>15</v>
      </c>
      <c r="G168" s="16" t="s">
        <v>54</v>
      </c>
      <c r="H168" s="145"/>
      <c r="I168" s="17"/>
      <c r="J168" s="117" t="s">
        <v>54</v>
      </c>
      <c r="K168" s="17"/>
      <c r="L168" s="17"/>
      <c r="M168" s="16" t="s">
        <v>54</v>
      </c>
    </row>
    <row r="169" spans="2:14" s="87" customFormat="1">
      <c r="B169" s="18" t="s">
        <v>16</v>
      </c>
      <c r="C169" s="281">
        <v>0</v>
      </c>
      <c r="D169" s="281">
        <v>0</v>
      </c>
      <c r="E169" s="279">
        <f t="shared" ref="E169:E192" si="51">C169+D169</f>
        <v>0</v>
      </c>
      <c r="F169" s="282">
        <f>ROUND(+E169*F$195,2)</f>
        <v>0</v>
      </c>
      <c r="G169" s="71">
        <f t="shared" ref="G169:G192" si="52">(F$195-F$196)*E169</f>
        <v>0</v>
      </c>
      <c r="H169" s="71">
        <f>ROUND(F169*'Actual Load'!$B$8/'Zonal Load'!$N$8,2)</f>
        <v>0</v>
      </c>
      <c r="I169" s="71">
        <f t="shared" ref="I169:I192" si="53">ROUND((H169*$H$708)/$H$706,2)</f>
        <v>0</v>
      </c>
      <c r="J169" s="71">
        <f t="shared" ref="J169:J192" si="54">I169-F169</f>
        <v>0</v>
      </c>
      <c r="K169" s="71">
        <f t="shared" ref="K169:K192" si="55">+G169+J169</f>
        <v>0</v>
      </c>
      <c r="L169" s="204">
        <f>ROUND(E169*'Interest Over Collect '!$J$8,2)</f>
        <v>0</v>
      </c>
      <c r="M169" s="71">
        <f>+K169+L169</f>
        <v>0</v>
      </c>
      <c r="N169" s="92"/>
    </row>
    <row r="170" spans="2:14" s="87" customFormat="1">
      <c r="B170" s="23" t="s">
        <v>17</v>
      </c>
      <c r="C170" s="281">
        <v>0</v>
      </c>
      <c r="D170" s="281">
        <v>0</v>
      </c>
      <c r="E170" s="279">
        <f t="shared" si="51"/>
        <v>0</v>
      </c>
      <c r="F170" s="280">
        <f>ROUND(+E170*F$195,2)</f>
        <v>0</v>
      </c>
      <c r="G170" s="71">
        <f t="shared" si="52"/>
        <v>0</v>
      </c>
      <c r="H170" s="71">
        <f>ROUND(F170*'Actual Load'!$B$14/'Zonal Load'!$N$14,2)</f>
        <v>0</v>
      </c>
      <c r="I170" s="71">
        <f t="shared" si="53"/>
        <v>0</v>
      </c>
      <c r="J170" s="71">
        <f t="shared" si="54"/>
        <v>0</v>
      </c>
      <c r="K170" s="71">
        <f t="shared" si="55"/>
        <v>0</v>
      </c>
      <c r="L170" s="204">
        <f>ROUND(E170*'Interest Over Collect '!$J$8,2)</f>
        <v>0</v>
      </c>
      <c r="M170" s="71">
        <f t="shared" ref="M170:M192" si="56">+K170+L170</f>
        <v>0</v>
      </c>
      <c r="N170" s="92"/>
    </row>
    <row r="171" spans="2:14" s="87" customFormat="1">
      <c r="B171" s="23" t="s">
        <v>201</v>
      </c>
      <c r="C171" s="281">
        <f>0%*0.421</f>
        <v>0</v>
      </c>
      <c r="D171" s="281">
        <f>0%*0.421</f>
        <v>0</v>
      </c>
      <c r="E171" s="279">
        <f t="shared" si="51"/>
        <v>0</v>
      </c>
      <c r="F171" s="280">
        <f t="shared" ref="F171:F192" si="57">ROUND(+E171*F$195,2)</f>
        <v>0</v>
      </c>
      <c r="G171" s="71">
        <f t="shared" si="52"/>
        <v>0</v>
      </c>
      <c r="H171" s="71">
        <f>ROUND(F171*'Actual Load'!$B$9/'Zonal Load'!$N$9,2)</f>
        <v>0</v>
      </c>
      <c r="I171" s="71">
        <f t="shared" si="53"/>
        <v>0</v>
      </c>
      <c r="J171" s="71">
        <f t="shared" si="54"/>
        <v>0</v>
      </c>
      <c r="K171" s="71">
        <f t="shared" si="55"/>
        <v>0</v>
      </c>
      <c r="L171" s="204">
        <f>ROUND(E171*'Interest Over Collect '!$J$8,2)</f>
        <v>0</v>
      </c>
      <c r="M171" s="71">
        <f t="shared" si="56"/>
        <v>0</v>
      </c>
      <c r="N171" s="92"/>
    </row>
    <row r="172" spans="2:14" s="87" customFormat="1">
      <c r="B172" s="140" t="s">
        <v>260</v>
      </c>
      <c r="C172" s="281">
        <f>0%*0.579</f>
        <v>0</v>
      </c>
      <c r="D172" s="281">
        <f>0%*0.579</f>
        <v>0</v>
      </c>
      <c r="E172" s="279">
        <f>C172+D172</f>
        <v>0</v>
      </c>
      <c r="F172" s="280">
        <f t="shared" si="57"/>
        <v>0</v>
      </c>
      <c r="G172" s="71">
        <f>(F$195-F$196)*E172</f>
        <v>0</v>
      </c>
      <c r="H172" s="71">
        <f>ROUND(F172*'Actual Load'!$B$10/'Zonal Load'!$N$10,2)</f>
        <v>0</v>
      </c>
      <c r="I172" s="71">
        <f t="shared" si="53"/>
        <v>0</v>
      </c>
      <c r="J172" s="71">
        <f>I172-F172</f>
        <v>0</v>
      </c>
      <c r="K172" s="71">
        <f>+G172+J172</f>
        <v>0</v>
      </c>
      <c r="L172" s="204">
        <f>ROUND(E172*'Interest Over Collect '!$J$8,2)</f>
        <v>0</v>
      </c>
      <c r="M172" s="71">
        <f>+K172+L172</f>
        <v>0</v>
      </c>
      <c r="N172" s="92"/>
    </row>
    <row r="173" spans="2:14" s="87" customFormat="1">
      <c r="B173" s="23" t="s">
        <v>18</v>
      </c>
      <c r="C173" s="281">
        <v>0</v>
      </c>
      <c r="D173" s="281">
        <v>0</v>
      </c>
      <c r="E173" s="279">
        <f t="shared" si="51"/>
        <v>0</v>
      </c>
      <c r="F173" s="280">
        <f t="shared" si="57"/>
        <v>0</v>
      </c>
      <c r="G173" s="71">
        <f t="shared" si="52"/>
        <v>0</v>
      </c>
      <c r="H173" s="71">
        <f>ROUND(F173*'Actual Load'!$B$26/'Zonal Load'!$N$26,2)</f>
        <v>0</v>
      </c>
      <c r="I173" s="71">
        <f t="shared" si="53"/>
        <v>0</v>
      </c>
      <c r="J173" s="71">
        <f t="shared" si="54"/>
        <v>0</v>
      </c>
      <c r="K173" s="71">
        <f t="shared" si="55"/>
        <v>0</v>
      </c>
      <c r="L173" s="204">
        <f>ROUND(E173*'Interest Over Collect '!$J$8,2)</f>
        <v>0</v>
      </c>
      <c r="M173" s="71">
        <f t="shared" si="56"/>
        <v>0</v>
      </c>
      <c r="N173" s="92"/>
    </row>
    <row r="174" spans="2:14" s="87" customFormat="1">
      <c r="B174" s="23" t="s">
        <v>19</v>
      </c>
      <c r="C174" s="281">
        <v>0</v>
      </c>
      <c r="D174" s="281">
        <v>0</v>
      </c>
      <c r="E174" s="279">
        <f t="shared" si="51"/>
        <v>0</v>
      </c>
      <c r="F174" s="280">
        <f t="shared" si="57"/>
        <v>0</v>
      </c>
      <c r="G174" s="71">
        <f t="shared" si="52"/>
        <v>0</v>
      </c>
      <c r="H174" s="71">
        <f>ROUND(F174*'Actual Load'!$B$16/'Zonal Load'!$N$16,2)</f>
        <v>0</v>
      </c>
      <c r="I174" s="71">
        <f t="shared" si="53"/>
        <v>0</v>
      </c>
      <c r="J174" s="71">
        <f t="shared" si="54"/>
        <v>0</v>
      </c>
      <c r="K174" s="71">
        <f t="shared" si="55"/>
        <v>0</v>
      </c>
      <c r="L174" s="204">
        <f>ROUND(E174*'Interest Over Collect '!$J$8,2)</f>
        <v>0</v>
      </c>
      <c r="M174" s="71">
        <f t="shared" si="56"/>
        <v>0</v>
      </c>
      <c r="N174" s="92"/>
    </row>
    <row r="175" spans="2:14" s="87" customFormat="1">
      <c r="B175" s="23" t="s">
        <v>20</v>
      </c>
      <c r="C175" s="281">
        <v>0</v>
      </c>
      <c r="D175" s="281">
        <v>0</v>
      </c>
      <c r="E175" s="279">
        <f t="shared" si="51"/>
        <v>0</v>
      </c>
      <c r="F175" s="280">
        <f t="shared" si="57"/>
        <v>0</v>
      </c>
      <c r="G175" s="71">
        <f t="shared" si="52"/>
        <v>0</v>
      </c>
      <c r="H175" s="71">
        <f>ROUND(F175*'Actual Load'!$B$22/'Zonal Load'!$N$22,2)</f>
        <v>0</v>
      </c>
      <c r="I175" s="71">
        <f t="shared" si="53"/>
        <v>0</v>
      </c>
      <c r="J175" s="71">
        <f t="shared" si="54"/>
        <v>0</v>
      </c>
      <c r="K175" s="71">
        <f t="shared" si="55"/>
        <v>0</v>
      </c>
      <c r="L175" s="204">
        <f>ROUND(E175*'Interest Over Collect '!$J$8,2)</f>
        <v>0</v>
      </c>
      <c r="M175" s="71">
        <f t="shared" si="56"/>
        <v>0</v>
      </c>
      <c r="N175" s="92"/>
    </row>
    <row r="176" spans="2:14" s="87" customFormat="1">
      <c r="B176" s="23" t="s">
        <v>21</v>
      </c>
      <c r="C176" s="281">
        <v>0</v>
      </c>
      <c r="D176" s="281">
        <v>0</v>
      </c>
      <c r="E176" s="279">
        <f t="shared" si="51"/>
        <v>0</v>
      </c>
      <c r="F176" s="280">
        <f t="shared" si="57"/>
        <v>0</v>
      </c>
      <c r="G176" s="71">
        <f t="shared" si="52"/>
        <v>0</v>
      </c>
      <c r="H176" s="71">
        <f>ROUND(F176*'Actual Load'!$B$17/'Zonal Load'!$N$17,2)</f>
        <v>0</v>
      </c>
      <c r="I176" s="71">
        <f t="shared" si="53"/>
        <v>0</v>
      </c>
      <c r="J176" s="71">
        <f t="shared" si="54"/>
        <v>0</v>
      </c>
      <c r="K176" s="71">
        <f t="shared" si="55"/>
        <v>0</v>
      </c>
      <c r="L176" s="204">
        <f>ROUND(E176*'Interest Over Collect '!$J$8,2)</f>
        <v>0</v>
      </c>
      <c r="M176" s="71">
        <f t="shared" si="56"/>
        <v>0</v>
      </c>
      <c r="N176" s="92"/>
    </row>
    <row r="177" spans="1:14" s="87" customFormat="1">
      <c r="B177" s="23" t="s">
        <v>22</v>
      </c>
      <c r="C177" s="281">
        <v>0</v>
      </c>
      <c r="D177" s="281">
        <v>0</v>
      </c>
      <c r="E177" s="279">
        <f t="shared" si="51"/>
        <v>0</v>
      </c>
      <c r="F177" s="280">
        <f t="shared" si="57"/>
        <v>0</v>
      </c>
      <c r="G177" s="71">
        <f t="shared" si="52"/>
        <v>0</v>
      </c>
      <c r="H177" s="71">
        <f>ROUND(F177*'Actual Load'!$B$15/'Zonal Load'!$N$15,2)</f>
        <v>0</v>
      </c>
      <c r="I177" s="71">
        <f t="shared" si="53"/>
        <v>0</v>
      </c>
      <c r="J177" s="71">
        <f t="shared" si="54"/>
        <v>0</v>
      </c>
      <c r="K177" s="71">
        <f t="shared" si="55"/>
        <v>0</v>
      </c>
      <c r="L177" s="204">
        <f>ROUND(E177*'Interest Over Collect '!$J$8,2)</f>
        <v>0</v>
      </c>
      <c r="M177" s="71">
        <f t="shared" si="56"/>
        <v>0</v>
      </c>
      <c r="N177" s="92"/>
    </row>
    <row r="178" spans="1:14" s="87" customFormat="1">
      <c r="B178" s="23" t="s">
        <v>23</v>
      </c>
      <c r="C178" s="281">
        <v>0</v>
      </c>
      <c r="D178" s="281">
        <v>7.4411408941548038E-3</v>
      </c>
      <c r="E178" s="279">
        <f t="shared" si="51"/>
        <v>7.4411408941548038E-3</v>
      </c>
      <c r="F178" s="280">
        <f t="shared" si="57"/>
        <v>9090.11</v>
      </c>
      <c r="G178" s="71">
        <f t="shared" si="52"/>
        <v>334.5750102571285</v>
      </c>
      <c r="H178" s="71">
        <f>ROUND(F178*'Actual Load'!$B$4/'Zonal Load'!$N$4,2)</f>
        <v>9127.32</v>
      </c>
      <c r="I178" s="71">
        <f t="shared" si="53"/>
        <v>9356.98</v>
      </c>
      <c r="J178" s="71">
        <f t="shared" si="54"/>
        <v>266.86999999999898</v>
      </c>
      <c r="K178" s="71">
        <f t="shared" si="55"/>
        <v>601.44501025712748</v>
      </c>
      <c r="L178" s="204">
        <f>ROUND(E178*'Interest Over Collect '!$J$8,2)</f>
        <v>124.63</v>
      </c>
      <c r="M178" s="71">
        <f t="shared" si="56"/>
        <v>726.07501025712747</v>
      </c>
      <c r="N178" s="92"/>
    </row>
    <row r="179" spans="1:14" s="87" customFormat="1">
      <c r="B179" s="23" t="s">
        <v>24</v>
      </c>
      <c r="C179" s="281">
        <v>0</v>
      </c>
      <c r="D179" s="281">
        <v>0</v>
      </c>
      <c r="E179" s="279">
        <f t="shared" si="51"/>
        <v>0</v>
      </c>
      <c r="F179" s="280">
        <f t="shared" si="57"/>
        <v>0</v>
      </c>
      <c r="G179" s="71">
        <f t="shared" si="52"/>
        <v>0</v>
      </c>
      <c r="H179" s="71">
        <f>ROUND(F179*'Actual Load'!$B$11/'Zonal Load'!$N$11,2)</f>
        <v>0</v>
      </c>
      <c r="I179" s="71">
        <f t="shared" si="53"/>
        <v>0</v>
      </c>
      <c r="J179" s="71">
        <f t="shared" si="54"/>
        <v>0</v>
      </c>
      <c r="K179" s="71">
        <f t="shared" si="55"/>
        <v>0</v>
      </c>
      <c r="L179" s="204">
        <f>ROUND(E179*'Interest Over Collect '!$J$8,2)</f>
        <v>0</v>
      </c>
      <c r="M179" s="71">
        <f t="shared" si="56"/>
        <v>0</v>
      </c>
      <c r="N179" s="92"/>
    </row>
    <row r="180" spans="1:14" s="87" customFormat="1">
      <c r="B180" s="23" t="s">
        <v>26</v>
      </c>
      <c r="C180" s="281">
        <v>0</v>
      </c>
      <c r="D180" s="281">
        <v>0</v>
      </c>
      <c r="E180" s="279">
        <f t="shared" si="51"/>
        <v>0</v>
      </c>
      <c r="F180" s="280">
        <f t="shared" si="57"/>
        <v>0</v>
      </c>
      <c r="G180" s="71">
        <f t="shared" si="52"/>
        <v>0</v>
      </c>
      <c r="H180" s="71">
        <f>ROUND(F180*'Actual Load'!$B$7/'Zonal Load'!$N$7,2)</f>
        <v>0</v>
      </c>
      <c r="I180" s="71">
        <f t="shared" si="53"/>
        <v>0</v>
      </c>
      <c r="J180" s="71">
        <f t="shared" si="54"/>
        <v>0</v>
      </c>
      <c r="K180" s="71">
        <f t="shared" si="55"/>
        <v>0</v>
      </c>
      <c r="L180" s="204">
        <f>ROUND(E180*'Interest Over Collect '!$J$8,2)</f>
        <v>0</v>
      </c>
      <c r="M180" s="71">
        <f t="shared" si="56"/>
        <v>0</v>
      </c>
      <c r="N180" s="92"/>
    </row>
    <row r="181" spans="1:14" s="87" customFormat="1">
      <c r="B181" s="23" t="s">
        <v>25</v>
      </c>
      <c r="C181" s="281">
        <v>0</v>
      </c>
      <c r="D181" s="281">
        <v>0</v>
      </c>
      <c r="E181" s="279">
        <f t="shared" si="51"/>
        <v>0</v>
      </c>
      <c r="F181" s="280">
        <f t="shared" si="57"/>
        <v>0</v>
      </c>
      <c r="G181" s="71">
        <f t="shared" si="52"/>
        <v>0</v>
      </c>
      <c r="H181" s="71">
        <f>ROUND(F181*'Actual Load'!$B$6/'Zonal Load'!$N$6,2)</f>
        <v>0</v>
      </c>
      <c r="I181" s="71">
        <f t="shared" si="53"/>
        <v>0</v>
      </c>
      <c r="J181" s="71">
        <f t="shared" si="54"/>
        <v>0</v>
      </c>
      <c r="K181" s="71">
        <f t="shared" si="55"/>
        <v>0</v>
      </c>
      <c r="L181" s="204">
        <f>ROUND(E181*'Interest Over Collect '!$J$8,2)</f>
        <v>0</v>
      </c>
      <c r="M181" s="71">
        <f t="shared" si="56"/>
        <v>0</v>
      </c>
      <c r="N181" s="92"/>
    </row>
    <row r="182" spans="1:14" s="87" customFormat="1">
      <c r="B182" s="23" t="s">
        <v>119</v>
      </c>
      <c r="C182" s="281">
        <v>0</v>
      </c>
      <c r="D182" s="281">
        <v>0</v>
      </c>
      <c r="E182" s="279">
        <f t="shared" si="51"/>
        <v>0</v>
      </c>
      <c r="F182" s="280">
        <f t="shared" si="57"/>
        <v>0</v>
      </c>
      <c r="G182" s="71">
        <f t="shared" si="52"/>
        <v>0</v>
      </c>
      <c r="H182" s="71">
        <f>ROUND(F182*'Actual Load'!$B$18/'Zonal Load'!$N$18,2)</f>
        <v>0</v>
      </c>
      <c r="I182" s="71">
        <f t="shared" si="53"/>
        <v>0</v>
      </c>
      <c r="J182" s="71">
        <f t="shared" si="54"/>
        <v>0</v>
      </c>
      <c r="K182" s="71">
        <f t="shared" si="55"/>
        <v>0</v>
      </c>
      <c r="L182" s="204">
        <f>ROUND(E182*'Interest Over Collect '!$J$8,2)</f>
        <v>0</v>
      </c>
      <c r="M182" s="71">
        <f t="shared" si="56"/>
        <v>0</v>
      </c>
      <c r="N182" s="92"/>
    </row>
    <row r="183" spans="1:14" s="87" customFormat="1">
      <c r="B183" s="23" t="s">
        <v>120</v>
      </c>
      <c r="C183" s="281">
        <v>0</v>
      </c>
      <c r="D183" s="281">
        <v>0</v>
      </c>
      <c r="E183" s="279">
        <f t="shared" si="51"/>
        <v>0</v>
      </c>
      <c r="F183" s="280">
        <f t="shared" si="57"/>
        <v>0</v>
      </c>
      <c r="G183" s="71">
        <f t="shared" si="52"/>
        <v>0</v>
      </c>
      <c r="H183" s="71">
        <f>ROUND(F183*'Actual Load'!$B$17/'Zonal Load'!$N$17,2)</f>
        <v>0</v>
      </c>
      <c r="I183" s="71">
        <f t="shared" si="53"/>
        <v>0</v>
      </c>
      <c r="J183" s="71">
        <f t="shared" si="54"/>
        <v>0</v>
      </c>
      <c r="K183" s="71">
        <f t="shared" si="55"/>
        <v>0</v>
      </c>
      <c r="L183" s="204">
        <f>ROUND(E183*'Interest Over Collect '!$J$8,2)</f>
        <v>0</v>
      </c>
      <c r="M183" s="71">
        <f t="shared" si="56"/>
        <v>0</v>
      </c>
      <c r="N183" s="92"/>
    </row>
    <row r="184" spans="1:14" s="87" customFormat="1">
      <c r="A184" s="23"/>
      <c r="B184" s="23" t="s">
        <v>27</v>
      </c>
      <c r="C184" s="281">
        <v>0</v>
      </c>
      <c r="D184" s="281">
        <v>0</v>
      </c>
      <c r="E184" s="279">
        <f t="shared" si="51"/>
        <v>0</v>
      </c>
      <c r="F184" s="280">
        <f t="shared" si="57"/>
        <v>0</v>
      </c>
      <c r="G184" s="71">
        <f t="shared" si="52"/>
        <v>0</v>
      </c>
      <c r="H184" s="71">
        <f>ROUND(F184*'Actual Load'!$B$12/'Zonal Load'!$N$12,2)</f>
        <v>0</v>
      </c>
      <c r="I184" s="71">
        <f t="shared" si="53"/>
        <v>0</v>
      </c>
      <c r="J184" s="71">
        <f t="shared" si="54"/>
        <v>0</v>
      </c>
      <c r="K184" s="71">
        <f t="shared" si="55"/>
        <v>0</v>
      </c>
      <c r="L184" s="204">
        <f>ROUND(E184*'Interest Over Collect '!$J$8,2)</f>
        <v>0</v>
      </c>
      <c r="M184" s="71">
        <f t="shared" si="56"/>
        <v>0</v>
      </c>
      <c r="N184" s="92"/>
    </row>
    <row r="185" spans="1:14" s="87" customFormat="1">
      <c r="A185" s="23"/>
      <c r="B185" s="23" t="s">
        <v>28</v>
      </c>
      <c r="C185" s="281">
        <v>0</v>
      </c>
      <c r="D185" s="281">
        <v>0</v>
      </c>
      <c r="E185" s="279">
        <f t="shared" si="51"/>
        <v>0</v>
      </c>
      <c r="F185" s="280">
        <f t="shared" si="57"/>
        <v>0</v>
      </c>
      <c r="G185" s="71">
        <f t="shared" si="52"/>
        <v>0</v>
      </c>
      <c r="H185" s="71">
        <f>ROUND(F185*'Actual Load'!$B$24/'Zonal Load'!$N$24,2)</f>
        <v>0</v>
      </c>
      <c r="I185" s="71">
        <f t="shared" si="53"/>
        <v>0</v>
      </c>
      <c r="J185" s="71">
        <f t="shared" si="54"/>
        <v>0</v>
      </c>
      <c r="K185" s="71">
        <f t="shared" si="55"/>
        <v>0</v>
      </c>
      <c r="L185" s="204">
        <f>ROUND(E185*'Interest Over Collect '!$J$8,2)</f>
        <v>0</v>
      </c>
      <c r="M185" s="71">
        <f t="shared" si="56"/>
        <v>0</v>
      </c>
      <c r="N185" s="92"/>
    </row>
    <row r="186" spans="1:14">
      <c r="A186" s="23"/>
      <c r="B186" s="23" t="s">
        <v>29</v>
      </c>
      <c r="C186" s="20">
        <v>0</v>
      </c>
      <c r="D186" s="20">
        <v>0</v>
      </c>
      <c r="E186" s="108">
        <f t="shared" si="51"/>
        <v>0</v>
      </c>
      <c r="F186" s="105">
        <f t="shared" si="57"/>
        <v>0</v>
      </c>
      <c r="G186" s="71">
        <f t="shared" si="52"/>
        <v>0</v>
      </c>
      <c r="H186" s="89">
        <f>ROUND(F186*'Actual Load'!$B$5/'Zonal Load'!$N$5,2)</f>
        <v>0</v>
      </c>
      <c r="I186" s="21">
        <f t="shared" si="53"/>
        <v>0</v>
      </c>
      <c r="J186" s="71">
        <f t="shared" si="54"/>
        <v>0</v>
      </c>
      <c r="K186" s="71">
        <f t="shared" si="55"/>
        <v>0</v>
      </c>
      <c r="L186" s="204">
        <f>ROUND(E186*'Interest Over Collect '!$J$8,2)</f>
        <v>0</v>
      </c>
      <c r="M186" s="89">
        <f t="shared" si="56"/>
        <v>0</v>
      </c>
    </row>
    <row r="187" spans="1:14">
      <c r="A187" s="23"/>
      <c r="B187" s="23" t="s">
        <v>30</v>
      </c>
      <c r="C187" s="20">
        <v>0</v>
      </c>
      <c r="D187" s="20">
        <v>0.67956590272712492</v>
      </c>
      <c r="E187" s="108">
        <f t="shared" si="51"/>
        <v>0.67956590272712492</v>
      </c>
      <c r="F187" s="105">
        <f t="shared" si="57"/>
        <v>830158.79</v>
      </c>
      <c r="G187" s="71">
        <f t="shared" si="52"/>
        <v>30555.229649518387</v>
      </c>
      <c r="H187" s="89">
        <f>ROUND(F187*'Actual Load'!$B$21/'Zonal Load'!$N$21,2)</f>
        <v>846435.42</v>
      </c>
      <c r="I187" s="21">
        <f t="shared" si="53"/>
        <v>867733.23</v>
      </c>
      <c r="J187" s="71">
        <f t="shared" si="54"/>
        <v>37574.439999999944</v>
      </c>
      <c r="K187" s="71">
        <f t="shared" si="55"/>
        <v>68129.669649518328</v>
      </c>
      <c r="L187" s="204">
        <f>ROUND(E187*'Interest Over Collect '!$J$8,2)</f>
        <v>11381.53</v>
      </c>
      <c r="M187" s="89">
        <f t="shared" si="56"/>
        <v>79511.199649518327</v>
      </c>
    </row>
    <row r="188" spans="1:14">
      <c r="A188" s="23"/>
      <c r="B188" s="23" t="s">
        <v>31</v>
      </c>
      <c r="C188" s="20">
        <v>0</v>
      </c>
      <c r="D188" s="20">
        <v>0.23157897820245948</v>
      </c>
      <c r="E188" s="108">
        <f t="shared" si="51"/>
        <v>0.23157897820245948</v>
      </c>
      <c r="F188" s="105">
        <f t="shared" si="57"/>
        <v>282897.25</v>
      </c>
      <c r="G188" s="71">
        <f t="shared" si="52"/>
        <v>10412.454233770262</v>
      </c>
      <c r="H188" s="89">
        <f>ROUND(F188*'Actual Load'!$B$19/'Zonal Load'!$N$19,2)</f>
        <v>258649.06</v>
      </c>
      <c r="I188" s="21">
        <f t="shared" si="53"/>
        <v>265157.13</v>
      </c>
      <c r="J188" s="71">
        <f t="shared" si="54"/>
        <v>-17740.119999999995</v>
      </c>
      <c r="K188" s="71">
        <f t="shared" si="55"/>
        <v>-7327.665766229733</v>
      </c>
      <c r="L188" s="204">
        <f>ROUND(E188*'Interest Over Collect '!$J$8,2)</f>
        <v>3878.54</v>
      </c>
      <c r="M188" s="89">
        <f t="shared" si="56"/>
        <v>-3449.125766229733</v>
      </c>
    </row>
    <row r="189" spans="1:14">
      <c r="A189" s="23"/>
      <c r="B189" s="23" t="s">
        <v>32</v>
      </c>
      <c r="C189" s="20">
        <v>0</v>
      </c>
      <c r="D189" s="20">
        <v>0</v>
      </c>
      <c r="E189" s="108">
        <f t="shared" si="51"/>
        <v>0</v>
      </c>
      <c r="F189" s="105">
        <f t="shared" si="57"/>
        <v>0</v>
      </c>
      <c r="G189" s="71">
        <f t="shared" si="52"/>
        <v>0</v>
      </c>
      <c r="H189" s="89">
        <f>ROUND(F189*'Actual Load'!$B$25/'Zonal Load'!$N$25,2)</f>
        <v>0</v>
      </c>
      <c r="I189" s="21">
        <f t="shared" si="53"/>
        <v>0</v>
      </c>
      <c r="J189" s="71">
        <f t="shared" si="54"/>
        <v>0</v>
      </c>
      <c r="K189" s="71">
        <f t="shared" si="55"/>
        <v>0</v>
      </c>
      <c r="L189" s="204">
        <f>ROUND(E189*'Interest Over Collect '!$J$8,2)</f>
        <v>0</v>
      </c>
      <c r="M189" s="89">
        <f t="shared" si="56"/>
        <v>0</v>
      </c>
    </row>
    <row r="190" spans="1:14">
      <c r="A190" s="23"/>
      <c r="B190" s="23" t="s">
        <v>33</v>
      </c>
      <c r="C190" s="20">
        <v>0</v>
      </c>
      <c r="D190" s="20">
        <v>1.7283777376873782E-2</v>
      </c>
      <c r="E190" s="108">
        <f t="shared" si="51"/>
        <v>1.7283777376873782E-2</v>
      </c>
      <c r="F190" s="105">
        <f t="shared" si="57"/>
        <v>21113.89</v>
      </c>
      <c r="G190" s="71">
        <f t="shared" si="52"/>
        <v>777.12814142411116</v>
      </c>
      <c r="H190" s="89">
        <f>ROUND(F190*'Actual Load'!$B$13/'Zonal Load'!$N$13,2)</f>
        <v>21169.7</v>
      </c>
      <c r="I190" s="21">
        <f t="shared" si="53"/>
        <v>21702.37</v>
      </c>
      <c r="J190" s="71">
        <f t="shared" si="54"/>
        <v>588.47999999999956</v>
      </c>
      <c r="K190" s="71">
        <f t="shared" si="55"/>
        <v>1365.6081414241107</v>
      </c>
      <c r="L190" s="204">
        <f>ROUND(E190*'Interest Over Collect '!$J$8,2)</f>
        <v>289.47000000000003</v>
      </c>
      <c r="M190" s="89">
        <f t="shared" si="56"/>
        <v>1655.0781414241108</v>
      </c>
    </row>
    <row r="191" spans="1:14">
      <c r="A191" s="23"/>
      <c r="B191" s="23" t="s">
        <v>34</v>
      </c>
      <c r="C191" s="20">
        <v>0</v>
      </c>
      <c r="D191" s="20">
        <v>6.4130200799386874E-2</v>
      </c>
      <c r="E191" s="108">
        <f t="shared" si="51"/>
        <v>6.4130200799386874E-2</v>
      </c>
      <c r="F191" s="105">
        <f t="shared" si="57"/>
        <v>78341.56</v>
      </c>
      <c r="G191" s="71">
        <f t="shared" si="52"/>
        <v>2883.477533277332</v>
      </c>
      <c r="H191" s="89">
        <f>ROUND(F191*'Actual Load'!$B$23/'Zonal Load'!$N$23,2)</f>
        <v>81230.039999999994</v>
      </c>
      <c r="I191" s="21">
        <f t="shared" si="53"/>
        <v>83273.929999999993</v>
      </c>
      <c r="J191" s="71">
        <f t="shared" si="54"/>
        <v>4932.3699999999953</v>
      </c>
      <c r="K191" s="71">
        <f t="shared" si="55"/>
        <v>7815.8475332773269</v>
      </c>
      <c r="L191" s="204">
        <f>ROUND(E191*'Interest Over Collect '!$J$8,2)</f>
        <v>1074.07</v>
      </c>
      <c r="M191" s="89">
        <f t="shared" si="56"/>
        <v>8889.9175332773266</v>
      </c>
    </row>
    <row r="192" spans="1:14">
      <c r="B192" s="23" t="s">
        <v>35</v>
      </c>
      <c r="C192" s="20">
        <v>0</v>
      </c>
      <c r="D192" s="20">
        <v>0</v>
      </c>
      <c r="E192" s="108">
        <f t="shared" si="51"/>
        <v>0</v>
      </c>
      <c r="F192" s="105">
        <f t="shared" si="57"/>
        <v>0</v>
      </c>
      <c r="G192" s="71">
        <f t="shared" si="52"/>
        <v>0</v>
      </c>
      <c r="H192" s="89">
        <f>ROUND(F192*'Actual Load'!$B$20/'Zonal Load'!$N$20,2)</f>
        <v>0</v>
      </c>
      <c r="I192" s="21">
        <f t="shared" si="53"/>
        <v>0</v>
      </c>
      <c r="J192" s="71">
        <f t="shared" si="54"/>
        <v>0</v>
      </c>
      <c r="K192" s="71">
        <f t="shared" si="55"/>
        <v>0</v>
      </c>
      <c r="L192" s="204">
        <f>ROUND(E192*'Interest Over Collect '!$J$8,2)</f>
        <v>0</v>
      </c>
      <c r="M192" s="89">
        <f t="shared" si="56"/>
        <v>0</v>
      </c>
    </row>
    <row r="193" spans="2:15">
      <c r="B193" s="25"/>
      <c r="C193" s="26">
        <f t="shared" ref="C193:M193" si="58">SUM(C169:C192)</f>
        <v>0</v>
      </c>
      <c r="D193" s="27">
        <f t="shared" si="58"/>
        <v>0.99999999999999989</v>
      </c>
      <c r="E193" s="106">
        <f t="shared" si="58"/>
        <v>0.99999999999999989</v>
      </c>
      <c r="F193" s="101">
        <f t="shared" si="58"/>
        <v>1221601.5999999999</v>
      </c>
      <c r="G193" s="84">
        <f t="shared" si="58"/>
        <v>44962.86456824722</v>
      </c>
      <c r="H193" s="146">
        <f t="shared" si="58"/>
        <v>1216611.54</v>
      </c>
      <c r="I193" s="85">
        <f t="shared" si="58"/>
        <v>1247223.6399999999</v>
      </c>
      <c r="J193" s="85">
        <f t="shared" si="58"/>
        <v>25622.039999999939</v>
      </c>
      <c r="K193" s="163">
        <f t="shared" si="58"/>
        <v>70584.904568247162</v>
      </c>
      <c r="L193" s="85">
        <f t="shared" si="58"/>
        <v>16748.240000000002</v>
      </c>
      <c r="M193" s="85">
        <f t="shared" si="58"/>
        <v>87333.144568247168</v>
      </c>
    </row>
    <row r="194" spans="2:15" s="92" customFormat="1">
      <c r="G194" s="21"/>
      <c r="H194" s="148"/>
      <c r="I194" s="29"/>
      <c r="J194" s="121"/>
      <c r="O194" s="2"/>
    </row>
    <row r="195" spans="2:15" s="92" customFormat="1">
      <c r="E195" s="102" t="str">
        <f>$E$73</f>
        <v>2013 Estimated Revenue Requirement</v>
      </c>
      <c r="F195" s="201">
        <v>1221601.5884880461</v>
      </c>
      <c r="H195" s="149"/>
      <c r="I195" s="93"/>
      <c r="J195" s="121"/>
      <c r="L195" s="90"/>
      <c r="O195" s="2"/>
    </row>
    <row r="196" spans="2:15" s="92" customFormat="1" ht="15.75" customHeight="1">
      <c r="B196" s="67"/>
      <c r="C196" s="67"/>
      <c r="D196" s="67"/>
      <c r="E196" s="103" t="str">
        <f>$E$74</f>
        <v>2013 Rev Requirement Act</v>
      </c>
      <c r="F196" s="202">
        <v>1176638.7239197989</v>
      </c>
      <c r="G196" s="277"/>
      <c r="H196" s="149"/>
      <c r="J196" s="121"/>
      <c r="L196" s="87"/>
    </row>
    <row r="197" spans="2:15" s="92" customFormat="1" ht="15.75" customHeight="1">
      <c r="B197" s="67"/>
      <c r="C197" s="67"/>
      <c r="D197" s="67"/>
      <c r="E197" s="103" t="str">
        <f>$E$75</f>
        <v>Actual Revenue Booked</v>
      </c>
      <c r="F197" s="210">
        <f>I193</f>
        <v>1247223.6399999999</v>
      </c>
      <c r="G197" s="2"/>
      <c r="H197" s="149"/>
      <c r="J197" s="121"/>
      <c r="L197" s="87"/>
    </row>
    <row r="198" spans="2:15" s="92" customFormat="1">
      <c r="H198" s="149"/>
      <c r="J198" s="121"/>
    </row>
    <row r="199" spans="2:15">
      <c r="B199" s="88"/>
      <c r="C199" s="88"/>
      <c r="D199" s="88"/>
      <c r="E199" s="88"/>
      <c r="F199" s="88"/>
      <c r="G199" s="88"/>
      <c r="H199" s="88"/>
      <c r="I199" s="88"/>
      <c r="J199" s="88"/>
      <c r="K199" s="88"/>
      <c r="L199" s="88"/>
      <c r="M199" s="88"/>
    </row>
    <row r="201" spans="2:15" ht="15.75" customHeight="1">
      <c r="B201" s="78" t="s">
        <v>0</v>
      </c>
      <c r="C201" s="521" t="s">
        <v>135</v>
      </c>
      <c r="D201" s="522"/>
      <c r="E201" s="522"/>
      <c r="F201" s="522"/>
      <c r="G201" s="522"/>
      <c r="H201" s="523"/>
      <c r="I201" s="1"/>
    </row>
    <row r="202" spans="2:15" ht="15.75" customHeight="1">
      <c r="B202" s="76" t="s">
        <v>2</v>
      </c>
      <c r="C202" s="524" t="s">
        <v>136</v>
      </c>
      <c r="D202" s="525"/>
      <c r="E202" s="525"/>
      <c r="F202" s="525"/>
      <c r="G202" s="525"/>
      <c r="H202" s="526"/>
      <c r="I202" s="1"/>
    </row>
    <row r="203" spans="2:15" ht="15.75" customHeight="1">
      <c r="B203" s="76" t="s">
        <v>4</v>
      </c>
      <c r="C203" s="524" t="s">
        <v>137</v>
      </c>
      <c r="D203" s="525"/>
      <c r="E203" s="525"/>
      <c r="F203" s="525"/>
      <c r="G203" s="525"/>
      <c r="H203" s="526"/>
      <c r="I203" s="1"/>
    </row>
    <row r="204" spans="2:15" ht="15.75" customHeight="1">
      <c r="B204" s="77" t="s">
        <v>6</v>
      </c>
      <c r="C204" s="530" t="s">
        <v>138</v>
      </c>
      <c r="D204" s="531"/>
      <c r="E204" s="531"/>
      <c r="F204" s="531"/>
      <c r="G204" s="531"/>
      <c r="H204" s="532"/>
      <c r="I204" s="1"/>
    </row>
    <row r="205" spans="2:15">
      <c r="B205" s="82"/>
      <c r="C205" s="82"/>
      <c r="D205" s="82"/>
      <c r="E205" s="82"/>
      <c r="F205" s="82"/>
      <c r="J205" s="113" t="s">
        <v>163</v>
      </c>
      <c r="K205" s="3" t="s">
        <v>42</v>
      </c>
      <c r="M205" s="3" t="s">
        <v>56</v>
      </c>
    </row>
    <row r="206" spans="2:15">
      <c r="B206" s="82"/>
      <c r="C206" s="82"/>
      <c r="D206" s="82"/>
      <c r="E206" s="82"/>
      <c r="F206" s="82"/>
      <c r="G206" s="3" t="s">
        <v>39</v>
      </c>
      <c r="H206" s="142" t="s">
        <v>40</v>
      </c>
      <c r="I206" s="104" t="s">
        <v>41</v>
      </c>
      <c r="J206" s="114" t="s">
        <v>164</v>
      </c>
      <c r="K206" s="4" t="s">
        <v>165</v>
      </c>
      <c r="L206" s="4" t="s">
        <v>55</v>
      </c>
      <c r="M206" s="4" t="s">
        <v>166</v>
      </c>
      <c r="N206" s="233"/>
    </row>
    <row r="207" spans="2:15">
      <c r="B207" s="82"/>
      <c r="C207" s="82"/>
      <c r="D207" s="82"/>
      <c r="E207" s="82"/>
      <c r="F207" s="82"/>
      <c r="G207" s="5"/>
      <c r="H207" s="527" t="s">
        <v>43</v>
      </c>
      <c r="I207" s="528"/>
      <c r="J207" s="529"/>
      <c r="K207" s="6" t="s">
        <v>44</v>
      </c>
      <c r="L207" s="5"/>
      <c r="M207" s="6" t="s">
        <v>45</v>
      </c>
      <c r="N207" s="233"/>
    </row>
    <row r="208" spans="2:15">
      <c r="B208" s="83"/>
      <c r="C208" s="7">
        <v>0</v>
      </c>
      <c r="D208" s="7">
        <v>1</v>
      </c>
      <c r="E208" s="7"/>
      <c r="F208" s="98" t="s">
        <v>162</v>
      </c>
      <c r="G208" s="8" t="s">
        <v>46</v>
      </c>
      <c r="H208" s="143"/>
      <c r="I208" s="5"/>
      <c r="J208" s="115" t="s">
        <v>47</v>
      </c>
      <c r="K208" s="8" t="s">
        <v>48</v>
      </c>
      <c r="L208" s="9"/>
      <c r="M208" s="8" t="s">
        <v>49</v>
      </c>
    </row>
    <row r="209" spans="1:14">
      <c r="B209" s="10"/>
      <c r="C209" s="75" t="s">
        <v>9</v>
      </c>
      <c r="D209" s="75" t="s">
        <v>10</v>
      </c>
      <c r="E209" s="75" t="s">
        <v>11</v>
      </c>
      <c r="F209" s="99" t="s">
        <v>8</v>
      </c>
      <c r="G209" s="11" t="s">
        <v>50</v>
      </c>
      <c r="H209" s="144" t="s">
        <v>51</v>
      </c>
      <c r="I209" s="12" t="s">
        <v>159</v>
      </c>
      <c r="J209" s="116" t="s">
        <v>50</v>
      </c>
      <c r="K209" s="12" t="s">
        <v>50</v>
      </c>
      <c r="L209" s="12" t="s">
        <v>52</v>
      </c>
      <c r="M209" s="12" t="s">
        <v>53</v>
      </c>
    </row>
    <row r="210" spans="1:14" ht="31.5">
      <c r="B210" s="13" t="s">
        <v>13</v>
      </c>
      <c r="C210" s="14" t="s">
        <v>14</v>
      </c>
      <c r="D210" s="14" t="s">
        <v>14</v>
      </c>
      <c r="E210" s="15" t="s">
        <v>14</v>
      </c>
      <c r="F210" s="100" t="s">
        <v>15</v>
      </c>
      <c r="G210" s="16" t="s">
        <v>54</v>
      </c>
      <c r="H210" s="145"/>
      <c r="I210" s="17"/>
      <c r="J210" s="117" t="s">
        <v>54</v>
      </c>
      <c r="K210" s="17"/>
      <c r="L210" s="17"/>
      <c r="M210" s="16" t="s">
        <v>54</v>
      </c>
    </row>
    <row r="211" spans="1:14" s="87" customFormat="1">
      <c r="B211" s="18" t="s">
        <v>16</v>
      </c>
      <c r="C211" s="278">
        <v>0</v>
      </c>
      <c r="D211" s="281">
        <v>0</v>
      </c>
      <c r="E211" s="279">
        <f t="shared" ref="E211:E232" si="59">C211+D211</f>
        <v>0</v>
      </c>
      <c r="F211" s="282">
        <f>ROUND(+E211*F$235,2)</f>
        <v>0</v>
      </c>
      <c r="G211" s="71">
        <f t="shared" ref="G211:G232" si="60">(F$235-F$236)*E211</f>
        <v>0</v>
      </c>
      <c r="H211" s="71">
        <f>ROUND(F211*'Actual Load'!$B$8/'Zonal Load'!$N$8,2)</f>
        <v>0</v>
      </c>
      <c r="I211" s="71">
        <f t="shared" ref="I211:I232" si="61">ROUND((H211*$H$708)/$H$706,2)</f>
        <v>0</v>
      </c>
      <c r="J211" s="71">
        <f t="shared" ref="J211:J232" si="62">I211-F211</f>
        <v>0</v>
      </c>
      <c r="K211" s="71">
        <f t="shared" ref="K211:K232" si="63">+G211+J211</f>
        <v>0</v>
      </c>
      <c r="L211" s="204">
        <f>ROUND(E211*'Interest Over Collect '!$J$9,2)</f>
        <v>0</v>
      </c>
      <c r="M211" s="71">
        <f t="shared" ref="M211:M218" si="64">+K211+L211</f>
        <v>0</v>
      </c>
      <c r="N211" s="92"/>
    </row>
    <row r="212" spans="1:14" s="87" customFormat="1">
      <c r="B212" s="23" t="s">
        <v>17</v>
      </c>
      <c r="C212" s="278">
        <v>0</v>
      </c>
      <c r="D212" s="281">
        <v>0</v>
      </c>
      <c r="E212" s="279">
        <f t="shared" si="59"/>
        <v>0</v>
      </c>
      <c r="F212" s="280">
        <f>ROUND(+E212*F$235,2)</f>
        <v>0</v>
      </c>
      <c r="G212" s="71">
        <f t="shared" si="60"/>
        <v>0</v>
      </c>
      <c r="H212" s="71">
        <f>ROUND(F212*'Actual Load'!$B$14/'Zonal Load'!$N$14,2)</f>
        <v>0</v>
      </c>
      <c r="I212" s="71">
        <f t="shared" si="61"/>
        <v>0</v>
      </c>
      <c r="J212" s="71">
        <f t="shared" si="62"/>
        <v>0</v>
      </c>
      <c r="K212" s="71">
        <f t="shared" si="63"/>
        <v>0</v>
      </c>
      <c r="L212" s="204">
        <f>ROUND(E212*'Interest Over Collect '!$J$9,2)</f>
        <v>0</v>
      </c>
      <c r="M212" s="71">
        <f t="shared" si="64"/>
        <v>0</v>
      </c>
      <c r="N212" s="92"/>
    </row>
    <row r="213" spans="1:14" s="87" customFormat="1">
      <c r="B213" s="23" t="s">
        <v>201</v>
      </c>
      <c r="C213" s="278">
        <f>0%*0.421</f>
        <v>0</v>
      </c>
      <c r="D213" s="281">
        <f>0%*0.421</f>
        <v>0</v>
      </c>
      <c r="E213" s="279">
        <f t="shared" si="59"/>
        <v>0</v>
      </c>
      <c r="F213" s="280">
        <f t="shared" ref="F213:F232" si="65">ROUND(+E213*F$235,2)</f>
        <v>0</v>
      </c>
      <c r="G213" s="71">
        <f t="shared" si="60"/>
        <v>0</v>
      </c>
      <c r="H213" s="71">
        <f>ROUND(F213*'Actual Load'!$B$9/'Zonal Load'!$N$9,2)</f>
        <v>0</v>
      </c>
      <c r="I213" s="71">
        <f t="shared" si="61"/>
        <v>0</v>
      </c>
      <c r="J213" s="71">
        <f t="shared" si="62"/>
        <v>0</v>
      </c>
      <c r="K213" s="71">
        <f t="shared" si="63"/>
        <v>0</v>
      </c>
      <c r="L213" s="204">
        <f>ROUND(E213*'Interest Over Collect '!$J$9,2)</f>
        <v>0</v>
      </c>
      <c r="M213" s="71">
        <f t="shared" si="64"/>
        <v>0</v>
      </c>
      <c r="N213" s="92"/>
    </row>
    <row r="214" spans="1:14" s="87" customFormat="1">
      <c r="B214" s="140" t="s">
        <v>260</v>
      </c>
      <c r="C214" s="278">
        <f>0%*0.579</f>
        <v>0</v>
      </c>
      <c r="D214" s="281">
        <f>0%*0.579</f>
        <v>0</v>
      </c>
      <c r="E214" s="279">
        <f>C214+D214</f>
        <v>0</v>
      </c>
      <c r="F214" s="280">
        <f t="shared" si="65"/>
        <v>0</v>
      </c>
      <c r="G214" s="71">
        <f>(F$235-F$236)*E214</f>
        <v>0</v>
      </c>
      <c r="H214" s="71">
        <f>ROUND(F214*'Actual Load'!$B$10/'Zonal Load'!$N$10,2)</f>
        <v>0</v>
      </c>
      <c r="I214" s="71">
        <f t="shared" si="61"/>
        <v>0</v>
      </c>
      <c r="J214" s="71">
        <f>I214-F214</f>
        <v>0</v>
      </c>
      <c r="K214" s="71">
        <f>+G214+J214</f>
        <v>0</v>
      </c>
      <c r="L214" s="204">
        <f>ROUND(E214*'Interest Over Collect '!$J$9,2)</f>
        <v>0</v>
      </c>
      <c r="M214" s="71">
        <f>+K214+L214</f>
        <v>0</v>
      </c>
      <c r="N214" s="92"/>
    </row>
    <row r="215" spans="1:14" s="87" customFormat="1">
      <c r="B215" s="23" t="s">
        <v>18</v>
      </c>
      <c r="C215" s="278">
        <v>0</v>
      </c>
      <c r="D215" s="281">
        <v>0</v>
      </c>
      <c r="E215" s="279">
        <f t="shared" si="59"/>
        <v>0</v>
      </c>
      <c r="F215" s="280">
        <f t="shared" si="65"/>
        <v>0</v>
      </c>
      <c r="G215" s="71">
        <f t="shared" si="60"/>
        <v>0</v>
      </c>
      <c r="H215" s="71">
        <f>ROUND(F215*'Actual Load'!$B$26/'Zonal Load'!$N$26,2)</f>
        <v>0</v>
      </c>
      <c r="I215" s="71">
        <f t="shared" si="61"/>
        <v>0</v>
      </c>
      <c r="J215" s="71">
        <f t="shared" si="62"/>
        <v>0</v>
      </c>
      <c r="K215" s="71">
        <f t="shared" si="63"/>
        <v>0</v>
      </c>
      <c r="L215" s="204">
        <f>ROUND(E215*'Interest Over Collect '!$J$9,2)</f>
        <v>0</v>
      </c>
      <c r="M215" s="71">
        <f t="shared" si="64"/>
        <v>0</v>
      </c>
      <c r="N215" s="92"/>
    </row>
    <row r="216" spans="1:14" s="87" customFormat="1">
      <c r="B216" s="23" t="s">
        <v>19</v>
      </c>
      <c r="C216" s="278">
        <v>0</v>
      </c>
      <c r="D216" s="281">
        <v>0</v>
      </c>
      <c r="E216" s="279">
        <f t="shared" si="59"/>
        <v>0</v>
      </c>
      <c r="F216" s="280">
        <f t="shared" si="65"/>
        <v>0</v>
      </c>
      <c r="G216" s="71">
        <f t="shared" si="60"/>
        <v>0</v>
      </c>
      <c r="H216" s="71">
        <f>ROUND(F216*'Actual Load'!$B$16/'Zonal Load'!$N$16,2)</f>
        <v>0</v>
      </c>
      <c r="I216" s="71">
        <f t="shared" si="61"/>
        <v>0</v>
      </c>
      <c r="J216" s="71">
        <f t="shared" si="62"/>
        <v>0</v>
      </c>
      <c r="K216" s="71">
        <f t="shared" si="63"/>
        <v>0</v>
      </c>
      <c r="L216" s="204">
        <f>ROUND(E216*'Interest Over Collect '!$J$9,2)</f>
        <v>0</v>
      </c>
      <c r="M216" s="71">
        <f t="shared" si="64"/>
        <v>0</v>
      </c>
      <c r="N216" s="92"/>
    </row>
    <row r="217" spans="1:14" s="87" customFormat="1">
      <c r="B217" s="23" t="s">
        <v>20</v>
      </c>
      <c r="C217" s="278">
        <v>0</v>
      </c>
      <c r="D217" s="281">
        <v>0</v>
      </c>
      <c r="E217" s="279">
        <f t="shared" si="59"/>
        <v>0</v>
      </c>
      <c r="F217" s="280">
        <f t="shared" si="65"/>
        <v>0</v>
      </c>
      <c r="G217" s="71">
        <f t="shared" si="60"/>
        <v>0</v>
      </c>
      <c r="H217" s="71">
        <f>ROUND(F217*'Actual Load'!$B$22/'Zonal Load'!$N$22,2)</f>
        <v>0</v>
      </c>
      <c r="I217" s="71">
        <f t="shared" si="61"/>
        <v>0</v>
      </c>
      <c r="J217" s="71">
        <f t="shared" si="62"/>
        <v>0</v>
      </c>
      <c r="K217" s="71">
        <f t="shared" si="63"/>
        <v>0</v>
      </c>
      <c r="L217" s="204">
        <f>ROUND(E217*'Interest Over Collect '!$J$9,2)</f>
        <v>0</v>
      </c>
      <c r="M217" s="71">
        <f t="shared" si="64"/>
        <v>0</v>
      </c>
      <c r="N217" s="92"/>
    </row>
    <row r="218" spans="1:14" s="87" customFormat="1">
      <c r="B218" s="23" t="s">
        <v>21</v>
      </c>
      <c r="C218" s="278">
        <v>0</v>
      </c>
      <c r="D218" s="281">
        <v>0</v>
      </c>
      <c r="E218" s="279">
        <f t="shared" si="59"/>
        <v>0</v>
      </c>
      <c r="F218" s="280">
        <f t="shared" si="65"/>
        <v>0</v>
      </c>
      <c r="G218" s="71">
        <f t="shared" si="60"/>
        <v>0</v>
      </c>
      <c r="H218" s="71">
        <f>ROUND(F218*'Actual Load'!$B$17/'Zonal Load'!$N$17,2)</f>
        <v>0</v>
      </c>
      <c r="I218" s="71">
        <f t="shared" si="61"/>
        <v>0</v>
      </c>
      <c r="J218" s="71">
        <f t="shared" si="62"/>
        <v>0</v>
      </c>
      <c r="K218" s="71">
        <f t="shared" si="63"/>
        <v>0</v>
      </c>
      <c r="L218" s="204">
        <f>ROUND(E218*'Interest Over Collect '!$J$9,2)</f>
        <v>0</v>
      </c>
      <c r="M218" s="71">
        <f t="shared" si="64"/>
        <v>0</v>
      </c>
      <c r="N218" s="92"/>
    </row>
    <row r="219" spans="1:14" s="87" customFormat="1">
      <c r="B219" s="23" t="s">
        <v>22</v>
      </c>
      <c r="C219" s="278">
        <v>0</v>
      </c>
      <c r="D219" s="281">
        <v>0</v>
      </c>
      <c r="E219" s="279">
        <f t="shared" si="59"/>
        <v>0</v>
      </c>
      <c r="F219" s="280">
        <f t="shared" si="65"/>
        <v>0</v>
      </c>
      <c r="G219" s="71">
        <f t="shared" si="60"/>
        <v>0</v>
      </c>
      <c r="H219" s="71">
        <f>ROUND(F219*'Actual Load'!$B$15/'Zonal Load'!$N$15,2)</f>
        <v>0</v>
      </c>
      <c r="I219" s="71">
        <f t="shared" si="61"/>
        <v>0</v>
      </c>
      <c r="J219" s="71">
        <f t="shared" si="62"/>
        <v>0</v>
      </c>
      <c r="K219" s="71">
        <f t="shared" si="63"/>
        <v>0</v>
      </c>
      <c r="L219" s="204">
        <f>ROUND(E219*'Interest Over Collect '!$J$9,2)</f>
        <v>0</v>
      </c>
      <c r="M219" s="71">
        <f>+K219+L219</f>
        <v>0</v>
      </c>
      <c r="N219" s="92"/>
    </row>
    <row r="220" spans="1:14" s="87" customFormat="1">
      <c r="B220" s="23" t="s">
        <v>23</v>
      </c>
      <c r="C220" s="278">
        <v>0</v>
      </c>
      <c r="D220" s="281">
        <v>4.3912283358846955E-3</v>
      </c>
      <c r="E220" s="279">
        <f t="shared" si="59"/>
        <v>4.3912283358846955E-3</v>
      </c>
      <c r="F220" s="280">
        <f t="shared" si="65"/>
        <v>23881.43</v>
      </c>
      <c r="G220" s="71">
        <f t="shared" si="60"/>
        <v>1617.2814124328193</v>
      </c>
      <c r="H220" s="71">
        <f>ROUND(F220*'Actual Load'!$B$4/'Zonal Load'!$N$4,2)</f>
        <v>23979.200000000001</v>
      </c>
      <c r="I220" s="71">
        <f t="shared" si="61"/>
        <v>24582.560000000001</v>
      </c>
      <c r="J220" s="71">
        <f t="shared" si="62"/>
        <v>701.13000000000102</v>
      </c>
      <c r="K220" s="71">
        <f t="shared" si="63"/>
        <v>2318.4114124328203</v>
      </c>
      <c r="L220" s="204">
        <f>ROUND(E220*'Interest Over Collect '!$J$9,2)</f>
        <v>327.42</v>
      </c>
      <c r="M220" s="71">
        <f t="shared" ref="M220:M232" si="66">+K220+L220</f>
        <v>2645.8314124328203</v>
      </c>
      <c r="N220" s="92"/>
    </row>
    <row r="221" spans="1:14" s="87" customFormat="1">
      <c r="B221" s="23" t="s">
        <v>24</v>
      </c>
      <c r="C221" s="278">
        <v>0</v>
      </c>
      <c r="D221" s="281">
        <v>0</v>
      </c>
      <c r="E221" s="279">
        <f t="shared" si="59"/>
        <v>0</v>
      </c>
      <c r="F221" s="280">
        <f t="shared" si="65"/>
        <v>0</v>
      </c>
      <c r="G221" s="71">
        <f t="shared" si="60"/>
        <v>0</v>
      </c>
      <c r="H221" s="71">
        <f>ROUND(F221*'Actual Load'!$B$11/'Zonal Load'!$N$11,2)</f>
        <v>0</v>
      </c>
      <c r="I221" s="71">
        <f t="shared" si="61"/>
        <v>0</v>
      </c>
      <c r="J221" s="71">
        <f t="shared" si="62"/>
        <v>0</v>
      </c>
      <c r="K221" s="71">
        <f t="shared" si="63"/>
        <v>0</v>
      </c>
      <c r="L221" s="204">
        <f>ROUND(E221*'Interest Over Collect '!$J$9,2)</f>
        <v>0</v>
      </c>
      <c r="M221" s="71">
        <f t="shared" si="66"/>
        <v>0</v>
      </c>
      <c r="N221" s="92"/>
    </row>
    <row r="222" spans="1:14" s="87" customFormat="1">
      <c r="B222" s="23" t="s">
        <v>25</v>
      </c>
      <c r="C222" s="278">
        <v>0</v>
      </c>
      <c r="D222" s="281">
        <v>0</v>
      </c>
      <c r="E222" s="279">
        <f t="shared" si="59"/>
        <v>0</v>
      </c>
      <c r="F222" s="280">
        <f t="shared" si="65"/>
        <v>0</v>
      </c>
      <c r="G222" s="71">
        <f t="shared" si="60"/>
        <v>0</v>
      </c>
      <c r="H222" s="71">
        <f>ROUND(F222*'Actual Load'!$B$6/'Zonal Load'!$N$6,2)</f>
        <v>0</v>
      </c>
      <c r="I222" s="71">
        <f t="shared" si="61"/>
        <v>0</v>
      </c>
      <c r="J222" s="71">
        <f t="shared" si="62"/>
        <v>0</v>
      </c>
      <c r="K222" s="71">
        <f t="shared" si="63"/>
        <v>0</v>
      </c>
      <c r="L222" s="204">
        <f>ROUND(E222*'Interest Over Collect '!$J$9,2)</f>
        <v>0</v>
      </c>
      <c r="M222" s="71">
        <f t="shared" si="66"/>
        <v>0</v>
      </c>
      <c r="N222" s="92"/>
    </row>
    <row r="223" spans="1:14" s="87" customFormat="1">
      <c r="B223" s="23" t="s">
        <v>26</v>
      </c>
      <c r="C223" s="278">
        <v>0</v>
      </c>
      <c r="D223" s="281">
        <v>6.7668398231625273E-4</v>
      </c>
      <c r="E223" s="279">
        <f t="shared" si="59"/>
        <v>6.7668398231625273E-4</v>
      </c>
      <c r="F223" s="280">
        <f t="shared" si="65"/>
        <v>3680.11</v>
      </c>
      <c r="G223" s="71">
        <f t="shared" si="60"/>
        <v>249.22148041081286</v>
      </c>
      <c r="H223" s="71">
        <f>ROUND(F223*'Actual Load'!$B$7/'Zonal Load'!$N$7,2)</f>
        <v>3682.43</v>
      </c>
      <c r="I223" s="71">
        <f t="shared" si="61"/>
        <v>3775.09</v>
      </c>
      <c r="J223" s="71">
        <f t="shared" si="62"/>
        <v>94.980000000000018</v>
      </c>
      <c r="K223" s="71">
        <f t="shared" si="63"/>
        <v>344.20148041081291</v>
      </c>
      <c r="L223" s="204">
        <f>ROUND(E223*'Interest Over Collect '!$J$9,2)</f>
        <v>50.45</v>
      </c>
      <c r="M223" s="71">
        <f t="shared" si="66"/>
        <v>394.65148041081289</v>
      </c>
      <c r="N223" s="92"/>
    </row>
    <row r="224" spans="1:14" s="87" customFormat="1">
      <c r="A224" s="23"/>
      <c r="B224" s="23" t="s">
        <v>27</v>
      </c>
      <c r="C224" s="278">
        <v>0</v>
      </c>
      <c r="D224" s="281">
        <v>0</v>
      </c>
      <c r="E224" s="279">
        <f t="shared" si="59"/>
        <v>0</v>
      </c>
      <c r="F224" s="280">
        <f t="shared" si="65"/>
        <v>0</v>
      </c>
      <c r="G224" s="71">
        <f t="shared" si="60"/>
        <v>0</v>
      </c>
      <c r="H224" s="71">
        <f>ROUND(F224*'Actual Load'!$B$12/'Zonal Load'!$N$12,2)</f>
        <v>0</v>
      </c>
      <c r="I224" s="71">
        <f t="shared" si="61"/>
        <v>0</v>
      </c>
      <c r="J224" s="71">
        <f t="shared" si="62"/>
        <v>0</v>
      </c>
      <c r="K224" s="71">
        <f t="shared" si="63"/>
        <v>0</v>
      </c>
      <c r="L224" s="204">
        <f>ROUND(E224*'Interest Over Collect '!$J$9,2)</f>
        <v>0</v>
      </c>
      <c r="M224" s="71">
        <f t="shared" si="66"/>
        <v>0</v>
      </c>
      <c r="N224" s="92"/>
    </row>
    <row r="225" spans="1:13">
      <c r="A225" s="23"/>
      <c r="B225" s="23" t="s">
        <v>28</v>
      </c>
      <c r="C225" s="19">
        <v>0</v>
      </c>
      <c r="D225" s="20">
        <v>0</v>
      </c>
      <c r="E225" s="108">
        <f t="shared" si="59"/>
        <v>0</v>
      </c>
      <c r="F225" s="105">
        <f t="shared" si="65"/>
        <v>0</v>
      </c>
      <c r="G225" s="71">
        <f t="shared" si="60"/>
        <v>0</v>
      </c>
      <c r="H225" s="89">
        <f>ROUND(F225*'Actual Load'!$B$24/'Zonal Load'!$N$24,2)</f>
        <v>0</v>
      </c>
      <c r="I225" s="21">
        <f t="shared" si="61"/>
        <v>0</v>
      </c>
      <c r="J225" s="71">
        <f t="shared" si="62"/>
        <v>0</v>
      </c>
      <c r="K225" s="71">
        <f t="shared" si="63"/>
        <v>0</v>
      </c>
      <c r="L225" s="204">
        <f>ROUND(E225*'Interest Over Collect '!$J$9,2)</f>
        <v>0</v>
      </c>
      <c r="M225" s="89">
        <f t="shared" si="66"/>
        <v>0</v>
      </c>
    </row>
    <row r="226" spans="1:13">
      <c r="A226" s="23"/>
      <c r="B226" s="23" t="s">
        <v>29</v>
      </c>
      <c r="C226" s="19">
        <v>0</v>
      </c>
      <c r="D226" s="20">
        <v>4.435759923690847E-2</v>
      </c>
      <c r="E226" s="108">
        <f t="shared" si="59"/>
        <v>4.435759923690847E-2</v>
      </c>
      <c r="F226" s="105">
        <f t="shared" si="65"/>
        <v>241236.15</v>
      </c>
      <c r="G226" s="71">
        <f t="shared" si="60"/>
        <v>16336.823152591349</v>
      </c>
      <c r="H226" s="89">
        <f>ROUND(F226*'Actual Load'!$B$5/'Zonal Load'!$N$5,2)</f>
        <v>263678.55</v>
      </c>
      <c r="I226" s="21">
        <f t="shared" si="61"/>
        <v>270313.17</v>
      </c>
      <c r="J226" s="71">
        <f t="shared" si="62"/>
        <v>29077.01999999999</v>
      </c>
      <c r="K226" s="71">
        <f t="shared" si="63"/>
        <v>45413.84315259134</v>
      </c>
      <c r="L226" s="204">
        <f>ROUND(E226*'Interest Over Collect '!$J$9,2)</f>
        <v>3307.36</v>
      </c>
      <c r="M226" s="89">
        <f t="shared" si="66"/>
        <v>48721.203152591341</v>
      </c>
    </row>
    <row r="227" spans="1:13">
      <c r="A227" s="23"/>
      <c r="B227" s="23" t="s">
        <v>30</v>
      </c>
      <c r="C227" s="19">
        <v>0</v>
      </c>
      <c r="D227" s="20">
        <v>0.32427599438443122</v>
      </c>
      <c r="E227" s="108">
        <f t="shared" si="59"/>
        <v>0.32427599438443122</v>
      </c>
      <c r="F227" s="105">
        <f t="shared" si="65"/>
        <v>1763555.6</v>
      </c>
      <c r="G227" s="71">
        <f t="shared" si="60"/>
        <v>119430.25916698328</v>
      </c>
      <c r="H227" s="89">
        <f>ROUND(F227*'Actual Load'!$B$21/'Zonal Load'!$N$21,2)</f>
        <v>1798133</v>
      </c>
      <c r="I227" s="21">
        <f t="shared" si="61"/>
        <v>1843377.2</v>
      </c>
      <c r="J227" s="71">
        <f t="shared" si="62"/>
        <v>79821.59999999986</v>
      </c>
      <c r="K227" s="71">
        <f t="shared" si="63"/>
        <v>199251.85916698314</v>
      </c>
      <c r="L227" s="204">
        <f>ROUND(E227*'Interest Over Collect '!$J$9,2)</f>
        <v>24178.45</v>
      </c>
      <c r="M227" s="89">
        <f t="shared" si="66"/>
        <v>223430.30916698315</v>
      </c>
    </row>
    <row r="228" spans="1:13">
      <c r="A228" s="23"/>
      <c r="B228" s="23" t="s">
        <v>31</v>
      </c>
      <c r="C228" s="19">
        <v>0</v>
      </c>
      <c r="D228" s="20">
        <v>0.25530380434705791</v>
      </c>
      <c r="E228" s="108">
        <f t="shared" si="59"/>
        <v>0.25530380434705791</v>
      </c>
      <c r="F228" s="105">
        <f t="shared" si="65"/>
        <v>1388454.47</v>
      </c>
      <c r="G228" s="71">
        <f t="shared" si="60"/>
        <v>94027.926974263304</v>
      </c>
      <c r="H228" s="89">
        <f>ROUND(F228*'Actual Load'!$B$19/'Zonal Load'!$N$19,2)</f>
        <v>1269444.8</v>
      </c>
      <c r="I228" s="21">
        <f t="shared" si="61"/>
        <v>1301386.27</v>
      </c>
      <c r="J228" s="71">
        <f t="shared" si="62"/>
        <v>-87068.199999999953</v>
      </c>
      <c r="K228" s="71">
        <f t="shared" si="63"/>
        <v>6959.7269742633507</v>
      </c>
      <c r="L228" s="204">
        <f>ROUND(E228*'Interest Over Collect '!$J$9,2)</f>
        <v>19035.79</v>
      </c>
      <c r="M228" s="89">
        <f t="shared" si="66"/>
        <v>25995.516974263352</v>
      </c>
    </row>
    <row r="229" spans="1:13">
      <c r="A229" s="23"/>
      <c r="B229" s="23" t="s">
        <v>32</v>
      </c>
      <c r="C229" s="19">
        <v>0</v>
      </c>
      <c r="D229" s="20">
        <v>0</v>
      </c>
      <c r="E229" s="108">
        <f t="shared" si="59"/>
        <v>0</v>
      </c>
      <c r="F229" s="105">
        <f t="shared" si="65"/>
        <v>0</v>
      </c>
      <c r="G229" s="71">
        <f t="shared" si="60"/>
        <v>0</v>
      </c>
      <c r="H229" s="89">
        <f>ROUND(F229*'Actual Load'!$B$25/'Zonal Load'!$N$25,2)</f>
        <v>0</v>
      </c>
      <c r="I229" s="21">
        <f t="shared" si="61"/>
        <v>0</v>
      </c>
      <c r="J229" s="71">
        <f t="shared" si="62"/>
        <v>0</v>
      </c>
      <c r="K229" s="71">
        <f t="shared" si="63"/>
        <v>0</v>
      </c>
      <c r="L229" s="204">
        <f>ROUND(E229*'Interest Over Collect '!$J$9,2)</f>
        <v>0</v>
      </c>
      <c r="M229" s="89">
        <f t="shared" si="66"/>
        <v>0</v>
      </c>
    </row>
    <row r="230" spans="1:13">
      <c r="A230" s="23"/>
      <c r="B230" s="23" t="s">
        <v>33</v>
      </c>
      <c r="C230" s="19">
        <v>0</v>
      </c>
      <c r="D230" s="20">
        <v>1.8360834628091245E-2</v>
      </c>
      <c r="E230" s="108">
        <f t="shared" si="59"/>
        <v>1.8360834628091245E-2</v>
      </c>
      <c r="F230" s="105">
        <f t="shared" si="65"/>
        <v>99854.3</v>
      </c>
      <c r="G230" s="71">
        <f t="shared" si="60"/>
        <v>6762.2620117708548</v>
      </c>
      <c r="H230" s="89">
        <f>ROUND(F230*'Actual Load'!$B$13/'Zonal Load'!$N$13,2)</f>
        <v>100118.26</v>
      </c>
      <c r="I230" s="21">
        <f t="shared" si="61"/>
        <v>102637.41</v>
      </c>
      <c r="J230" s="71">
        <f t="shared" si="62"/>
        <v>2783.1100000000006</v>
      </c>
      <c r="K230" s="71">
        <f t="shared" si="63"/>
        <v>9545.3720117708544</v>
      </c>
      <c r="L230" s="204">
        <f>ROUND(E230*'Interest Over Collect '!$J$9,2)</f>
        <v>1369.01</v>
      </c>
      <c r="M230" s="89">
        <f t="shared" si="66"/>
        <v>10914.382011770855</v>
      </c>
    </row>
    <row r="231" spans="1:13">
      <c r="A231" s="23"/>
      <c r="B231" s="23" t="s">
        <v>34</v>
      </c>
      <c r="C231" s="19">
        <v>0</v>
      </c>
      <c r="D231" s="20">
        <v>0.35252617645165396</v>
      </c>
      <c r="E231" s="108">
        <f t="shared" si="59"/>
        <v>0.35252617645165396</v>
      </c>
      <c r="F231" s="105">
        <f t="shared" si="65"/>
        <v>1917192.52</v>
      </c>
      <c r="G231" s="71">
        <f t="shared" si="60"/>
        <v>129834.74986080585</v>
      </c>
      <c r="H231" s="89">
        <f>ROUND(F231*'Actual Load'!$B$23/'Zonal Load'!$N$23,2)</f>
        <v>1987880.06</v>
      </c>
      <c r="I231" s="21">
        <f t="shared" si="61"/>
        <v>2037898.63</v>
      </c>
      <c r="J231" s="71">
        <f t="shared" si="62"/>
        <v>120706.10999999987</v>
      </c>
      <c r="K231" s="71">
        <f t="shared" si="63"/>
        <v>250540.85986080574</v>
      </c>
      <c r="L231" s="204">
        <f>ROUND(E231*'Interest Over Collect '!$J$9,2)</f>
        <v>26284.82</v>
      </c>
      <c r="M231" s="89">
        <f t="shared" si="66"/>
        <v>276825.67986080574</v>
      </c>
    </row>
    <row r="232" spans="1:13">
      <c r="B232" s="24" t="s">
        <v>35</v>
      </c>
      <c r="C232" s="19">
        <v>0</v>
      </c>
      <c r="D232" s="20">
        <v>1.0767863365624218E-4</v>
      </c>
      <c r="E232" s="108">
        <f t="shared" si="59"/>
        <v>1.0767863365624218E-4</v>
      </c>
      <c r="F232" s="105">
        <f t="shared" si="65"/>
        <v>585.6</v>
      </c>
      <c r="G232" s="71">
        <f t="shared" si="60"/>
        <v>39.657845005529261</v>
      </c>
      <c r="H232" s="89">
        <f>ROUND(F232*'Actual Load'!$B$20/'Zonal Load'!$N$20,2)</f>
        <v>385.89</v>
      </c>
      <c r="I232" s="21">
        <f t="shared" si="61"/>
        <v>395.6</v>
      </c>
      <c r="J232" s="71">
        <f t="shared" si="62"/>
        <v>-190</v>
      </c>
      <c r="K232" s="71">
        <f t="shared" si="63"/>
        <v>-150.34215499447075</v>
      </c>
      <c r="L232" s="204">
        <f>ROUND(E232*'Interest Over Collect '!$J$9,2)</f>
        <v>8.0299999999999994</v>
      </c>
      <c r="M232" s="89">
        <f t="shared" si="66"/>
        <v>-142.31215499447075</v>
      </c>
    </row>
    <row r="233" spans="1:13">
      <c r="B233" s="25"/>
      <c r="C233" s="26">
        <f t="shared" ref="C233:M233" si="67">SUM(C211:C232)</f>
        <v>0</v>
      </c>
      <c r="D233" s="27">
        <f t="shared" si="67"/>
        <v>1</v>
      </c>
      <c r="E233" s="107">
        <f t="shared" si="67"/>
        <v>1</v>
      </c>
      <c r="F233" s="101">
        <f t="shared" si="67"/>
        <v>5438440.1799999997</v>
      </c>
      <c r="G233" s="84">
        <f t="shared" si="67"/>
        <v>368298.18190426379</v>
      </c>
      <c r="H233" s="146">
        <f t="shared" si="67"/>
        <v>5447302.1899999995</v>
      </c>
      <c r="I233" s="85">
        <f t="shared" si="67"/>
        <v>5584365.9299999997</v>
      </c>
      <c r="J233" s="118">
        <f t="shared" si="67"/>
        <v>145925.74999999977</v>
      </c>
      <c r="K233" s="163">
        <f t="shared" si="67"/>
        <v>514223.93190426356</v>
      </c>
      <c r="L233" s="85">
        <f t="shared" si="67"/>
        <v>74561.33</v>
      </c>
      <c r="M233" s="85">
        <f t="shared" si="67"/>
        <v>588785.26190426364</v>
      </c>
    </row>
    <row r="234" spans="1:13">
      <c r="B234" s="28"/>
      <c r="G234" s="21"/>
    </row>
    <row r="235" spans="1:13">
      <c r="E235" s="102" t="str">
        <f>$E$73</f>
        <v>2013 Estimated Revenue Requirement</v>
      </c>
      <c r="F235" s="201">
        <v>5438440.1819042638</v>
      </c>
      <c r="H235" s="147"/>
      <c r="I235" s="29"/>
      <c r="K235" s="87"/>
      <c r="L235" s="90"/>
    </row>
    <row r="236" spans="1:13">
      <c r="E236" s="103" t="str">
        <f>$E$74</f>
        <v>2013 Rev Requirement Act</v>
      </c>
      <c r="F236" s="202">
        <v>5070142</v>
      </c>
      <c r="L236" s="87"/>
    </row>
    <row r="237" spans="1:13">
      <c r="E237" s="103" t="str">
        <f>$E$75</f>
        <v>Actual Revenue Booked</v>
      </c>
      <c r="F237" s="210">
        <f>I233</f>
        <v>5584365.9299999997</v>
      </c>
      <c r="G237" s="87"/>
    </row>
    <row r="239" spans="1:13">
      <c r="B239" s="88"/>
      <c r="C239" s="88"/>
      <c r="D239" s="88"/>
      <c r="E239" s="88"/>
      <c r="F239" s="88"/>
      <c r="G239" s="88"/>
      <c r="H239" s="88"/>
      <c r="I239" s="88"/>
      <c r="J239" s="88"/>
      <c r="K239" s="88"/>
      <c r="L239" s="88"/>
      <c r="M239" s="88"/>
    </row>
    <row r="241" spans="2:14">
      <c r="B241" s="78" t="s">
        <v>0</v>
      </c>
      <c r="C241" s="521" t="s">
        <v>139</v>
      </c>
      <c r="D241" s="522"/>
      <c r="E241" s="522"/>
      <c r="F241" s="522"/>
      <c r="G241" s="522"/>
      <c r="H241" s="523"/>
      <c r="I241" s="1"/>
    </row>
    <row r="242" spans="2:14" ht="15.75" customHeight="1">
      <c r="B242" s="76" t="s">
        <v>2</v>
      </c>
      <c r="C242" s="536" t="s">
        <v>140</v>
      </c>
      <c r="D242" s="525"/>
      <c r="E242" s="525"/>
      <c r="F242" s="525"/>
      <c r="G242" s="525"/>
      <c r="H242" s="526"/>
      <c r="I242" s="1"/>
    </row>
    <row r="243" spans="2:14">
      <c r="B243" s="76" t="s">
        <v>4</v>
      </c>
      <c r="C243" s="533" t="s">
        <v>117</v>
      </c>
      <c r="D243" s="525"/>
      <c r="E243" s="525"/>
      <c r="F243" s="525"/>
      <c r="G243" s="525"/>
      <c r="H243" s="526"/>
      <c r="I243" s="1"/>
    </row>
    <row r="244" spans="2:14" ht="15.75" customHeight="1">
      <c r="B244" s="77" t="s">
        <v>6</v>
      </c>
      <c r="C244" s="534" t="s">
        <v>141</v>
      </c>
      <c r="D244" s="531"/>
      <c r="E244" s="531"/>
      <c r="F244" s="531"/>
      <c r="G244" s="531"/>
      <c r="H244" s="532"/>
      <c r="I244" s="1"/>
    </row>
    <row r="245" spans="2:14">
      <c r="B245" s="82"/>
      <c r="C245" s="82"/>
      <c r="D245" s="82"/>
      <c r="E245" s="82"/>
      <c r="F245" s="82"/>
      <c r="J245" s="113" t="s">
        <v>163</v>
      </c>
      <c r="K245" s="3" t="s">
        <v>42</v>
      </c>
      <c r="M245" s="3" t="s">
        <v>56</v>
      </c>
    </row>
    <row r="246" spans="2:14">
      <c r="B246" s="82"/>
      <c r="C246" s="82"/>
      <c r="D246" s="82"/>
      <c r="E246" s="82"/>
      <c r="F246" s="82"/>
      <c r="G246" s="3" t="s">
        <v>39</v>
      </c>
      <c r="H246" s="142" t="s">
        <v>40</v>
      </c>
      <c r="I246" s="104" t="s">
        <v>41</v>
      </c>
      <c r="J246" s="114" t="s">
        <v>164</v>
      </c>
      <c r="K246" s="4" t="s">
        <v>165</v>
      </c>
      <c r="L246" s="4" t="s">
        <v>55</v>
      </c>
      <c r="M246" s="4" t="s">
        <v>166</v>
      </c>
      <c r="N246" s="233"/>
    </row>
    <row r="247" spans="2:14">
      <c r="B247" s="82"/>
      <c r="C247" s="82"/>
      <c r="D247" s="82"/>
      <c r="E247" s="82"/>
      <c r="F247" s="82"/>
      <c r="G247" s="5"/>
      <c r="H247" s="527" t="s">
        <v>43</v>
      </c>
      <c r="I247" s="528"/>
      <c r="J247" s="529"/>
      <c r="K247" s="6" t="s">
        <v>44</v>
      </c>
      <c r="L247" s="5"/>
      <c r="M247" s="6" t="s">
        <v>45</v>
      </c>
      <c r="N247" s="233"/>
    </row>
    <row r="248" spans="2:14">
      <c r="B248" s="83"/>
      <c r="C248" s="7">
        <v>0.2</v>
      </c>
      <c r="D248" s="7">
        <v>0.8</v>
      </c>
      <c r="E248" s="7"/>
      <c r="F248" s="98" t="s">
        <v>162</v>
      </c>
      <c r="G248" s="8" t="s">
        <v>46</v>
      </c>
      <c r="H248" s="143"/>
      <c r="I248" s="5"/>
      <c r="J248" s="115" t="s">
        <v>47</v>
      </c>
      <c r="K248" s="8" t="s">
        <v>48</v>
      </c>
      <c r="L248" s="9"/>
      <c r="M248" s="8" t="s">
        <v>49</v>
      </c>
    </row>
    <row r="249" spans="2:14">
      <c r="B249" s="10"/>
      <c r="C249" s="75" t="s">
        <v>9</v>
      </c>
      <c r="D249" s="75" t="s">
        <v>10</v>
      </c>
      <c r="E249" s="75" t="s">
        <v>11</v>
      </c>
      <c r="F249" s="99" t="s">
        <v>8</v>
      </c>
      <c r="G249" s="11" t="s">
        <v>50</v>
      </c>
      <c r="H249" s="144" t="s">
        <v>51</v>
      </c>
      <c r="I249" s="12" t="s">
        <v>159</v>
      </c>
      <c r="J249" s="116" t="s">
        <v>50</v>
      </c>
      <c r="K249" s="12" t="s">
        <v>50</v>
      </c>
      <c r="L249" s="12" t="s">
        <v>52</v>
      </c>
      <c r="M249" s="12" t="s">
        <v>53</v>
      </c>
    </row>
    <row r="250" spans="2:14" ht="31.5">
      <c r="B250" s="13" t="s">
        <v>13</v>
      </c>
      <c r="C250" s="14" t="s">
        <v>14</v>
      </c>
      <c r="D250" s="14" t="s">
        <v>14</v>
      </c>
      <c r="E250" s="111" t="s">
        <v>14</v>
      </c>
      <c r="F250" s="100" t="s">
        <v>15</v>
      </c>
      <c r="G250" s="16" t="s">
        <v>54</v>
      </c>
      <c r="H250" s="145"/>
      <c r="I250" s="17"/>
      <c r="J250" s="117" t="s">
        <v>54</v>
      </c>
      <c r="K250" s="17"/>
      <c r="L250" s="17"/>
      <c r="M250" s="16" t="s">
        <v>54</v>
      </c>
    </row>
    <row r="251" spans="2:14" s="87" customFormat="1">
      <c r="B251" s="18" t="s">
        <v>16</v>
      </c>
      <c r="C251" s="278">
        <v>0</v>
      </c>
      <c r="D251" s="20">
        <v>0</v>
      </c>
      <c r="E251" s="279">
        <v>2.5488081999999999E-2</v>
      </c>
      <c r="F251" s="282">
        <f>ROUND(+E251*F$277,2)</f>
        <v>525416.31999999995</v>
      </c>
      <c r="G251" s="71">
        <f t="shared" ref="G251:G274" si="68">(F$277-F$278)*E251</f>
        <v>93558.973164535695</v>
      </c>
      <c r="H251" s="71">
        <f>ROUND(F251*'Actual Load'!$B$8/'Zonal Load'!$N$8,2)</f>
        <v>525416.31999999995</v>
      </c>
      <c r="I251" s="71">
        <f t="shared" ref="I251:I274" si="69">ROUND((H251*$H$708)/$H$706,2)</f>
        <v>538636.72</v>
      </c>
      <c r="J251" s="71">
        <f t="shared" ref="J251:J274" si="70">I251-F251</f>
        <v>13220.400000000023</v>
      </c>
      <c r="K251" s="71">
        <f t="shared" ref="K251:K274" si="71">+G251+J251</f>
        <v>106779.37316453572</v>
      </c>
      <c r="L251" s="204">
        <f>ROUND(E251*'Interest Over Collect '!$J$10,2)</f>
        <v>7203.49</v>
      </c>
      <c r="M251" s="71">
        <f>+K251+L251</f>
        <v>113982.86316453572</v>
      </c>
      <c r="N251" s="92"/>
    </row>
    <row r="252" spans="2:14" s="87" customFormat="1">
      <c r="B252" s="23" t="s">
        <v>17</v>
      </c>
      <c r="C252" s="278">
        <v>0</v>
      </c>
      <c r="D252" s="20">
        <v>0</v>
      </c>
      <c r="E252" s="279">
        <v>1.2261119999999999E-3</v>
      </c>
      <c r="F252" s="280">
        <f>ROUND(+E252*F$277,2)</f>
        <v>25275.31</v>
      </c>
      <c r="G252" s="71">
        <f t="shared" si="68"/>
        <v>4500.6830919923741</v>
      </c>
      <c r="H252" s="71">
        <f>ROUND(F252*'Actual Load'!$B$14/'Zonal Load'!$N$14,2)</f>
        <v>26039</v>
      </c>
      <c r="I252" s="71">
        <f t="shared" si="69"/>
        <v>26694.19</v>
      </c>
      <c r="J252" s="71">
        <f t="shared" si="70"/>
        <v>1418.8799999999974</v>
      </c>
      <c r="K252" s="71">
        <f t="shared" si="71"/>
        <v>5919.5630919923715</v>
      </c>
      <c r="L252" s="204">
        <f>ROUND(E252*'Interest Over Collect '!$J$10,2)</f>
        <v>346.53</v>
      </c>
      <c r="M252" s="71">
        <f t="shared" ref="M252:M274" si="72">+K252+L252</f>
        <v>6266.0930919923712</v>
      </c>
      <c r="N252" s="92"/>
    </row>
    <row r="253" spans="2:14" s="87" customFormat="1">
      <c r="B253" s="23" t="s">
        <v>201</v>
      </c>
      <c r="C253" s="278">
        <f>0%*0.421</f>
        <v>0</v>
      </c>
      <c r="D253" s="20">
        <f>0%*0.421</f>
        <v>0</v>
      </c>
      <c r="E253" s="279">
        <f>2.3244843%*0.421</f>
        <v>9.7860789029999996E-3</v>
      </c>
      <c r="F253" s="280">
        <f t="shared" ref="F253:F274" si="73">ROUND(+E253*F$277,2)</f>
        <v>201732.15</v>
      </c>
      <c r="G253" s="71">
        <f t="shared" si="68"/>
        <v>35921.71013385024</v>
      </c>
      <c r="H253" s="71">
        <f>ROUND(F253*'Actual Load'!$B$9/'Zonal Load'!$N$9,2)</f>
        <v>201732.15</v>
      </c>
      <c r="I253" s="71">
        <f t="shared" si="69"/>
        <v>206808.09</v>
      </c>
      <c r="J253" s="71">
        <f t="shared" si="70"/>
        <v>5075.9400000000023</v>
      </c>
      <c r="K253" s="71">
        <f t="shared" si="71"/>
        <v>40997.650133850242</v>
      </c>
      <c r="L253" s="204">
        <f>ROUND(E253*'Interest Over Collect '!$J$10,2)</f>
        <v>2765.76</v>
      </c>
      <c r="M253" s="71">
        <f t="shared" si="72"/>
        <v>43763.410133850244</v>
      </c>
      <c r="N253" s="92"/>
    </row>
    <row r="254" spans="2:14" s="87" customFormat="1">
      <c r="B254" s="140" t="s">
        <v>260</v>
      </c>
      <c r="C254" s="278">
        <f>0%*0.579</f>
        <v>0</v>
      </c>
      <c r="D254" s="20">
        <f>0%*0.579</f>
        <v>0</v>
      </c>
      <c r="E254" s="279">
        <f>2.3244843%*0.579</f>
        <v>1.3458764097E-2</v>
      </c>
      <c r="F254" s="280">
        <f t="shared" si="73"/>
        <v>277441.59999999998</v>
      </c>
      <c r="G254" s="71">
        <f>(F$277-F$278)*E254</f>
        <v>49403.017024938934</v>
      </c>
      <c r="H254" s="71">
        <f>ROUND(F254*'Actual Load'!$B$10/'Zonal Load'!$N$10,2)</f>
        <v>284246.32</v>
      </c>
      <c r="I254" s="71">
        <f t="shared" si="69"/>
        <v>291398.46000000002</v>
      </c>
      <c r="J254" s="71">
        <f>I254-F254</f>
        <v>13956.860000000044</v>
      </c>
      <c r="K254" s="71">
        <f>+G254+J254</f>
        <v>63359.877024938978</v>
      </c>
      <c r="L254" s="204">
        <f>ROUND(E254*'Interest Over Collect '!$J$10,2)</f>
        <v>3803.74</v>
      </c>
      <c r="M254" s="71">
        <f>+K254+L254</f>
        <v>67163.617024938983</v>
      </c>
      <c r="N254" s="92"/>
    </row>
    <row r="255" spans="2:14" s="87" customFormat="1">
      <c r="B255" s="23" t="s">
        <v>18</v>
      </c>
      <c r="C255" s="278">
        <v>0</v>
      </c>
      <c r="D255" s="20">
        <v>0</v>
      </c>
      <c r="E255" s="279">
        <v>2.2930939999999999E-3</v>
      </c>
      <c r="F255" s="280">
        <f t="shared" si="73"/>
        <v>47270.29</v>
      </c>
      <c r="G255" s="71">
        <f t="shared" si="68"/>
        <v>8417.2485010742585</v>
      </c>
      <c r="H255" s="71">
        <f>ROUND(F255*'Actual Load'!$B$26/'Zonal Load'!$N$26,2)</f>
        <v>46298</v>
      </c>
      <c r="I255" s="71">
        <f t="shared" si="69"/>
        <v>47462.94</v>
      </c>
      <c r="J255" s="71">
        <f t="shared" si="70"/>
        <v>192.65000000000146</v>
      </c>
      <c r="K255" s="71">
        <f t="shared" si="71"/>
        <v>8609.8985010742599</v>
      </c>
      <c r="L255" s="204">
        <f>ROUND(E255*'Interest Over Collect '!$J$10,2)</f>
        <v>648.08000000000004</v>
      </c>
      <c r="M255" s="71">
        <f t="shared" si="72"/>
        <v>9257.9785010742598</v>
      </c>
      <c r="N255" s="92"/>
    </row>
    <row r="256" spans="2:14" s="87" customFormat="1">
      <c r="B256" s="23" t="s">
        <v>19</v>
      </c>
      <c r="C256" s="278">
        <v>0</v>
      </c>
      <c r="D256" s="20">
        <v>0</v>
      </c>
      <c r="E256" s="279">
        <v>5.749667E-3</v>
      </c>
      <c r="F256" s="280">
        <f t="shared" si="73"/>
        <v>118524.76</v>
      </c>
      <c r="G256" s="71">
        <f t="shared" si="68"/>
        <v>21105.273459102042</v>
      </c>
      <c r="H256" s="71">
        <f>ROUND(F256*'Actual Load'!$B$16/'Zonal Load'!$N$16,2)</f>
        <v>120773.57</v>
      </c>
      <c r="I256" s="71">
        <f t="shared" si="69"/>
        <v>123812.45</v>
      </c>
      <c r="J256" s="71">
        <f t="shared" si="70"/>
        <v>5287.6900000000023</v>
      </c>
      <c r="K256" s="71">
        <f t="shared" si="71"/>
        <v>26392.963459102044</v>
      </c>
      <c r="L256" s="204">
        <f>ROUND(E256*'Interest Over Collect '!$J$10,2)</f>
        <v>1624.98</v>
      </c>
      <c r="M256" s="71">
        <f t="shared" si="72"/>
        <v>28017.943459102044</v>
      </c>
      <c r="N256" s="92"/>
    </row>
    <row r="257" spans="1:14" s="87" customFormat="1">
      <c r="B257" s="23" t="s">
        <v>20</v>
      </c>
      <c r="C257" s="278">
        <v>0</v>
      </c>
      <c r="D257" s="20">
        <v>0</v>
      </c>
      <c r="E257" s="279">
        <v>6.6300689999999997E-3</v>
      </c>
      <c r="F257" s="280">
        <f t="shared" si="73"/>
        <v>136673.54</v>
      </c>
      <c r="G257" s="71">
        <f t="shared" si="68"/>
        <v>24336.960609669255</v>
      </c>
      <c r="H257" s="71">
        <f>ROUND(F257*'Actual Load'!$B$22/'Zonal Load'!$N$22,2)</f>
        <v>141164.62</v>
      </c>
      <c r="I257" s="71">
        <f t="shared" si="69"/>
        <v>144716.57</v>
      </c>
      <c r="J257" s="71">
        <f t="shared" si="70"/>
        <v>8043.0299999999988</v>
      </c>
      <c r="K257" s="71">
        <f t="shared" si="71"/>
        <v>32379.990609669254</v>
      </c>
      <c r="L257" s="204">
        <f>ROUND(E257*'Interest Over Collect '!$J$10,2)</f>
        <v>1873.8</v>
      </c>
      <c r="M257" s="71">
        <f t="shared" si="72"/>
        <v>34253.790609669253</v>
      </c>
      <c r="N257" s="92"/>
    </row>
    <row r="258" spans="1:14" s="87" customFormat="1">
      <c r="B258" s="23" t="s">
        <v>21</v>
      </c>
      <c r="C258" s="278">
        <v>0</v>
      </c>
      <c r="D258" s="20">
        <v>0</v>
      </c>
      <c r="E258" s="279">
        <v>1.553598E-2</v>
      </c>
      <c r="F258" s="280">
        <f t="shared" si="73"/>
        <v>320261.74</v>
      </c>
      <c r="G258" s="71">
        <f t="shared" si="68"/>
        <v>57027.842891621396</v>
      </c>
      <c r="H258" s="71">
        <f>ROUND(F258*'Actual Load'!$B$17/'Zonal Load'!$N$17,2)</f>
        <v>322842.11</v>
      </c>
      <c r="I258" s="71">
        <f t="shared" si="69"/>
        <v>330965.39</v>
      </c>
      <c r="J258" s="71">
        <f t="shared" si="70"/>
        <v>10703.650000000023</v>
      </c>
      <c r="K258" s="71">
        <f t="shared" si="71"/>
        <v>67731.492891621427</v>
      </c>
      <c r="L258" s="204">
        <f>ROUND(E258*'Interest Over Collect '!$J$10,2)</f>
        <v>4390.8100000000004</v>
      </c>
      <c r="M258" s="71">
        <f t="shared" si="72"/>
        <v>72122.302891621424</v>
      </c>
      <c r="N258" s="92"/>
    </row>
    <row r="259" spans="1:14" s="87" customFormat="1">
      <c r="B259" s="23" t="s">
        <v>22</v>
      </c>
      <c r="C259" s="278">
        <v>0</v>
      </c>
      <c r="D259" s="20">
        <v>0</v>
      </c>
      <c r="E259" s="279">
        <v>2.0611763000000002E-2</v>
      </c>
      <c r="F259" s="280">
        <f t="shared" si="73"/>
        <v>424894.92</v>
      </c>
      <c r="G259" s="71">
        <f t="shared" si="68"/>
        <v>75659.49377402231</v>
      </c>
      <c r="H259" s="71">
        <f>ROUND(F259*'Actual Load'!$B$15/'Zonal Load'!$N$15,2)</f>
        <v>424894.92</v>
      </c>
      <c r="I259" s="71">
        <f t="shared" si="69"/>
        <v>435586.03</v>
      </c>
      <c r="J259" s="71">
        <f t="shared" si="70"/>
        <v>10691.110000000044</v>
      </c>
      <c r="K259" s="71">
        <f t="shared" si="71"/>
        <v>86350.603774022355</v>
      </c>
      <c r="L259" s="204">
        <f>ROUND(E259*'Interest Over Collect '!$J$10,2)</f>
        <v>5825.33</v>
      </c>
      <c r="M259" s="71">
        <f t="shared" si="72"/>
        <v>92175.933774022356</v>
      </c>
      <c r="N259" s="92"/>
    </row>
    <row r="260" spans="1:14" s="87" customFormat="1">
      <c r="B260" s="23" t="s">
        <v>23</v>
      </c>
      <c r="C260" s="278">
        <v>0</v>
      </c>
      <c r="D260" s="20">
        <v>0</v>
      </c>
      <c r="E260" s="279">
        <v>1.1657959000000001E-2</v>
      </c>
      <c r="F260" s="280">
        <f t="shared" si="73"/>
        <v>240319.45</v>
      </c>
      <c r="G260" s="71">
        <f t="shared" si="68"/>
        <v>42792.810900179051</v>
      </c>
      <c r="H260" s="71">
        <f>ROUND(F260*'Actual Load'!$B$4/'Zonal Load'!$N$4,2)</f>
        <v>241303.27</v>
      </c>
      <c r="I260" s="71">
        <f t="shared" si="69"/>
        <v>247374.89</v>
      </c>
      <c r="J260" s="71">
        <f t="shared" si="70"/>
        <v>7055.4400000000023</v>
      </c>
      <c r="K260" s="71">
        <f t="shared" si="71"/>
        <v>49848.250900179053</v>
      </c>
      <c r="L260" s="204">
        <f>ROUND(E260*'Interest Over Collect '!$J$10,2)</f>
        <v>3294.79</v>
      </c>
      <c r="M260" s="71">
        <f t="shared" si="72"/>
        <v>53143.040900179054</v>
      </c>
      <c r="N260" s="92"/>
    </row>
    <row r="261" spans="1:14" s="87" customFormat="1">
      <c r="B261" s="23" t="s">
        <v>24</v>
      </c>
      <c r="C261" s="278">
        <v>0</v>
      </c>
      <c r="D261" s="20">
        <v>0</v>
      </c>
      <c r="E261" s="279">
        <v>5.1956699999999997E-4</v>
      </c>
      <c r="F261" s="280">
        <f t="shared" si="73"/>
        <v>10710.46</v>
      </c>
      <c r="G261" s="71">
        <f t="shared" si="68"/>
        <v>1907.1719484494092</v>
      </c>
      <c r="H261" s="71">
        <f>ROUND(F261*'Actual Load'!$B$11/'Zonal Load'!$N$11,2)</f>
        <v>10690.19</v>
      </c>
      <c r="I261" s="71">
        <f t="shared" si="69"/>
        <v>10959.17</v>
      </c>
      <c r="J261" s="71">
        <f t="shared" si="70"/>
        <v>248.71000000000095</v>
      </c>
      <c r="K261" s="71">
        <f t="shared" si="71"/>
        <v>2155.8819484494102</v>
      </c>
      <c r="L261" s="204">
        <f>ROUND(E261*'Interest Over Collect '!$J$10,2)</f>
        <v>146.84</v>
      </c>
      <c r="M261" s="71">
        <f t="shared" si="72"/>
        <v>2302.7219484494103</v>
      </c>
      <c r="N261" s="92"/>
    </row>
    <row r="262" spans="1:14" s="87" customFormat="1">
      <c r="B262" s="23" t="s">
        <v>26</v>
      </c>
      <c r="C262" s="278">
        <v>0</v>
      </c>
      <c r="D262" s="20">
        <v>0</v>
      </c>
      <c r="E262" s="279">
        <v>1.5676696E-2</v>
      </c>
      <c r="F262" s="280">
        <f t="shared" si="73"/>
        <v>323162.48</v>
      </c>
      <c r="G262" s="71">
        <f t="shared" si="68"/>
        <v>57544.368398241349</v>
      </c>
      <c r="H262" s="71">
        <f>ROUND(F262*'Actual Load'!$B$7/'Zonal Load'!$N$7,2)</f>
        <v>323366.03999999998</v>
      </c>
      <c r="I262" s="71">
        <f t="shared" si="69"/>
        <v>331502.5</v>
      </c>
      <c r="J262" s="71">
        <f t="shared" si="70"/>
        <v>8340.0200000000186</v>
      </c>
      <c r="K262" s="71">
        <f t="shared" si="71"/>
        <v>65884.388398241368</v>
      </c>
      <c r="L262" s="204">
        <f>ROUND(E262*'Interest Over Collect '!$J$10,2)</f>
        <v>4430.58</v>
      </c>
      <c r="M262" s="71">
        <f t="shared" si="72"/>
        <v>70314.96839824137</v>
      </c>
      <c r="N262" s="92"/>
    </row>
    <row r="263" spans="1:14" s="87" customFormat="1">
      <c r="B263" s="23" t="s">
        <v>25</v>
      </c>
      <c r="C263" s="278">
        <v>0</v>
      </c>
      <c r="D263" s="20">
        <v>0</v>
      </c>
      <c r="E263" s="279">
        <v>1.5696008000000001E-2</v>
      </c>
      <c r="F263" s="280">
        <f t="shared" si="73"/>
        <v>323560.58</v>
      </c>
      <c r="G263" s="71">
        <f t="shared" si="68"/>
        <v>57615.256858571694</v>
      </c>
      <c r="H263" s="71">
        <f>ROUND(F263*'Actual Load'!$B$6/'Zonal Load'!$N$6,2)</f>
        <v>325554.83</v>
      </c>
      <c r="I263" s="71">
        <f t="shared" si="69"/>
        <v>333746.36</v>
      </c>
      <c r="J263" s="71">
        <f t="shared" si="70"/>
        <v>10185.77999999997</v>
      </c>
      <c r="K263" s="71">
        <f t="shared" si="71"/>
        <v>67801.036858571664</v>
      </c>
      <c r="L263" s="204">
        <f>ROUND(E263*'Interest Over Collect '!$J$10,2)</f>
        <v>4436.03</v>
      </c>
      <c r="M263" s="71">
        <f t="shared" si="72"/>
        <v>72237.066858571663</v>
      </c>
      <c r="N263" s="92"/>
    </row>
    <row r="264" spans="1:14" s="87" customFormat="1">
      <c r="B264" s="23" t="s">
        <v>119</v>
      </c>
      <c r="C264" s="278">
        <v>0</v>
      </c>
      <c r="D264" s="20">
        <v>0</v>
      </c>
      <c r="E264" s="279">
        <v>1.07398E-3</v>
      </c>
      <c r="F264" s="280">
        <f t="shared" si="73"/>
        <v>22139.23</v>
      </c>
      <c r="G264" s="71">
        <f t="shared" si="68"/>
        <v>3942.2529321448374</v>
      </c>
      <c r="H264" s="71">
        <f>ROUND(F264*'Actual Load'!$B$18/'Zonal Load'!$N$18,2)</f>
        <v>22304.61</v>
      </c>
      <c r="I264" s="71">
        <f t="shared" si="69"/>
        <v>22865.83</v>
      </c>
      <c r="J264" s="71">
        <f t="shared" si="70"/>
        <v>726.60000000000218</v>
      </c>
      <c r="K264" s="71">
        <f t="shared" si="71"/>
        <v>4668.8529321448395</v>
      </c>
      <c r="L264" s="204">
        <f>ROUND(E264*'Interest Over Collect '!$J$10,2)</f>
        <v>303.52999999999997</v>
      </c>
      <c r="M264" s="71">
        <f t="shared" si="72"/>
        <v>4972.3829321448393</v>
      </c>
      <c r="N264" s="92"/>
    </row>
    <row r="265" spans="1:14" s="87" customFormat="1">
      <c r="B265" s="23" t="s">
        <v>120</v>
      </c>
      <c r="C265" s="278">
        <v>0</v>
      </c>
      <c r="D265" s="20">
        <v>0</v>
      </c>
      <c r="E265" s="279">
        <v>2.7865700000000003E-4</v>
      </c>
      <c r="F265" s="280">
        <f t="shared" si="73"/>
        <v>5744.29</v>
      </c>
      <c r="G265" s="71">
        <f t="shared" si="68"/>
        <v>1022.8648348318255</v>
      </c>
      <c r="H265" s="71">
        <f>ROUND(F265*'Actual Load'!$B$17/'Zonal Load'!$N$17,2)</f>
        <v>5790.57</v>
      </c>
      <c r="I265" s="71">
        <f t="shared" si="69"/>
        <v>5936.27</v>
      </c>
      <c r="J265" s="71">
        <f t="shared" si="70"/>
        <v>191.98000000000047</v>
      </c>
      <c r="K265" s="71">
        <f t="shared" si="71"/>
        <v>1214.8448348318261</v>
      </c>
      <c r="L265" s="204">
        <f>ROUND(E265*'Interest Over Collect '!$J$10,2)</f>
        <v>78.75</v>
      </c>
      <c r="M265" s="71">
        <f t="shared" si="72"/>
        <v>1293.5948348318261</v>
      </c>
      <c r="N265" s="92"/>
    </row>
    <row r="266" spans="1:14" s="87" customFormat="1">
      <c r="A266" s="23"/>
      <c r="B266" s="23" t="s">
        <v>27</v>
      </c>
      <c r="C266" s="278">
        <v>0</v>
      </c>
      <c r="D266" s="20">
        <v>0</v>
      </c>
      <c r="E266" s="279">
        <v>7.74912E-4</v>
      </c>
      <c r="F266" s="280">
        <f t="shared" si="73"/>
        <v>15974.19</v>
      </c>
      <c r="G266" s="71">
        <f t="shared" si="68"/>
        <v>2844.4655432635805</v>
      </c>
      <c r="H266" s="71">
        <f>ROUND(F266*'Actual Load'!$B$12/'Zonal Load'!$N$12,2)</f>
        <v>15898</v>
      </c>
      <c r="I266" s="71">
        <f t="shared" si="69"/>
        <v>16298.02</v>
      </c>
      <c r="J266" s="71">
        <f t="shared" si="70"/>
        <v>323.82999999999993</v>
      </c>
      <c r="K266" s="71">
        <f t="shared" si="71"/>
        <v>3168.2955432635804</v>
      </c>
      <c r="L266" s="204">
        <f>ROUND(E266*'Interest Over Collect '!$J$10,2)</f>
        <v>219.01</v>
      </c>
      <c r="M266" s="71">
        <f t="shared" si="72"/>
        <v>3387.3055432635801</v>
      </c>
      <c r="N266" s="92"/>
    </row>
    <row r="267" spans="1:14" s="87" customFormat="1">
      <c r="A267" s="23"/>
      <c r="B267" s="23" t="s">
        <v>28</v>
      </c>
      <c r="C267" s="278">
        <v>0</v>
      </c>
      <c r="D267" s="20">
        <v>0</v>
      </c>
      <c r="E267" s="279">
        <v>8.2087299999999996E-4</v>
      </c>
      <c r="F267" s="280">
        <f t="shared" si="73"/>
        <v>16921.64</v>
      </c>
      <c r="G267" s="71">
        <f t="shared" si="68"/>
        <v>3013.1743525657171</v>
      </c>
      <c r="H267" s="71">
        <f>ROUND(F267*'Actual Load'!$B$24/'Zonal Load'!$N$24,2)</f>
        <v>19875.169999999998</v>
      </c>
      <c r="I267" s="71">
        <f t="shared" si="69"/>
        <v>20375.259999999998</v>
      </c>
      <c r="J267" s="71">
        <f t="shared" si="70"/>
        <v>3453.619999999999</v>
      </c>
      <c r="K267" s="71">
        <f t="shared" si="71"/>
        <v>6466.7943525657156</v>
      </c>
      <c r="L267" s="204">
        <f>ROUND(E267*'Interest Over Collect '!$J$10,2)</f>
        <v>232</v>
      </c>
      <c r="M267" s="71">
        <f t="shared" si="72"/>
        <v>6698.7943525657156</v>
      </c>
      <c r="N267" s="92"/>
    </row>
    <row r="268" spans="1:14">
      <c r="A268" s="23"/>
      <c r="B268" s="23" t="s">
        <v>29</v>
      </c>
      <c r="C268" s="19">
        <v>0</v>
      </c>
      <c r="D268" s="20">
        <v>0</v>
      </c>
      <c r="E268" s="173">
        <v>3.0205915999999999E-2</v>
      </c>
      <c r="F268" s="105">
        <f t="shared" si="73"/>
        <v>622670.67000000004</v>
      </c>
      <c r="G268" s="71">
        <f t="shared" si="68"/>
        <v>110876.70247036319</v>
      </c>
      <c r="H268" s="89">
        <f>ROUND(F268*'Actual Load'!$B$5/'Zonal Load'!$N$5,2)</f>
        <v>680598.23</v>
      </c>
      <c r="I268" s="21">
        <f t="shared" si="69"/>
        <v>697723.28</v>
      </c>
      <c r="J268" s="71">
        <f t="shared" si="70"/>
        <v>75052.609999999986</v>
      </c>
      <c r="K268" s="71">
        <f t="shared" si="71"/>
        <v>185929.31247036316</v>
      </c>
      <c r="L268" s="204">
        <f>ROUND(E268*'Interest Over Collect '!$J$10,2)</f>
        <v>8536.85</v>
      </c>
      <c r="M268" s="89">
        <f t="shared" si="72"/>
        <v>194466.16247036317</v>
      </c>
    </row>
    <row r="269" spans="1:14">
      <c r="A269" s="23"/>
      <c r="B269" s="23" t="s">
        <v>30</v>
      </c>
      <c r="C269" s="19">
        <v>0</v>
      </c>
      <c r="D269" s="20">
        <v>0</v>
      </c>
      <c r="E269" s="173">
        <v>0.49475347800000002</v>
      </c>
      <c r="F269" s="105">
        <f t="shared" si="73"/>
        <v>10198945.130000001</v>
      </c>
      <c r="G269" s="71">
        <f t="shared" si="68"/>
        <v>1816089.079251342</v>
      </c>
      <c r="H269" s="89">
        <f>ROUND(F269*'Actual Load'!$B$21/'Zonal Load'!$N$21,2)</f>
        <v>10398912.189999999</v>
      </c>
      <c r="I269" s="21">
        <f t="shared" si="69"/>
        <v>10660567.18</v>
      </c>
      <c r="J269" s="71">
        <f t="shared" si="70"/>
        <v>461622.04999999888</v>
      </c>
      <c r="K269" s="71">
        <f t="shared" si="71"/>
        <v>2277711.1292513409</v>
      </c>
      <c r="L269" s="204">
        <f>ROUND(E269*'Interest Over Collect '!$J$10,2)</f>
        <v>139828.12</v>
      </c>
      <c r="M269" s="89">
        <f t="shared" si="72"/>
        <v>2417539.249251341</v>
      </c>
    </row>
    <row r="270" spans="1:14">
      <c r="A270" s="23"/>
      <c r="B270" s="23" t="s">
        <v>31</v>
      </c>
      <c r="C270" s="19">
        <v>0</v>
      </c>
      <c r="D270" s="20">
        <v>0</v>
      </c>
      <c r="E270" s="173">
        <v>9.7935486000000002E-2</v>
      </c>
      <c r="F270" s="105">
        <f t="shared" si="73"/>
        <v>2018861.3</v>
      </c>
      <c r="G270" s="71">
        <f t="shared" si="68"/>
        <v>359491.29112695734</v>
      </c>
      <c r="H270" s="89">
        <f>ROUND(F270*'Actual Load'!$B$19/'Zonal Load'!$N$19,2)</f>
        <v>1845817.08</v>
      </c>
      <c r="I270" s="21">
        <f t="shared" si="69"/>
        <v>1892261.1</v>
      </c>
      <c r="J270" s="71">
        <f t="shared" si="70"/>
        <v>-126600.19999999995</v>
      </c>
      <c r="K270" s="71">
        <f t="shared" si="71"/>
        <v>232891.09112695738</v>
      </c>
      <c r="L270" s="204">
        <f>ROUND(E270*'Interest Over Collect '!$J$10,2)</f>
        <v>27678.7</v>
      </c>
      <c r="M270" s="89">
        <f t="shared" si="72"/>
        <v>260569.7911269574</v>
      </c>
    </row>
    <row r="271" spans="1:14">
      <c r="A271" s="23"/>
      <c r="B271" s="23" t="s">
        <v>32</v>
      </c>
      <c r="C271" s="19">
        <v>0</v>
      </c>
      <c r="D271" s="20">
        <v>0</v>
      </c>
      <c r="E271" s="173">
        <v>5.7825300000000004E-4</v>
      </c>
      <c r="F271" s="105">
        <f t="shared" si="73"/>
        <v>11920.22</v>
      </c>
      <c r="G271" s="71">
        <f t="shared" si="68"/>
        <v>2122.5903506318077</v>
      </c>
      <c r="H271" s="89">
        <f>ROUND(F271*'Actual Load'!$B$25/'Zonal Load'!$N$25,2)</f>
        <v>11839.83</v>
      </c>
      <c r="I271" s="21">
        <f t="shared" si="69"/>
        <v>12137.74</v>
      </c>
      <c r="J271" s="71">
        <f t="shared" si="70"/>
        <v>217.52000000000044</v>
      </c>
      <c r="K271" s="71">
        <f t="shared" si="71"/>
        <v>2340.1103506318082</v>
      </c>
      <c r="L271" s="204">
        <f>ROUND(E271*'Interest Over Collect '!$J$10,2)</f>
        <v>163.43</v>
      </c>
      <c r="M271" s="89">
        <f t="shared" si="72"/>
        <v>2503.540350631808</v>
      </c>
    </row>
    <row r="272" spans="1:14">
      <c r="A272" s="23"/>
      <c r="B272" s="23" t="s">
        <v>33</v>
      </c>
      <c r="C272" s="19">
        <v>0</v>
      </c>
      <c r="D272" s="20">
        <v>0</v>
      </c>
      <c r="E272" s="173">
        <v>3.2541869000000001E-2</v>
      </c>
      <c r="F272" s="105">
        <f t="shared" si="73"/>
        <v>670824.46</v>
      </c>
      <c r="G272" s="71">
        <f t="shared" si="68"/>
        <v>119451.27328509207</v>
      </c>
      <c r="H272" s="89">
        <f>ROUND(F272*'Actual Load'!$B$13/'Zonal Load'!$N$13,2)</f>
        <v>672597.78</v>
      </c>
      <c r="I272" s="21">
        <f t="shared" si="69"/>
        <v>689521.53</v>
      </c>
      <c r="J272" s="71">
        <f t="shared" si="70"/>
        <v>18697.070000000065</v>
      </c>
      <c r="K272" s="71">
        <f t="shared" si="71"/>
        <v>138148.34328509215</v>
      </c>
      <c r="L272" s="204">
        <f>ROUND(E272*'Interest Over Collect '!$J$10,2)</f>
        <v>9197.0400000000009</v>
      </c>
      <c r="M272" s="89">
        <f t="shared" si="72"/>
        <v>147345.38328509216</v>
      </c>
    </row>
    <row r="273" spans="1:14">
      <c r="A273" s="23"/>
      <c r="B273" s="23" t="s">
        <v>34</v>
      </c>
      <c r="C273" s="19">
        <v>0</v>
      </c>
      <c r="D273" s="20">
        <v>0</v>
      </c>
      <c r="E273" s="173">
        <v>0.18369840200000001</v>
      </c>
      <c r="F273" s="105">
        <f t="shared" si="73"/>
        <v>3786794.85</v>
      </c>
      <c r="G273" s="71">
        <f t="shared" si="68"/>
        <v>674300.79136931885</v>
      </c>
      <c r="H273" s="89">
        <f>ROUND(F273*'Actual Load'!$B$23/'Zonal Load'!$N$23,2)</f>
        <v>3926415.26</v>
      </c>
      <c r="I273" s="21">
        <f t="shared" si="69"/>
        <v>4025210.8</v>
      </c>
      <c r="J273" s="71">
        <f t="shared" si="70"/>
        <v>238415.94999999972</v>
      </c>
      <c r="K273" s="71">
        <f t="shared" si="71"/>
        <v>912716.74136931857</v>
      </c>
      <c r="L273" s="204">
        <f>ROUND(E273*'Interest Over Collect '!$J$10,2)</f>
        <v>51917.17</v>
      </c>
      <c r="M273" s="89">
        <f t="shared" si="72"/>
        <v>964633.91136931861</v>
      </c>
    </row>
    <row r="274" spans="1:14">
      <c r="B274" s="23" t="s">
        <v>35</v>
      </c>
      <c r="C274" s="19">
        <v>0</v>
      </c>
      <c r="D274" s="20">
        <v>0</v>
      </c>
      <c r="E274" s="174">
        <v>1.3008333E-2</v>
      </c>
      <c r="F274" s="105">
        <f t="shared" si="73"/>
        <v>268156.33</v>
      </c>
      <c r="G274" s="71">
        <f t="shared" si="68"/>
        <v>47749.621884547618</v>
      </c>
      <c r="H274" s="89">
        <f>ROUND(F274*'Actual Load'!$B$20/'Zonal Load'!$N$20,2)</f>
        <v>176705.75</v>
      </c>
      <c r="I274" s="21">
        <f t="shared" si="69"/>
        <v>181151.98</v>
      </c>
      <c r="J274" s="71">
        <f t="shared" si="70"/>
        <v>-87004.35</v>
      </c>
      <c r="K274" s="71">
        <f t="shared" si="71"/>
        <v>-39254.728115452388</v>
      </c>
      <c r="L274" s="204">
        <f>ROUND(E274*'Interest Over Collect '!$J$10,2)</f>
        <v>3676.44</v>
      </c>
      <c r="M274" s="89">
        <f t="shared" si="72"/>
        <v>-35578.288115452386</v>
      </c>
    </row>
    <row r="275" spans="1:14">
      <c r="B275" s="25"/>
      <c r="C275" s="26">
        <f t="shared" ref="C275:M275" si="74">SUM(C251:C274)</f>
        <v>0</v>
      </c>
      <c r="D275" s="27">
        <f t="shared" si="74"/>
        <v>0</v>
      </c>
      <c r="E275" s="106">
        <f t="shared" si="74"/>
        <v>0.99999999900000014</v>
      </c>
      <c r="F275" s="101">
        <f t="shared" si="74"/>
        <v>20614195.91</v>
      </c>
      <c r="G275" s="84">
        <f t="shared" si="74"/>
        <v>3670694.918157306</v>
      </c>
      <c r="H275" s="146">
        <f t="shared" si="74"/>
        <v>20771075.809999999</v>
      </c>
      <c r="I275" s="85">
        <f t="shared" si="74"/>
        <v>21293712.75</v>
      </c>
      <c r="J275" s="85">
        <f t="shared" si="74"/>
        <v>679516.8399999988</v>
      </c>
      <c r="K275" s="163">
        <f t="shared" si="74"/>
        <v>4350211.7581573054</v>
      </c>
      <c r="L275" s="85">
        <f t="shared" si="74"/>
        <v>282621.8</v>
      </c>
      <c r="M275" s="85">
        <f t="shared" si="74"/>
        <v>4632833.5581573052</v>
      </c>
    </row>
    <row r="276" spans="1:14">
      <c r="B276" s="92"/>
      <c r="C276" s="92"/>
      <c r="D276" s="92"/>
      <c r="E276" s="92"/>
      <c r="F276" s="92"/>
      <c r="G276" s="21"/>
      <c r="H276" s="148"/>
      <c r="I276" s="29"/>
      <c r="J276" s="121"/>
      <c r="K276" s="92"/>
      <c r="L276" s="92"/>
      <c r="M276" s="92"/>
    </row>
    <row r="277" spans="1:14">
      <c r="B277" s="92"/>
      <c r="C277" s="92"/>
      <c r="D277" s="92"/>
      <c r="E277" s="102" t="str">
        <f>$E$73</f>
        <v>2013 Estimated Revenue Requirement</v>
      </c>
      <c r="F277" s="201">
        <v>20614195.921828002</v>
      </c>
      <c r="G277" s="92"/>
      <c r="H277" s="149"/>
      <c r="I277" s="93"/>
      <c r="J277" s="121"/>
      <c r="K277" s="92"/>
      <c r="L277" s="90"/>
      <c r="M277" s="92"/>
    </row>
    <row r="278" spans="1:14">
      <c r="B278" s="67"/>
      <c r="C278" s="67"/>
      <c r="D278" s="67"/>
      <c r="E278" s="103" t="str">
        <f>$E$74</f>
        <v>2013 Rev Requirement Act</v>
      </c>
      <c r="F278" s="202">
        <v>16943501</v>
      </c>
      <c r="G278" s="277"/>
      <c r="L278" s="87"/>
      <c r="M278" s="92"/>
    </row>
    <row r="279" spans="1:14">
      <c r="B279" s="67"/>
      <c r="C279" s="67"/>
      <c r="D279" s="67"/>
      <c r="E279" s="103" t="str">
        <f>$E$75</f>
        <v>Actual Revenue Booked</v>
      </c>
      <c r="F279" s="210">
        <f>I275</f>
        <v>21293712.75</v>
      </c>
      <c r="G279" s="87"/>
      <c r="M279" s="92"/>
    </row>
    <row r="281" spans="1:14">
      <c r="B281" s="88"/>
      <c r="C281" s="88"/>
      <c r="D281" s="88"/>
      <c r="E281" s="88"/>
      <c r="F281" s="88"/>
      <c r="G281" s="88"/>
      <c r="H281" s="88"/>
      <c r="I281" s="88"/>
      <c r="J281" s="119"/>
      <c r="K281" s="88"/>
      <c r="L281" s="88"/>
      <c r="M281" s="88"/>
    </row>
    <row r="283" spans="1:14" ht="15.75" customHeight="1">
      <c r="B283" s="78" t="s">
        <v>0</v>
      </c>
      <c r="C283" s="521">
        <v>1024</v>
      </c>
      <c r="D283" s="522"/>
      <c r="E283" s="522"/>
      <c r="F283" s="522"/>
      <c r="G283" s="522"/>
      <c r="H283" s="523"/>
      <c r="I283" s="1"/>
    </row>
    <row r="284" spans="1:14" ht="15.75" customHeight="1">
      <c r="B284" s="76" t="s">
        <v>2</v>
      </c>
      <c r="C284" s="536" t="s">
        <v>142</v>
      </c>
      <c r="D284" s="525"/>
      <c r="E284" s="525"/>
      <c r="F284" s="525"/>
      <c r="G284" s="525"/>
      <c r="H284" s="526"/>
      <c r="I284" s="1"/>
    </row>
    <row r="285" spans="1:14" ht="15.75" customHeight="1">
      <c r="B285" s="76" t="s">
        <v>4</v>
      </c>
      <c r="C285" s="533" t="s">
        <v>117</v>
      </c>
      <c r="D285" s="525"/>
      <c r="E285" s="525"/>
      <c r="F285" s="525"/>
      <c r="G285" s="525"/>
      <c r="H285" s="526"/>
      <c r="I285" s="1"/>
    </row>
    <row r="286" spans="1:14" ht="15.75" customHeight="1">
      <c r="B286" s="77" t="s">
        <v>6</v>
      </c>
      <c r="C286" s="534" t="s">
        <v>7</v>
      </c>
      <c r="D286" s="531"/>
      <c r="E286" s="531"/>
      <c r="F286" s="531"/>
      <c r="G286" s="531"/>
      <c r="H286" s="532"/>
      <c r="I286" s="1"/>
    </row>
    <row r="287" spans="1:14">
      <c r="B287" s="82"/>
      <c r="C287" s="82"/>
      <c r="D287" s="82"/>
      <c r="E287" s="82"/>
      <c r="F287" s="82"/>
      <c r="J287" s="113" t="s">
        <v>163</v>
      </c>
      <c r="K287" s="3" t="s">
        <v>42</v>
      </c>
      <c r="M287" s="3" t="s">
        <v>56</v>
      </c>
    </row>
    <row r="288" spans="1:14">
      <c r="B288" s="82"/>
      <c r="C288" s="82"/>
      <c r="D288" s="82"/>
      <c r="E288" s="82"/>
      <c r="F288" s="82"/>
      <c r="G288" s="3" t="s">
        <v>39</v>
      </c>
      <c r="H288" s="142" t="s">
        <v>40</v>
      </c>
      <c r="I288" s="104" t="s">
        <v>41</v>
      </c>
      <c r="J288" s="114" t="s">
        <v>164</v>
      </c>
      <c r="K288" s="4" t="s">
        <v>165</v>
      </c>
      <c r="L288" s="4" t="s">
        <v>55</v>
      </c>
      <c r="M288" s="4" t="s">
        <v>166</v>
      </c>
      <c r="N288" s="233"/>
    </row>
    <row r="289" spans="2:14">
      <c r="B289" s="82"/>
      <c r="C289" s="82"/>
      <c r="D289" s="82"/>
      <c r="E289" s="82"/>
      <c r="F289" s="82"/>
      <c r="G289" s="5"/>
      <c r="H289" s="527" t="s">
        <v>43</v>
      </c>
      <c r="I289" s="528"/>
      <c r="J289" s="529"/>
      <c r="K289" s="6" t="s">
        <v>44</v>
      </c>
      <c r="L289" s="5"/>
      <c r="M289" s="6" t="s">
        <v>45</v>
      </c>
      <c r="N289" s="233"/>
    </row>
    <row r="290" spans="2:14">
      <c r="B290" s="83"/>
      <c r="C290" s="7">
        <v>0.2</v>
      </c>
      <c r="D290" s="7">
        <v>0.8</v>
      </c>
      <c r="E290" s="7"/>
      <c r="F290" s="98" t="s">
        <v>162</v>
      </c>
      <c r="G290" s="8" t="s">
        <v>46</v>
      </c>
      <c r="H290" s="143"/>
      <c r="I290" s="5"/>
      <c r="J290" s="115" t="s">
        <v>47</v>
      </c>
      <c r="K290" s="8" t="s">
        <v>48</v>
      </c>
      <c r="L290" s="9"/>
      <c r="M290" s="8" t="s">
        <v>49</v>
      </c>
    </row>
    <row r="291" spans="2:14">
      <c r="B291" s="10"/>
      <c r="C291" s="75" t="s">
        <v>9</v>
      </c>
      <c r="D291" s="75" t="s">
        <v>10</v>
      </c>
      <c r="E291" s="75" t="s">
        <v>11</v>
      </c>
      <c r="F291" s="99" t="s">
        <v>8</v>
      </c>
      <c r="G291" s="11" t="s">
        <v>50</v>
      </c>
      <c r="H291" s="144" t="s">
        <v>51</v>
      </c>
      <c r="I291" s="12" t="s">
        <v>159</v>
      </c>
      <c r="J291" s="116" t="s">
        <v>50</v>
      </c>
      <c r="K291" s="12" t="s">
        <v>50</v>
      </c>
      <c r="L291" s="12" t="s">
        <v>52</v>
      </c>
      <c r="M291" s="12" t="s">
        <v>53</v>
      </c>
    </row>
    <row r="292" spans="2:14" ht="31.5">
      <c r="B292" s="13" t="s">
        <v>13</v>
      </c>
      <c r="C292" s="14" t="s">
        <v>14</v>
      </c>
      <c r="D292" s="14" t="s">
        <v>14</v>
      </c>
      <c r="E292" s="15" t="s">
        <v>14</v>
      </c>
      <c r="F292" s="100" t="s">
        <v>15</v>
      </c>
      <c r="G292" s="16" t="s">
        <v>54</v>
      </c>
      <c r="H292" s="145"/>
      <c r="I292" s="17"/>
      <c r="J292" s="117" t="s">
        <v>54</v>
      </c>
      <c r="K292" s="17"/>
      <c r="L292" s="17"/>
      <c r="M292" s="16" t="s">
        <v>54</v>
      </c>
    </row>
    <row r="293" spans="2:14" s="87" customFormat="1">
      <c r="B293" s="18" t="s">
        <v>16</v>
      </c>
      <c r="C293" s="278">
        <v>2.2164937859183092E-2</v>
      </c>
      <c r="D293" s="281">
        <v>0</v>
      </c>
      <c r="E293" s="279">
        <f t="shared" ref="E293:E316" si="75">C293+D293</f>
        <v>2.2164937859183092E-2</v>
      </c>
      <c r="F293" s="282">
        <f>ROUND(+E293*F$319,2)</f>
        <v>119598.47</v>
      </c>
      <c r="G293" s="71">
        <f t="shared" ref="G293:G316" si="76">(F$319-F$320)*E293</f>
        <v>-20373.742240957687</v>
      </c>
      <c r="H293" s="71">
        <f>ROUND(F293*'Actual Load'!$B$8/'Zonal Load'!$N$8,2)</f>
        <v>119598.47</v>
      </c>
      <c r="I293" s="71">
        <f t="shared" ref="I293:I316" si="77">ROUND((H293*$H$708)/$H$706,2)</f>
        <v>122607.78</v>
      </c>
      <c r="J293" s="71">
        <f t="shared" ref="J293:J316" si="78">I293-F293</f>
        <v>3009.3099999999977</v>
      </c>
      <c r="K293" s="71">
        <f t="shared" ref="K293:K316" si="79">+G293+J293</f>
        <v>-17364.432240957689</v>
      </c>
      <c r="L293" s="204">
        <f>ROUND(E293*'Interest Under Collect'!$J$6,2)</f>
        <v>-84.43</v>
      </c>
      <c r="M293" s="71">
        <f>+K293+L293</f>
        <v>-17448.862240957689</v>
      </c>
      <c r="N293" s="92"/>
    </row>
    <row r="294" spans="2:14" s="87" customFormat="1">
      <c r="B294" s="23" t="s">
        <v>17</v>
      </c>
      <c r="C294" s="278">
        <v>1.0662514248883771E-3</v>
      </c>
      <c r="D294" s="281">
        <v>0</v>
      </c>
      <c r="E294" s="279">
        <f t="shared" si="75"/>
        <v>1.0662514248883771E-3</v>
      </c>
      <c r="F294" s="280">
        <f>ROUND(+E294*F$319,2)</f>
        <v>5753.32</v>
      </c>
      <c r="G294" s="71">
        <f t="shared" si="76"/>
        <v>-980.08538678259538</v>
      </c>
      <c r="H294" s="71">
        <f>ROUND(F294*'Actual Load'!$B$14/'Zonal Load'!$N$14,2)</f>
        <v>5927.16</v>
      </c>
      <c r="I294" s="71">
        <f t="shared" si="77"/>
        <v>6076.3</v>
      </c>
      <c r="J294" s="71">
        <f t="shared" si="78"/>
        <v>322.98000000000047</v>
      </c>
      <c r="K294" s="71">
        <f t="shared" si="79"/>
        <v>-657.10538678259491</v>
      </c>
      <c r="L294" s="204">
        <f>ROUND(E294*'Interest Under Collect'!$J$6,2)</f>
        <v>-4.0599999999999996</v>
      </c>
      <c r="M294" s="71">
        <f t="shared" ref="M294:M316" si="80">+K294+L294</f>
        <v>-661.16538678259485</v>
      </c>
      <c r="N294" s="92"/>
    </row>
    <row r="295" spans="2:14" s="87" customFormat="1">
      <c r="B295" s="23" t="s">
        <v>201</v>
      </c>
      <c r="C295" s="278">
        <f>2.02141717256893%*0.421</f>
        <v>8.5101662965151956E-3</v>
      </c>
      <c r="D295" s="281">
        <f>0%*0.421</f>
        <v>0</v>
      </c>
      <c r="E295" s="279">
        <f t="shared" si="75"/>
        <v>8.5101662965151956E-3</v>
      </c>
      <c r="F295" s="280">
        <f t="shared" ref="F295:F316" si="81">ROUND(+E295*F$319,2)</f>
        <v>45919.5</v>
      </c>
      <c r="G295" s="71">
        <f t="shared" si="76"/>
        <v>-7822.4417164811448</v>
      </c>
      <c r="H295" s="71">
        <f>ROUND(F295*'Actual Load'!$B$9/'Zonal Load'!$N$9,2)</f>
        <v>45919.5</v>
      </c>
      <c r="I295" s="71">
        <f t="shared" si="77"/>
        <v>47074.92</v>
      </c>
      <c r="J295" s="71">
        <f t="shared" si="78"/>
        <v>1155.4199999999983</v>
      </c>
      <c r="K295" s="71">
        <f t="shared" si="79"/>
        <v>-6667.0217164811465</v>
      </c>
      <c r="L295" s="204">
        <f>ROUND(E295*'Interest Under Collect'!$J$6,2)</f>
        <v>-32.42</v>
      </c>
      <c r="M295" s="71">
        <f t="shared" si="80"/>
        <v>-6699.4417164811466</v>
      </c>
      <c r="N295" s="92"/>
    </row>
    <row r="296" spans="2:14" s="87" customFormat="1">
      <c r="B296" s="140" t="s">
        <v>260</v>
      </c>
      <c r="C296" s="278">
        <f>2.02141717256893%*0.579</f>
        <v>1.1704005429174104E-2</v>
      </c>
      <c r="D296" s="281">
        <f>0%*0.579</f>
        <v>0</v>
      </c>
      <c r="E296" s="279">
        <f>C296+D296</f>
        <v>1.1704005429174104E-2</v>
      </c>
      <c r="F296" s="280">
        <f t="shared" si="81"/>
        <v>63152.95</v>
      </c>
      <c r="G296" s="71">
        <f>(F$319-F$320)*E296</f>
        <v>-10758.179937868366</v>
      </c>
      <c r="H296" s="71">
        <f>ROUND(F296*'Actual Load'!$B$10/'Zonal Load'!$N$10,2)</f>
        <v>64701.88</v>
      </c>
      <c r="I296" s="71">
        <f t="shared" si="77"/>
        <v>66329.89</v>
      </c>
      <c r="J296" s="71">
        <f>I296-F296</f>
        <v>3176.9400000000023</v>
      </c>
      <c r="K296" s="71">
        <f>+G296+J296</f>
        <v>-7581.239937868364</v>
      </c>
      <c r="L296" s="204">
        <f>ROUND(E296*'Interest Under Collect'!$J$6,2)</f>
        <v>-44.58</v>
      </c>
      <c r="M296" s="71">
        <f>+K296+L296</f>
        <v>-7625.8199378683639</v>
      </c>
      <c r="N296" s="92"/>
    </row>
    <row r="297" spans="2:14" s="87" customFormat="1">
      <c r="B297" s="23" t="s">
        <v>18</v>
      </c>
      <c r="C297" s="278">
        <v>1.9941202679664245E-3</v>
      </c>
      <c r="D297" s="281">
        <v>0</v>
      </c>
      <c r="E297" s="279">
        <f t="shared" si="75"/>
        <v>1.9941202679664245E-3</v>
      </c>
      <c r="F297" s="280">
        <f t="shared" si="81"/>
        <v>10759.96</v>
      </c>
      <c r="G297" s="71">
        <f t="shared" si="76"/>
        <v>-1832.9711815630046</v>
      </c>
      <c r="H297" s="71">
        <f>ROUND(F297*'Actual Load'!$B$26/'Zonal Load'!$N$26,2)</f>
        <v>10538.64</v>
      </c>
      <c r="I297" s="71">
        <f t="shared" si="77"/>
        <v>10803.81</v>
      </c>
      <c r="J297" s="71">
        <f t="shared" si="78"/>
        <v>43.850000000000364</v>
      </c>
      <c r="K297" s="71">
        <f t="shared" si="79"/>
        <v>-1789.1211815630043</v>
      </c>
      <c r="L297" s="204">
        <f>ROUND(E297*'Interest Under Collect'!$J$6,2)</f>
        <v>-7.6</v>
      </c>
      <c r="M297" s="71">
        <f t="shared" si="80"/>
        <v>-1796.7211815630042</v>
      </c>
      <c r="N297" s="92"/>
    </row>
    <row r="298" spans="2:14" s="87" customFormat="1">
      <c r="B298" s="23" t="s">
        <v>19</v>
      </c>
      <c r="C298" s="278">
        <v>5.0000236590646875E-3</v>
      </c>
      <c r="D298" s="281">
        <v>0</v>
      </c>
      <c r="E298" s="279">
        <f t="shared" si="75"/>
        <v>5.0000236590646875E-3</v>
      </c>
      <c r="F298" s="280">
        <f t="shared" si="81"/>
        <v>26979.33</v>
      </c>
      <c r="G298" s="71">
        <f t="shared" si="76"/>
        <v>-4595.9611470901964</v>
      </c>
      <c r="H298" s="71">
        <f>ROUND(F298*'Actual Load'!$B$16/'Zonal Load'!$N$16,2)</f>
        <v>27491.22</v>
      </c>
      <c r="I298" s="71">
        <f t="shared" si="77"/>
        <v>28182.95</v>
      </c>
      <c r="J298" s="71">
        <f t="shared" si="78"/>
        <v>1203.619999999999</v>
      </c>
      <c r="K298" s="71">
        <f t="shared" si="79"/>
        <v>-3392.3411470901974</v>
      </c>
      <c r="L298" s="204">
        <f>ROUND(E298*'Interest Under Collect'!$J$6,2)</f>
        <v>-19.05</v>
      </c>
      <c r="M298" s="71">
        <f t="shared" si="80"/>
        <v>-3411.3911470901976</v>
      </c>
      <c r="N298" s="92"/>
    </row>
    <row r="299" spans="2:14" s="87" customFormat="1">
      <c r="B299" s="23" t="s">
        <v>20</v>
      </c>
      <c r="C299" s="278">
        <v>5.765638403631492E-3</v>
      </c>
      <c r="D299" s="281">
        <v>0</v>
      </c>
      <c r="E299" s="279">
        <f t="shared" si="75"/>
        <v>5.765638403631492E-3</v>
      </c>
      <c r="F299" s="280">
        <f t="shared" si="81"/>
        <v>31110.47</v>
      </c>
      <c r="G299" s="71">
        <f t="shared" si="76"/>
        <v>-5299.7049410398913</v>
      </c>
      <c r="H299" s="71">
        <f>ROUND(F299*'Actual Load'!$B$22/'Zonal Load'!$N$22,2)</f>
        <v>32132.76</v>
      </c>
      <c r="I299" s="71">
        <f t="shared" si="77"/>
        <v>32941.279999999999</v>
      </c>
      <c r="J299" s="71">
        <f t="shared" si="78"/>
        <v>1830.8099999999977</v>
      </c>
      <c r="K299" s="71">
        <f t="shared" si="79"/>
        <v>-3468.8949410398936</v>
      </c>
      <c r="L299" s="204">
        <f>ROUND(E299*'Interest Under Collect'!$J$6,2)</f>
        <v>-21.96</v>
      </c>
      <c r="M299" s="71">
        <f t="shared" si="80"/>
        <v>-3490.8549410398937</v>
      </c>
      <c r="N299" s="92"/>
    </row>
    <row r="300" spans="2:14" s="87" customFormat="1">
      <c r="B300" s="23" t="s">
        <v>21</v>
      </c>
      <c r="C300" s="278">
        <v>1.351039410792648E-2</v>
      </c>
      <c r="D300" s="281">
        <v>0</v>
      </c>
      <c r="E300" s="279">
        <f t="shared" si="75"/>
        <v>1.351039410792648E-2</v>
      </c>
      <c r="F300" s="280">
        <f t="shared" si="81"/>
        <v>72899.929999999993</v>
      </c>
      <c r="G300" s="71">
        <f t="shared" si="76"/>
        <v>-12418.590517934006</v>
      </c>
      <c r="H300" s="71">
        <f>ROUND(F300*'Actual Load'!$B$17/'Zonal Load'!$N$17,2)</f>
        <v>73487.289999999994</v>
      </c>
      <c r="I300" s="71">
        <f t="shared" si="77"/>
        <v>75336.36</v>
      </c>
      <c r="J300" s="71">
        <f t="shared" si="78"/>
        <v>2436.4300000000076</v>
      </c>
      <c r="K300" s="71">
        <f t="shared" si="79"/>
        <v>-9982.1605179339986</v>
      </c>
      <c r="L300" s="204">
        <f>ROUND(E300*'Interest Under Collect'!$J$6,2)</f>
        <v>-51.46</v>
      </c>
      <c r="M300" s="71">
        <f t="shared" si="80"/>
        <v>-10033.620517933998</v>
      </c>
      <c r="N300" s="92"/>
    </row>
    <row r="301" spans="2:14" s="87" customFormat="1">
      <c r="B301" s="23" t="s">
        <v>22</v>
      </c>
      <c r="C301" s="278">
        <v>1.7924394526780265E-2</v>
      </c>
      <c r="D301" s="281">
        <v>0</v>
      </c>
      <c r="E301" s="279">
        <f t="shared" si="75"/>
        <v>1.7924394526780265E-2</v>
      </c>
      <c r="F301" s="280">
        <f t="shared" si="81"/>
        <v>96717.18</v>
      </c>
      <c r="G301" s="71">
        <f t="shared" si="76"/>
        <v>-16475.886205228151</v>
      </c>
      <c r="H301" s="71">
        <f>ROUND(F301*'Actual Load'!$B$15/'Zonal Load'!$N$15,2)</f>
        <v>96717.18</v>
      </c>
      <c r="I301" s="71">
        <f t="shared" si="77"/>
        <v>99150.76</v>
      </c>
      <c r="J301" s="71">
        <f t="shared" si="78"/>
        <v>2433.5800000000017</v>
      </c>
      <c r="K301" s="71">
        <f t="shared" si="79"/>
        <v>-14042.306205228149</v>
      </c>
      <c r="L301" s="204">
        <f>ROUND(E301*'Interest Under Collect'!$J$6,2)</f>
        <v>-68.27</v>
      </c>
      <c r="M301" s="71">
        <f t="shared" si="80"/>
        <v>-14110.57620522815</v>
      </c>
      <c r="N301" s="92"/>
    </row>
    <row r="302" spans="2:14" s="87" customFormat="1">
      <c r="B302" s="23" t="s">
        <v>23</v>
      </c>
      <c r="C302" s="278">
        <v>5.4068299863813066E-3</v>
      </c>
      <c r="D302" s="281">
        <v>9.3611186119966425E-2</v>
      </c>
      <c r="E302" s="279">
        <f t="shared" si="75"/>
        <v>9.9018016106347737E-2</v>
      </c>
      <c r="F302" s="280">
        <f t="shared" si="81"/>
        <v>534285.43999999994</v>
      </c>
      <c r="G302" s="71">
        <f t="shared" si="76"/>
        <v>-91016.160305900237</v>
      </c>
      <c r="H302" s="71">
        <f>ROUND(F302*'Actual Load'!$B$4/'Zonal Load'!$N$4,2)</f>
        <v>536472.68999999994</v>
      </c>
      <c r="I302" s="71">
        <f t="shared" si="77"/>
        <v>549971.29</v>
      </c>
      <c r="J302" s="71">
        <f t="shared" si="78"/>
        <v>15685.850000000093</v>
      </c>
      <c r="K302" s="71">
        <f t="shared" si="79"/>
        <v>-75330.310305900144</v>
      </c>
      <c r="L302" s="204">
        <f>ROUND(E302*'Interest Under Collect'!$J$6,2)</f>
        <v>-377.16</v>
      </c>
      <c r="M302" s="71">
        <f t="shared" si="80"/>
        <v>-75707.470305900148</v>
      </c>
      <c r="N302" s="92"/>
    </row>
    <row r="303" spans="2:14" s="87" customFormat="1">
      <c r="B303" s="23" t="s">
        <v>24</v>
      </c>
      <c r="C303" s="278">
        <v>4.5182681452834018E-4</v>
      </c>
      <c r="D303" s="281">
        <v>0</v>
      </c>
      <c r="E303" s="279">
        <f t="shared" si="75"/>
        <v>4.5182681452834018E-4</v>
      </c>
      <c r="F303" s="280">
        <f t="shared" si="81"/>
        <v>2437.9899999999998</v>
      </c>
      <c r="G303" s="71">
        <f t="shared" si="76"/>
        <v>-415.31373177026683</v>
      </c>
      <c r="H303" s="71">
        <f>ROUND(F303*'Actual Load'!$B$11/'Zonal Load'!$N$11,2)</f>
        <v>2433.38</v>
      </c>
      <c r="I303" s="71">
        <f t="shared" si="77"/>
        <v>2494.61</v>
      </c>
      <c r="J303" s="71">
        <f t="shared" si="78"/>
        <v>56.620000000000346</v>
      </c>
      <c r="K303" s="71">
        <f t="shared" si="79"/>
        <v>-358.69373177026648</v>
      </c>
      <c r="L303" s="204">
        <f>ROUND(E303*'Interest Under Collect'!$J$6,2)</f>
        <v>-1.72</v>
      </c>
      <c r="M303" s="71">
        <f t="shared" si="80"/>
        <v>-360.41373177026651</v>
      </c>
      <c r="N303" s="92"/>
    </row>
    <row r="304" spans="2:14" s="87" customFormat="1">
      <c r="B304" s="23" t="s">
        <v>26</v>
      </c>
      <c r="C304" s="278">
        <v>1.3632763870194574E-2</v>
      </c>
      <c r="D304" s="281">
        <v>0</v>
      </c>
      <c r="E304" s="279">
        <f t="shared" si="75"/>
        <v>1.3632763870194574E-2</v>
      </c>
      <c r="F304" s="280">
        <f t="shared" si="81"/>
        <v>73560.22</v>
      </c>
      <c r="G304" s="71">
        <f t="shared" si="76"/>
        <v>-12531.071320288453</v>
      </c>
      <c r="H304" s="71">
        <f>ROUND(F304*'Actual Load'!$B$7/'Zonal Load'!$N$7,2)</f>
        <v>73606.559999999998</v>
      </c>
      <c r="I304" s="71">
        <f t="shared" si="77"/>
        <v>75458.63</v>
      </c>
      <c r="J304" s="71">
        <f t="shared" si="78"/>
        <v>1898.4100000000035</v>
      </c>
      <c r="K304" s="71">
        <f t="shared" si="79"/>
        <v>-10632.661320288449</v>
      </c>
      <c r="L304" s="204">
        <f>ROUND(E304*'Interest Under Collect'!$J$6,2)</f>
        <v>-51.93</v>
      </c>
      <c r="M304" s="71">
        <f t="shared" si="80"/>
        <v>-10684.591320288449</v>
      </c>
      <c r="N304" s="92"/>
    </row>
    <row r="305" spans="1:14" s="87" customFormat="1">
      <c r="B305" s="23" t="s">
        <v>25</v>
      </c>
      <c r="C305" s="278">
        <v>1.364955676680121E-2</v>
      </c>
      <c r="D305" s="281">
        <v>0</v>
      </c>
      <c r="E305" s="279">
        <f t="shared" si="75"/>
        <v>1.364955676680121E-2</v>
      </c>
      <c r="F305" s="280">
        <f t="shared" si="81"/>
        <v>73650.83</v>
      </c>
      <c r="G305" s="71">
        <f t="shared" si="76"/>
        <v>-12546.507147319247</v>
      </c>
      <c r="H305" s="71">
        <f>ROUND(F305*'Actual Load'!$B$6/'Zonal Load'!$N$6,2)</f>
        <v>74104.77</v>
      </c>
      <c r="I305" s="71">
        <f t="shared" si="77"/>
        <v>75969.38</v>
      </c>
      <c r="J305" s="71">
        <f t="shared" si="78"/>
        <v>2318.5500000000029</v>
      </c>
      <c r="K305" s="71">
        <f t="shared" si="79"/>
        <v>-10227.957147319245</v>
      </c>
      <c r="L305" s="204">
        <f>ROUND(E305*'Interest Under Collect'!$J$6,2)</f>
        <v>-51.99</v>
      </c>
      <c r="M305" s="71">
        <f t="shared" si="80"/>
        <v>-10279.947147319244</v>
      </c>
      <c r="N305" s="92"/>
    </row>
    <row r="306" spans="1:14" s="87" customFormat="1">
      <c r="B306" s="23" t="s">
        <v>119</v>
      </c>
      <c r="C306" s="278">
        <v>9.3395305800359797E-4</v>
      </c>
      <c r="D306" s="281">
        <v>0</v>
      </c>
      <c r="E306" s="279">
        <f t="shared" si="75"/>
        <v>9.3395305800359797E-4</v>
      </c>
      <c r="F306" s="280">
        <f t="shared" si="81"/>
        <v>5039.46</v>
      </c>
      <c r="G306" s="71">
        <f t="shared" si="76"/>
        <v>-858.47833139924751</v>
      </c>
      <c r="H306" s="71">
        <f>ROUND(F306*'Actual Load'!$B$18/'Zonal Load'!$N$18,2)</f>
        <v>5077.1099999999997</v>
      </c>
      <c r="I306" s="71">
        <f t="shared" si="77"/>
        <v>5204.8599999999997</v>
      </c>
      <c r="J306" s="71">
        <f t="shared" si="78"/>
        <v>165.39999999999964</v>
      </c>
      <c r="K306" s="71">
        <f t="shared" si="79"/>
        <v>-693.07833139924787</v>
      </c>
      <c r="L306" s="204">
        <f>ROUND(E306*'Interest Under Collect'!$J$6,2)</f>
        <v>-3.56</v>
      </c>
      <c r="M306" s="71">
        <f t="shared" si="80"/>
        <v>-696.63833139924782</v>
      </c>
      <c r="N306" s="92"/>
    </row>
    <row r="307" spans="1:14" s="87" customFormat="1">
      <c r="B307" s="23" t="s">
        <v>120</v>
      </c>
      <c r="C307" s="278">
        <v>2.4232591975772091E-4</v>
      </c>
      <c r="D307" s="281">
        <v>0</v>
      </c>
      <c r="E307" s="279">
        <f t="shared" si="75"/>
        <v>2.4232591975772091E-4</v>
      </c>
      <c r="F307" s="280">
        <f t="shared" si="81"/>
        <v>1307.55</v>
      </c>
      <c r="G307" s="71">
        <f t="shared" si="76"/>
        <v>-222.74304844943799</v>
      </c>
      <c r="H307" s="71">
        <f>ROUND(F307*'Actual Load'!$B$17/'Zonal Load'!$N$17,2)</f>
        <v>1318.09</v>
      </c>
      <c r="I307" s="71">
        <f t="shared" si="77"/>
        <v>1351.26</v>
      </c>
      <c r="J307" s="71">
        <f t="shared" si="78"/>
        <v>43.710000000000036</v>
      </c>
      <c r="K307" s="71">
        <f t="shared" si="79"/>
        <v>-179.03304844943796</v>
      </c>
      <c r="L307" s="204">
        <f>ROUND(E307*'Interest Under Collect'!$J$6,2)</f>
        <v>-0.92</v>
      </c>
      <c r="M307" s="71">
        <f t="shared" si="80"/>
        <v>-179.95304844943794</v>
      </c>
      <c r="N307" s="92"/>
    </row>
    <row r="308" spans="1:14" s="87" customFormat="1">
      <c r="A308" s="23"/>
      <c r="B308" s="23" t="s">
        <v>27</v>
      </c>
      <c r="C308" s="278">
        <v>6.7387845414696888E-4</v>
      </c>
      <c r="D308" s="281">
        <v>0</v>
      </c>
      <c r="E308" s="279">
        <f t="shared" si="75"/>
        <v>6.7387845414696888E-4</v>
      </c>
      <c r="F308" s="280">
        <f t="shared" si="81"/>
        <v>3636.14</v>
      </c>
      <c r="G308" s="71">
        <f t="shared" si="76"/>
        <v>-619.42090764026977</v>
      </c>
      <c r="H308" s="71">
        <f>ROUND(F308*'Actual Load'!$B$12/'Zonal Load'!$N$12,2)</f>
        <v>3618.8</v>
      </c>
      <c r="I308" s="71">
        <f t="shared" si="77"/>
        <v>3709.86</v>
      </c>
      <c r="J308" s="71">
        <f t="shared" si="78"/>
        <v>73.720000000000255</v>
      </c>
      <c r="K308" s="71">
        <f t="shared" si="79"/>
        <v>-545.70090764026952</v>
      </c>
      <c r="L308" s="204">
        <f>ROUND(E308*'Interest Under Collect'!$J$6,2)</f>
        <v>-2.57</v>
      </c>
      <c r="M308" s="71">
        <f t="shared" si="80"/>
        <v>-548.27090764026957</v>
      </c>
      <c r="N308" s="92"/>
    </row>
    <row r="309" spans="1:14" s="87" customFormat="1">
      <c r="A309" s="23"/>
      <c r="B309" s="23" t="s">
        <v>28</v>
      </c>
      <c r="C309" s="278">
        <v>7.138477492783221E-4</v>
      </c>
      <c r="D309" s="281">
        <v>0</v>
      </c>
      <c r="E309" s="279">
        <f t="shared" si="75"/>
        <v>7.138477492783221E-4</v>
      </c>
      <c r="F309" s="280">
        <f t="shared" si="81"/>
        <v>3851.81</v>
      </c>
      <c r="G309" s="71">
        <f t="shared" si="76"/>
        <v>-656.16019929687036</v>
      </c>
      <c r="H309" s="71">
        <f>ROUND(F309*'Actual Load'!$B$24/'Zonal Load'!$N$24,2)</f>
        <v>4524.1099999999997</v>
      </c>
      <c r="I309" s="71">
        <f t="shared" si="77"/>
        <v>4637.9399999999996</v>
      </c>
      <c r="J309" s="71">
        <f t="shared" si="78"/>
        <v>786.12999999999965</v>
      </c>
      <c r="K309" s="71">
        <f t="shared" si="79"/>
        <v>129.96980070312929</v>
      </c>
      <c r="L309" s="204">
        <f>ROUND(E309*'Interest Under Collect'!$J$6,2)</f>
        <v>-2.72</v>
      </c>
      <c r="M309" s="71">
        <f t="shared" si="80"/>
        <v>127.2498007031293</v>
      </c>
      <c r="N309" s="92"/>
    </row>
    <row r="310" spans="1:14" s="87" customFormat="1">
      <c r="A310" s="23"/>
      <c r="B310" s="23" t="s">
        <v>29</v>
      </c>
      <c r="C310" s="278">
        <v>2.0662656180320461E-2</v>
      </c>
      <c r="D310" s="281">
        <v>0.12478102294492677</v>
      </c>
      <c r="E310" s="279">
        <f t="shared" si="75"/>
        <v>0.14544367912524722</v>
      </c>
      <c r="F310" s="280">
        <f t="shared" si="81"/>
        <v>784790.92</v>
      </c>
      <c r="G310" s="71">
        <f t="shared" si="76"/>
        <v>-133690.06707350895</v>
      </c>
      <c r="H310" s="71">
        <f>ROUND(F310*'Actual Load'!$B$5/'Zonal Load'!$N$5,2)</f>
        <v>857800.66</v>
      </c>
      <c r="I310" s="71">
        <f t="shared" si="77"/>
        <v>879384.44</v>
      </c>
      <c r="J310" s="71">
        <f t="shared" si="78"/>
        <v>94593.519999999902</v>
      </c>
      <c r="K310" s="71">
        <f t="shared" si="79"/>
        <v>-39096.547073509049</v>
      </c>
      <c r="L310" s="204">
        <f>ROUND(E310*'Interest Under Collect'!$J$6,2)</f>
        <v>-553.99</v>
      </c>
      <c r="M310" s="71">
        <f t="shared" si="80"/>
        <v>-39650.537073509047</v>
      </c>
      <c r="N310" s="92"/>
    </row>
    <row r="311" spans="1:14">
      <c r="A311" s="23"/>
      <c r="B311" s="23" t="s">
        <v>30</v>
      </c>
      <c r="C311" s="19">
        <v>1.6395630776288334E-2</v>
      </c>
      <c r="D311" s="20">
        <v>0.51694680703295415</v>
      </c>
      <c r="E311" s="108">
        <f t="shared" si="75"/>
        <v>0.53334243780924251</v>
      </c>
      <c r="F311" s="105">
        <f t="shared" si="81"/>
        <v>2877830.81</v>
      </c>
      <c r="G311" s="71">
        <f t="shared" si="76"/>
        <v>-490241.90472014231</v>
      </c>
      <c r="H311" s="89">
        <f>ROUND(F311*'Actual Load'!$B$21/'Zonal Load'!$N$21,2)</f>
        <v>2934255.41</v>
      </c>
      <c r="I311" s="21">
        <f t="shared" si="77"/>
        <v>3008086.46</v>
      </c>
      <c r="J311" s="71">
        <f t="shared" si="78"/>
        <v>130255.64999999991</v>
      </c>
      <c r="K311" s="71">
        <f t="shared" si="79"/>
        <v>-359986.2547201424</v>
      </c>
      <c r="L311" s="204">
        <f>ROUND(E311*'Interest Under Collect'!$J$6,2)</f>
        <v>-2031.5</v>
      </c>
      <c r="M311" s="89">
        <f t="shared" si="80"/>
        <v>-362017.7547201424</v>
      </c>
    </row>
    <row r="312" spans="1:14">
      <c r="A312" s="23"/>
      <c r="B312" s="23" t="s">
        <v>31</v>
      </c>
      <c r="C312" s="19">
        <v>3.3339219349105471E-3</v>
      </c>
      <c r="D312" s="20">
        <v>1.1944101778948947E-2</v>
      </c>
      <c r="E312" s="108">
        <f t="shared" si="75"/>
        <v>1.5278023713859494E-2</v>
      </c>
      <c r="F312" s="105">
        <f t="shared" si="81"/>
        <v>82437.78</v>
      </c>
      <c r="G312" s="71">
        <f t="shared" si="76"/>
        <v>-14043.374228024322</v>
      </c>
      <c r="H312" s="89">
        <f>ROUND(F312*'Actual Load'!$B$19/'Zonal Load'!$N$19,2)</f>
        <v>75371.73</v>
      </c>
      <c r="I312" s="21">
        <f t="shared" si="77"/>
        <v>77268.22</v>
      </c>
      <c r="J312" s="71">
        <f t="shared" si="78"/>
        <v>-5169.5599999999977</v>
      </c>
      <c r="K312" s="71">
        <f t="shared" si="79"/>
        <v>-19212.934228024322</v>
      </c>
      <c r="L312" s="204">
        <f>ROUND(E312*'Interest Under Collect'!$J$6,2)</f>
        <v>-58.19</v>
      </c>
      <c r="M312" s="89">
        <f t="shared" si="80"/>
        <v>-19271.12422802432</v>
      </c>
    </row>
    <row r="313" spans="1:14">
      <c r="A313" s="23"/>
      <c r="B313" s="23" t="s">
        <v>32</v>
      </c>
      <c r="C313" s="19">
        <v>5.0286007396416947E-4</v>
      </c>
      <c r="D313" s="20">
        <v>7.1206587451959805E-2</v>
      </c>
      <c r="E313" s="108">
        <f t="shared" si="75"/>
        <v>7.1709447525923981E-2</v>
      </c>
      <c r="F313" s="105">
        <f t="shared" si="81"/>
        <v>386932.75</v>
      </c>
      <c r="G313" s="71">
        <f t="shared" si="76"/>
        <v>-65914.45504681881</v>
      </c>
      <c r="H313" s="89">
        <f>ROUND(F313*'Actual Load'!$B$25/'Zonal Load'!$N$25,2)</f>
        <v>384323.3</v>
      </c>
      <c r="I313" s="21">
        <f t="shared" si="77"/>
        <v>393993.55</v>
      </c>
      <c r="J313" s="71">
        <f t="shared" si="78"/>
        <v>7060.7999999999884</v>
      </c>
      <c r="K313" s="71">
        <f t="shared" si="79"/>
        <v>-58853.655046818822</v>
      </c>
      <c r="L313" s="204">
        <f>ROUND(E313*'Interest Under Collect'!$J$6,2)</f>
        <v>-273.14</v>
      </c>
      <c r="M313" s="89">
        <f t="shared" si="80"/>
        <v>-59126.795046818821</v>
      </c>
    </row>
    <row r="314" spans="1:14">
      <c r="A314" s="23"/>
      <c r="B314" s="23" t="s">
        <v>33</v>
      </c>
      <c r="C314" s="19">
        <v>1.9508298526599059E-3</v>
      </c>
      <c r="D314" s="20">
        <v>1.2709766264955144E-2</v>
      </c>
      <c r="E314" s="108">
        <f t="shared" si="75"/>
        <v>1.4660596117615049E-2</v>
      </c>
      <c r="F314" s="105">
        <f t="shared" si="81"/>
        <v>79106.240000000005</v>
      </c>
      <c r="G314" s="71">
        <f t="shared" si="76"/>
        <v>-13475.842264783256</v>
      </c>
      <c r="H314" s="89">
        <f>ROUND(F314*'Actual Load'!$B$13/'Zonal Load'!$N$13,2)</f>
        <v>79315.360000000001</v>
      </c>
      <c r="I314" s="21">
        <f t="shared" si="77"/>
        <v>81311.070000000007</v>
      </c>
      <c r="J314" s="71">
        <f t="shared" si="78"/>
        <v>2204.8300000000017</v>
      </c>
      <c r="K314" s="71">
        <f t="shared" si="79"/>
        <v>-11271.012264783254</v>
      </c>
      <c r="L314" s="204">
        <f>ROUND(E314*'Interest Under Collect'!$J$6,2)</f>
        <v>-55.84</v>
      </c>
      <c r="M314" s="89">
        <f t="shared" si="80"/>
        <v>-11326.852264783254</v>
      </c>
    </row>
    <row r="315" spans="1:14">
      <c r="A315" s="23"/>
      <c r="B315" s="23" t="s">
        <v>34</v>
      </c>
      <c r="C315" s="19">
        <v>1.4369579482544754E-3</v>
      </c>
      <c r="D315" s="20">
        <v>0</v>
      </c>
      <c r="E315" s="108">
        <f t="shared" si="75"/>
        <v>1.4369579482544754E-3</v>
      </c>
      <c r="F315" s="105">
        <f t="shared" si="81"/>
        <v>7753.6</v>
      </c>
      <c r="G315" s="71">
        <f t="shared" si="76"/>
        <v>-1320.8343300950312</v>
      </c>
      <c r="H315" s="89">
        <f>ROUND(F315*'Actual Load'!$B$23/'Zonal Load'!$N$23,2)</f>
        <v>8039.48</v>
      </c>
      <c r="I315" s="21">
        <f t="shared" si="77"/>
        <v>8241.77</v>
      </c>
      <c r="J315" s="71">
        <f t="shared" si="78"/>
        <v>488.17000000000007</v>
      </c>
      <c r="K315" s="71">
        <f t="shared" si="79"/>
        <v>-832.66433009503112</v>
      </c>
      <c r="L315" s="204">
        <f>ROUND(E315*'Interest Under Collect'!$J$6,2)</f>
        <v>-5.47</v>
      </c>
      <c r="M315" s="89">
        <f t="shared" si="80"/>
        <v>-838.13433009503115</v>
      </c>
    </row>
    <row r="316" spans="1:14">
      <c r="B316" s="23" t="s">
        <v>35</v>
      </c>
      <c r="C316" s="19">
        <v>1.1727570456685852E-3</v>
      </c>
      <c r="D316" s="20">
        <v>0</v>
      </c>
      <c r="E316" s="108">
        <f t="shared" si="75"/>
        <v>1.1727570456685852E-3</v>
      </c>
      <c r="F316" s="105">
        <f t="shared" si="81"/>
        <v>6328.01</v>
      </c>
      <c r="G316" s="71">
        <f t="shared" si="76"/>
        <v>-1077.9840625548866</v>
      </c>
      <c r="H316" s="89">
        <f>ROUND(F316*'Actual Load'!$B$20/'Zonal Load'!$N$20,2)</f>
        <v>4169.9399999999996</v>
      </c>
      <c r="I316" s="21">
        <f t="shared" si="77"/>
        <v>4274.8599999999997</v>
      </c>
      <c r="J316" s="71">
        <f t="shared" si="78"/>
        <v>-2053.1500000000005</v>
      </c>
      <c r="K316" s="71">
        <f t="shared" si="79"/>
        <v>-3131.1340625548874</v>
      </c>
      <c r="L316" s="204">
        <f>ROUND(E316*'Interest Under Collect'!$J$6,2)</f>
        <v>-4.47</v>
      </c>
      <c r="M316" s="89">
        <f t="shared" si="80"/>
        <v>-3135.6040625548872</v>
      </c>
    </row>
    <row r="317" spans="1:14">
      <c r="B317" s="25"/>
      <c r="C317" s="26">
        <f t="shared" ref="C317:M317" si="82">SUM(C293:C316)</f>
        <v>0.16880052840628862</v>
      </c>
      <c r="D317" s="27">
        <f t="shared" si="82"/>
        <v>0.83119947159371133</v>
      </c>
      <c r="E317" s="106">
        <f t="shared" si="82"/>
        <v>0.99999999999999989</v>
      </c>
      <c r="F317" s="101">
        <f t="shared" si="82"/>
        <v>5395840.6600000001</v>
      </c>
      <c r="G317" s="84">
        <f t="shared" si="82"/>
        <v>-919187.87999293651</v>
      </c>
      <c r="H317" s="146">
        <f t="shared" si="82"/>
        <v>5520945.4900000021</v>
      </c>
      <c r="I317" s="85">
        <f t="shared" si="82"/>
        <v>5659862.25</v>
      </c>
      <c r="J317" s="85">
        <f t="shared" si="82"/>
        <v>264021.58999999985</v>
      </c>
      <c r="K317" s="164">
        <f t="shared" si="82"/>
        <v>-655166.28999293677</v>
      </c>
      <c r="L317" s="85">
        <f t="shared" si="82"/>
        <v>-3808.9999999999995</v>
      </c>
      <c r="M317" s="85">
        <f t="shared" si="82"/>
        <v>-658975.28999293665</v>
      </c>
    </row>
    <row r="318" spans="1:14">
      <c r="B318" s="92"/>
      <c r="C318" s="92"/>
      <c r="D318" s="92"/>
      <c r="E318" s="92"/>
      <c r="F318" s="92"/>
      <c r="G318" s="21"/>
      <c r="H318" s="148"/>
      <c r="I318" s="29"/>
      <c r="J318" s="121"/>
      <c r="K318" s="92"/>
      <c r="L318" s="92"/>
      <c r="M318" s="92"/>
    </row>
    <row r="319" spans="1:14">
      <c r="B319" s="92"/>
      <c r="C319" s="92"/>
      <c r="D319" s="92"/>
      <c r="E319" s="102" t="str">
        <f>$E$73</f>
        <v>2013 Estimated Revenue Requirement</v>
      </c>
      <c r="F319" s="201">
        <v>5395840.651750138</v>
      </c>
      <c r="G319" s="92"/>
      <c r="H319" s="149"/>
      <c r="I319" s="91"/>
      <c r="J319" s="121"/>
      <c r="K319" s="92"/>
      <c r="M319" s="92"/>
    </row>
    <row r="320" spans="1:14">
      <c r="B320" s="92"/>
      <c r="C320" s="92"/>
      <c r="D320" s="92"/>
      <c r="E320" s="103" t="str">
        <f>$E$74</f>
        <v>2013 Rev Requirement Act</v>
      </c>
      <c r="F320" s="202">
        <v>6315028.5317430748</v>
      </c>
      <c r="G320" s="92"/>
      <c r="H320" s="149"/>
      <c r="I320" s="93"/>
      <c r="J320" s="121"/>
      <c r="K320" s="92"/>
      <c r="L320" s="90"/>
      <c r="M320" s="92"/>
    </row>
    <row r="321" spans="2:14">
      <c r="B321" s="67"/>
      <c r="C321" s="67"/>
      <c r="D321" s="67"/>
      <c r="E321" s="103" t="str">
        <f>$E$75</f>
        <v>Actual Revenue Booked</v>
      </c>
      <c r="F321" s="210">
        <f>I317</f>
        <v>5659862.25</v>
      </c>
      <c r="G321" s="67"/>
      <c r="L321" s="87"/>
      <c r="M321" s="92"/>
    </row>
    <row r="323" spans="2:14">
      <c r="B323" s="88"/>
      <c r="C323" s="88"/>
      <c r="D323" s="88"/>
      <c r="E323" s="88"/>
      <c r="F323" s="88"/>
      <c r="G323" s="88"/>
      <c r="H323" s="88"/>
      <c r="I323" s="88"/>
      <c r="J323" s="119"/>
      <c r="K323" s="88"/>
      <c r="L323" s="88"/>
      <c r="M323" s="88"/>
    </row>
    <row r="325" spans="2:14" ht="15.75" customHeight="1">
      <c r="B325" s="78" t="s">
        <v>0</v>
      </c>
      <c r="C325" s="521" t="s">
        <v>143</v>
      </c>
      <c r="D325" s="522"/>
      <c r="E325" s="522"/>
      <c r="F325" s="522"/>
      <c r="G325" s="522"/>
      <c r="H325" s="523"/>
      <c r="I325" s="1"/>
    </row>
    <row r="326" spans="2:14" ht="15.75" customHeight="1">
      <c r="B326" s="76" t="s">
        <v>2</v>
      </c>
      <c r="C326" s="536" t="s">
        <v>144</v>
      </c>
      <c r="D326" s="525"/>
      <c r="E326" s="525"/>
      <c r="F326" s="525"/>
      <c r="G326" s="525"/>
      <c r="H326" s="526"/>
      <c r="I326" s="1"/>
    </row>
    <row r="327" spans="2:14" ht="15.75" customHeight="1">
      <c r="B327" s="76" t="s">
        <v>4</v>
      </c>
      <c r="C327" s="533" t="s">
        <v>117</v>
      </c>
      <c r="D327" s="525"/>
      <c r="E327" s="525"/>
      <c r="F327" s="525"/>
      <c r="G327" s="525"/>
      <c r="H327" s="526"/>
      <c r="I327" s="1"/>
    </row>
    <row r="328" spans="2:14" ht="15.75" customHeight="1">
      <c r="B328" s="77" t="s">
        <v>6</v>
      </c>
      <c r="C328" s="534" t="s">
        <v>7</v>
      </c>
      <c r="D328" s="531"/>
      <c r="E328" s="531"/>
      <c r="F328" s="531"/>
      <c r="G328" s="531"/>
      <c r="H328" s="532"/>
      <c r="I328" s="1"/>
    </row>
    <row r="329" spans="2:14">
      <c r="B329" s="82"/>
      <c r="C329" s="82"/>
      <c r="D329" s="82"/>
      <c r="E329" s="82"/>
      <c r="F329" s="82"/>
      <c r="J329" s="113" t="s">
        <v>163</v>
      </c>
      <c r="K329" s="3" t="s">
        <v>42</v>
      </c>
      <c r="M329" s="3" t="s">
        <v>56</v>
      </c>
    </row>
    <row r="330" spans="2:14">
      <c r="B330" s="82"/>
      <c r="C330" s="82"/>
      <c r="D330" s="82"/>
      <c r="E330" s="82"/>
      <c r="F330" s="82"/>
      <c r="G330" s="3" t="s">
        <v>39</v>
      </c>
      <c r="H330" s="142" t="s">
        <v>40</v>
      </c>
      <c r="I330" s="104" t="s">
        <v>41</v>
      </c>
      <c r="J330" s="114" t="s">
        <v>164</v>
      </c>
      <c r="K330" s="4" t="s">
        <v>165</v>
      </c>
      <c r="L330" s="4" t="s">
        <v>55</v>
      </c>
      <c r="M330" s="4" t="s">
        <v>166</v>
      </c>
      <c r="N330" s="233"/>
    </row>
    <row r="331" spans="2:14">
      <c r="B331" s="82"/>
      <c r="C331" s="82"/>
      <c r="D331" s="82"/>
      <c r="E331" s="82"/>
      <c r="F331" s="82"/>
      <c r="G331" s="5"/>
      <c r="H331" s="527" t="s">
        <v>43</v>
      </c>
      <c r="I331" s="528"/>
      <c r="J331" s="529"/>
      <c r="K331" s="6" t="s">
        <v>44</v>
      </c>
      <c r="L331" s="5"/>
      <c r="M331" s="6" t="s">
        <v>45</v>
      </c>
      <c r="N331" s="233"/>
    </row>
    <row r="332" spans="2:14">
      <c r="B332" s="83"/>
      <c r="C332" s="7">
        <v>0.2</v>
      </c>
      <c r="D332" s="7">
        <v>0.8</v>
      </c>
      <c r="E332" s="7"/>
      <c r="F332" s="98" t="s">
        <v>162</v>
      </c>
      <c r="G332" s="8" t="s">
        <v>46</v>
      </c>
      <c r="H332" s="143"/>
      <c r="I332" s="5"/>
      <c r="J332" s="115" t="s">
        <v>47</v>
      </c>
      <c r="K332" s="8" t="s">
        <v>48</v>
      </c>
      <c r="L332" s="9"/>
      <c r="M332" s="8" t="s">
        <v>49</v>
      </c>
    </row>
    <row r="333" spans="2:14">
      <c r="B333" s="10"/>
      <c r="C333" s="75" t="s">
        <v>9</v>
      </c>
      <c r="D333" s="75" t="s">
        <v>10</v>
      </c>
      <c r="E333" s="75" t="s">
        <v>11</v>
      </c>
      <c r="F333" s="99" t="s">
        <v>8</v>
      </c>
      <c r="G333" s="11" t="s">
        <v>50</v>
      </c>
      <c r="H333" s="144" t="s">
        <v>51</v>
      </c>
      <c r="I333" s="12" t="s">
        <v>159</v>
      </c>
      <c r="J333" s="116" t="s">
        <v>50</v>
      </c>
      <c r="K333" s="12" t="s">
        <v>50</v>
      </c>
      <c r="L333" s="12" t="s">
        <v>52</v>
      </c>
      <c r="M333" s="12" t="s">
        <v>53</v>
      </c>
    </row>
    <row r="334" spans="2:14" ht="31.5">
      <c r="B334" s="13" t="s">
        <v>13</v>
      </c>
      <c r="C334" s="14" t="s">
        <v>14</v>
      </c>
      <c r="D334" s="14" t="s">
        <v>14</v>
      </c>
      <c r="E334" s="110" t="s">
        <v>14</v>
      </c>
      <c r="F334" s="100" t="s">
        <v>15</v>
      </c>
      <c r="G334" s="16" t="s">
        <v>54</v>
      </c>
      <c r="H334" s="145"/>
      <c r="I334" s="17"/>
      <c r="J334" s="117" t="s">
        <v>54</v>
      </c>
      <c r="K334" s="17"/>
      <c r="L334" s="17"/>
      <c r="M334" s="16" t="s">
        <v>54</v>
      </c>
    </row>
    <row r="335" spans="2:14" s="87" customFormat="1">
      <c r="B335" s="18" t="s">
        <v>16</v>
      </c>
      <c r="C335" s="278">
        <f>0.0570140929748884%*2</f>
        <v>1.140281859497768E-3</v>
      </c>
      <c r="D335" s="281">
        <v>0</v>
      </c>
      <c r="E335" s="279">
        <f t="shared" ref="E335:E356" si="83">C335+D335</f>
        <v>1.140281859497768E-3</v>
      </c>
      <c r="F335" s="284">
        <f>ROUND(+E335*F$359,2)</f>
        <v>85.31</v>
      </c>
      <c r="G335" s="71">
        <f t="shared" ref="G335:G356" si="84">(F$359-F$360)*E335</f>
        <v>3.1148749742102604</v>
      </c>
      <c r="H335" s="71">
        <f>ROUND(F335*'Actual Load'!$B$8/'Zonal Load'!$N$8,2)</f>
        <v>85.31</v>
      </c>
      <c r="I335" s="71">
        <f t="shared" ref="I335:I356" si="85">ROUND((H335*$H$708)/$H$706,2)</f>
        <v>87.46</v>
      </c>
      <c r="J335" s="71">
        <f t="shared" ref="J335:J356" si="86">I335-F335</f>
        <v>2.1499999999999915</v>
      </c>
      <c r="K335" s="71">
        <f t="shared" ref="K335:K356" si="87">+G335+J335</f>
        <v>5.2648749742102519</v>
      </c>
      <c r="L335" s="204">
        <f>ROUND(E335*'Interest Over Collect '!$J$11,2)</f>
        <v>1.17</v>
      </c>
      <c r="M335" s="71">
        <f t="shared" ref="M335:M342" si="88">+K335+L335</f>
        <v>6.4348749742102518</v>
      </c>
      <c r="N335" s="92"/>
    </row>
    <row r="336" spans="2:14" s="87" customFormat="1">
      <c r="B336" s="23" t="s">
        <v>17</v>
      </c>
      <c r="C336" s="278">
        <f>0.0029798826665683%*2</f>
        <v>5.9597653331365996E-5</v>
      </c>
      <c r="D336" s="281">
        <v>0</v>
      </c>
      <c r="E336" s="279">
        <f t="shared" si="83"/>
        <v>5.9597653331365996E-5</v>
      </c>
      <c r="F336" s="285">
        <f>ROUND(+E336*F$359,2)</f>
        <v>4.46</v>
      </c>
      <c r="G336" s="71">
        <f t="shared" si="84"/>
        <v>0.16280118580970379</v>
      </c>
      <c r="H336" s="71">
        <f>ROUND(F336*'Actual Load'!$B$14/'Zonal Load'!$N$14,2)</f>
        <v>4.59</v>
      </c>
      <c r="I336" s="71">
        <f t="shared" si="85"/>
        <v>4.71</v>
      </c>
      <c r="J336" s="71">
        <f t="shared" si="86"/>
        <v>0.25</v>
      </c>
      <c r="K336" s="71">
        <f t="shared" si="87"/>
        <v>0.41280118580970382</v>
      </c>
      <c r="L336" s="204">
        <f>ROUND(E336*'Interest Over Collect '!$J$11,2)</f>
        <v>0.06</v>
      </c>
      <c r="M336" s="71">
        <f t="shared" si="88"/>
        <v>0.47280118580970382</v>
      </c>
      <c r="N336" s="92"/>
    </row>
    <row r="337" spans="1:14" s="87" customFormat="1">
      <c r="B337" s="23" t="s">
        <v>201</v>
      </c>
      <c r="C337" s="278">
        <f>(0.0520150575171606%*2)*0.421</f>
        <v>4.3796678429449228E-4</v>
      </c>
      <c r="D337" s="281">
        <f>0%*0.421</f>
        <v>0</v>
      </c>
      <c r="E337" s="279">
        <f t="shared" si="83"/>
        <v>4.3796678429449228E-4</v>
      </c>
      <c r="F337" s="285">
        <f t="shared" ref="F337:F356" si="89">ROUND(+E337*F$359,2)</f>
        <v>32.770000000000003</v>
      </c>
      <c r="G337" s="71">
        <f t="shared" si="84"/>
        <v>1.1963811969569684</v>
      </c>
      <c r="H337" s="71">
        <f>ROUND(F337*'Actual Load'!$B$9/'Zonal Load'!$N$9,2)</f>
        <v>32.770000000000003</v>
      </c>
      <c r="I337" s="71">
        <f t="shared" si="85"/>
        <v>33.590000000000003</v>
      </c>
      <c r="J337" s="71">
        <f t="shared" si="86"/>
        <v>0.82000000000000028</v>
      </c>
      <c r="K337" s="71">
        <f t="shared" si="87"/>
        <v>2.0163811969569689</v>
      </c>
      <c r="L337" s="204">
        <f>ROUND(E337*'Interest Over Collect '!$J$11,2)</f>
        <v>0.45</v>
      </c>
      <c r="M337" s="71">
        <f t="shared" si="88"/>
        <v>2.4663811969569691</v>
      </c>
      <c r="N337" s="92"/>
    </row>
    <row r="338" spans="1:14" s="87" customFormat="1">
      <c r="B338" s="140" t="s">
        <v>260</v>
      </c>
      <c r="C338" s="278">
        <f>(0.0520150575171606%*2)*0.579</f>
        <v>6.0233436604871971E-4</v>
      </c>
      <c r="D338" s="281">
        <f>0%*0.579</f>
        <v>0</v>
      </c>
      <c r="E338" s="279">
        <f>C338+D338</f>
        <v>6.0233436604871971E-4</v>
      </c>
      <c r="F338" s="285">
        <f t="shared" si="89"/>
        <v>45.06</v>
      </c>
      <c r="G338" s="71">
        <f>(F$359-F$360)*E338</f>
        <v>1.6453793658861866</v>
      </c>
      <c r="H338" s="71">
        <f>ROUND(F338*'Actual Load'!$B$10/'Zonal Load'!$N$10,2)</f>
        <v>46.17</v>
      </c>
      <c r="I338" s="71">
        <f t="shared" si="85"/>
        <v>47.33</v>
      </c>
      <c r="J338" s="71">
        <f>I338-F338</f>
        <v>2.269999999999996</v>
      </c>
      <c r="K338" s="71">
        <f>+G338+J338</f>
        <v>3.9153793658861824</v>
      </c>
      <c r="L338" s="204">
        <f>ROUND(E338*'Interest Over Collect '!$J$11,2)</f>
        <v>0.62</v>
      </c>
      <c r="M338" s="71">
        <f>+K338+L338</f>
        <v>4.5353793658861825</v>
      </c>
      <c r="N338" s="92"/>
    </row>
    <row r="339" spans="1:14" s="87" customFormat="1">
      <c r="B339" s="23" t="s">
        <v>18</v>
      </c>
      <c r="C339" s="278">
        <f>0.00535819522270603%*2</f>
        <v>1.0716390445412061E-4</v>
      </c>
      <c r="D339" s="281">
        <v>0</v>
      </c>
      <c r="E339" s="279">
        <f t="shared" si="83"/>
        <v>1.0716390445412061E-4</v>
      </c>
      <c r="F339" s="285">
        <f t="shared" si="89"/>
        <v>8.02</v>
      </c>
      <c r="G339" s="71">
        <f t="shared" si="84"/>
        <v>0.29273653820102108</v>
      </c>
      <c r="H339" s="71">
        <f>ROUND(F339*'Actual Load'!$B$26/'Zonal Load'!$N$26,2)</f>
        <v>7.86</v>
      </c>
      <c r="I339" s="71">
        <f t="shared" si="85"/>
        <v>8.06</v>
      </c>
      <c r="J339" s="71">
        <f t="shared" si="86"/>
        <v>4.0000000000000924E-2</v>
      </c>
      <c r="K339" s="71">
        <f t="shared" si="87"/>
        <v>0.332736538201022</v>
      </c>
      <c r="L339" s="204">
        <f>ROUND(E339*'Interest Over Collect '!$J$11,2)</f>
        <v>0.11</v>
      </c>
      <c r="M339" s="71">
        <f t="shared" si="88"/>
        <v>0.44273653820102199</v>
      </c>
      <c r="N339" s="92"/>
    </row>
    <row r="340" spans="1:14" s="87" customFormat="1">
      <c r="B340" s="23" t="s">
        <v>19</v>
      </c>
      <c r="C340" s="278">
        <f>0.0134163336857722%*2</f>
        <v>2.6832667371544399E-4</v>
      </c>
      <c r="D340" s="281">
        <v>0</v>
      </c>
      <c r="E340" s="279">
        <f t="shared" si="83"/>
        <v>2.6832667371544399E-4</v>
      </c>
      <c r="F340" s="285">
        <f t="shared" si="89"/>
        <v>20.07</v>
      </c>
      <c r="G340" s="71">
        <f t="shared" si="84"/>
        <v>0.73298021353899701</v>
      </c>
      <c r="H340" s="71">
        <f>ROUND(F340*'Actual Load'!$B$16/'Zonal Load'!$N$16,2)</f>
        <v>20.45</v>
      </c>
      <c r="I340" s="71">
        <f t="shared" si="85"/>
        <v>20.96</v>
      </c>
      <c r="J340" s="71">
        <f t="shared" si="86"/>
        <v>0.89000000000000057</v>
      </c>
      <c r="K340" s="71">
        <f t="shared" si="87"/>
        <v>1.6229802135389977</v>
      </c>
      <c r="L340" s="204">
        <f>ROUND(E340*'Interest Over Collect '!$J$11,2)</f>
        <v>0.28000000000000003</v>
      </c>
      <c r="M340" s="71">
        <f t="shared" si="88"/>
        <v>1.9029802135389977</v>
      </c>
      <c r="N340" s="92"/>
    </row>
    <row r="341" spans="1:14" s="87" customFormat="1">
      <c r="B341" s="23" t="s">
        <v>20</v>
      </c>
      <c r="C341" s="278">
        <f>0.014905873740698%*2</f>
        <v>2.9811747481395999E-4</v>
      </c>
      <c r="D341" s="281">
        <v>0</v>
      </c>
      <c r="E341" s="279">
        <f t="shared" si="83"/>
        <v>2.9811747481395999E-4</v>
      </c>
      <c r="F341" s="285">
        <f t="shared" si="89"/>
        <v>22.3</v>
      </c>
      <c r="G341" s="71">
        <f t="shared" si="84"/>
        <v>0.8143588832341494</v>
      </c>
      <c r="H341" s="71">
        <f>ROUND(F341*'Actual Load'!$B$22/'Zonal Load'!$N$22,2)</f>
        <v>23.03</v>
      </c>
      <c r="I341" s="71">
        <f t="shared" si="85"/>
        <v>23.61</v>
      </c>
      <c r="J341" s="71">
        <f t="shared" si="86"/>
        <v>1.3099999999999987</v>
      </c>
      <c r="K341" s="71">
        <f t="shared" si="87"/>
        <v>2.124358883234148</v>
      </c>
      <c r="L341" s="204">
        <f>ROUND(E341*'Interest Over Collect '!$J$11,2)</f>
        <v>0.31</v>
      </c>
      <c r="M341" s="71">
        <f t="shared" si="88"/>
        <v>2.4343588832341481</v>
      </c>
      <c r="N341" s="92"/>
    </row>
    <row r="342" spans="1:14" s="87" customFormat="1">
      <c r="B342" s="23" t="s">
        <v>21</v>
      </c>
      <c r="C342" s="278">
        <f>0.0370869797072986%*2</f>
        <v>7.4173959414597205E-4</v>
      </c>
      <c r="D342" s="281">
        <v>0</v>
      </c>
      <c r="E342" s="279">
        <f t="shared" si="83"/>
        <v>7.4173959414597205E-4</v>
      </c>
      <c r="F342" s="285">
        <f t="shared" si="89"/>
        <v>55.49</v>
      </c>
      <c r="G342" s="71">
        <f t="shared" si="84"/>
        <v>2.0261885953388581</v>
      </c>
      <c r="H342" s="71">
        <f>ROUND(F342*'Actual Load'!$B$17/'Zonal Load'!$N$17,2)</f>
        <v>55.94</v>
      </c>
      <c r="I342" s="71">
        <f t="shared" si="85"/>
        <v>57.35</v>
      </c>
      <c r="J342" s="71">
        <f t="shared" si="86"/>
        <v>1.8599999999999994</v>
      </c>
      <c r="K342" s="71">
        <f t="shared" si="87"/>
        <v>3.8861885953388575</v>
      </c>
      <c r="L342" s="204">
        <f>ROUND(E342*'Interest Over Collect '!$J$11,2)</f>
        <v>0.76</v>
      </c>
      <c r="M342" s="71">
        <f t="shared" si="88"/>
        <v>4.6461885953388578</v>
      </c>
      <c r="N342" s="92"/>
    </row>
    <row r="343" spans="1:14" s="87" customFormat="1">
      <c r="B343" s="23" t="s">
        <v>22</v>
      </c>
      <c r="C343" s="278">
        <f>0.0486849665461369%*2</f>
        <v>9.7369933092273807E-4</v>
      </c>
      <c r="D343" s="281">
        <v>0</v>
      </c>
      <c r="E343" s="279">
        <f t="shared" si="83"/>
        <v>9.7369933092273807E-4</v>
      </c>
      <c r="F343" s="285">
        <f t="shared" si="89"/>
        <v>72.849999999999994</v>
      </c>
      <c r="G343" s="71">
        <f t="shared" si="84"/>
        <v>2.6598262991155197</v>
      </c>
      <c r="H343" s="71">
        <f>ROUND(F343*'Actual Load'!$B$15/'Zonal Load'!$N$15,2)</f>
        <v>72.849999999999994</v>
      </c>
      <c r="I343" s="71">
        <f t="shared" si="85"/>
        <v>74.680000000000007</v>
      </c>
      <c r="J343" s="71">
        <f t="shared" si="86"/>
        <v>1.8300000000000125</v>
      </c>
      <c r="K343" s="71">
        <f t="shared" si="87"/>
        <v>4.4898262991155322</v>
      </c>
      <c r="L343" s="204">
        <f>ROUND(E343*'Interest Over Collect '!$J$11,2)</f>
        <v>1</v>
      </c>
      <c r="M343" s="71">
        <f>+K343+L343</f>
        <v>5.4898262991155322</v>
      </c>
      <c r="N343" s="92"/>
    </row>
    <row r="344" spans="1:14" s="87" customFormat="1">
      <c r="B344" s="23" t="s">
        <v>23</v>
      </c>
      <c r="C344" s="278">
        <f>0.0153173753089281%*2</f>
        <v>3.0634750617856201E-4</v>
      </c>
      <c r="D344" s="281">
        <v>0</v>
      </c>
      <c r="E344" s="279">
        <f t="shared" si="83"/>
        <v>3.0634750617856201E-4</v>
      </c>
      <c r="F344" s="285">
        <f t="shared" si="89"/>
        <v>22.92</v>
      </c>
      <c r="G344" s="71">
        <f t="shared" si="84"/>
        <v>0.83684062186836339</v>
      </c>
      <c r="H344" s="71">
        <f>ROUND(F344*'Actual Load'!$B$4/'Zonal Load'!$N$4,2)</f>
        <v>23.01</v>
      </c>
      <c r="I344" s="71">
        <f t="shared" si="85"/>
        <v>23.59</v>
      </c>
      <c r="J344" s="71">
        <f t="shared" si="86"/>
        <v>0.66999999999999815</v>
      </c>
      <c r="K344" s="71">
        <f t="shared" si="87"/>
        <v>1.5068406218683617</v>
      </c>
      <c r="L344" s="204">
        <f>ROUND(E344*'Interest Over Collect '!$J$11,2)</f>
        <v>0.31</v>
      </c>
      <c r="M344" s="71">
        <f t="shared" ref="M344:M356" si="90">+K344+L344</f>
        <v>1.8168406218683617</v>
      </c>
      <c r="N344" s="92"/>
    </row>
    <row r="345" spans="1:14" s="87" customFormat="1">
      <c r="B345" s="23" t="s">
        <v>24</v>
      </c>
      <c r="C345" s="278">
        <f>0.00107876130111864%*2</f>
        <v>2.1575226022372797E-5</v>
      </c>
      <c r="D345" s="281">
        <v>0</v>
      </c>
      <c r="E345" s="279">
        <f t="shared" si="83"/>
        <v>2.1575226022372797E-5</v>
      </c>
      <c r="F345" s="285">
        <f t="shared" si="89"/>
        <v>1.61</v>
      </c>
      <c r="G345" s="71">
        <f t="shared" si="84"/>
        <v>5.8936420885989334E-2</v>
      </c>
      <c r="H345" s="71">
        <f>ROUND(F345*'Actual Load'!$B$11/'Zonal Load'!$N$11,2)</f>
        <v>1.61</v>
      </c>
      <c r="I345" s="71">
        <f t="shared" si="85"/>
        <v>1.65</v>
      </c>
      <c r="J345" s="71">
        <f t="shared" si="86"/>
        <v>3.9999999999999813E-2</v>
      </c>
      <c r="K345" s="71">
        <f t="shared" si="87"/>
        <v>9.893642088598914E-2</v>
      </c>
      <c r="L345" s="204">
        <f>ROUND(E345*'Interest Over Collect '!$J$11,2)</f>
        <v>0.02</v>
      </c>
      <c r="M345" s="71">
        <f t="shared" si="90"/>
        <v>0.11893642088598914</v>
      </c>
      <c r="N345" s="92"/>
    </row>
    <row r="346" spans="1:14" s="87" customFormat="1">
      <c r="B346" s="23" t="s">
        <v>25</v>
      </c>
      <c r="C346" s="278">
        <f>0.0365877633724287%*2</f>
        <v>7.3175526744857398E-4</v>
      </c>
      <c r="D346" s="281">
        <v>0</v>
      </c>
      <c r="E346" s="279">
        <f t="shared" si="83"/>
        <v>7.3175526744857398E-4</v>
      </c>
      <c r="F346" s="285">
        <f t="shared" si="89"/>
        <v>54.75</v>
      </c>
      <c r="G346" s="71">
        <f t="shared" si="84"/>
        <v>1.9989146988850792</v>
      </c>
      <c r="H346" s="71">
        <f>ROUND(F346*'Actual Load'!$B$6/'Zonal Load'!$N$6,2)</f>
        <v>55.09</v>
      </c>
      <c r="I346" s="71">
        <f t="shared" si="85"/>
        <v>56.48</v>
      </c>
      <c r="J346" s="71">
        <f t="shared" si="86"/>
        <v>1.7299999999999969</v>
      </c>
      <c r="K346" s="71">
        <f t="shared" si="87"/>
        <v>3.7289146988850761</v>
      </c>
      <c r="L346" s="204">
        <f>ROUND(E346*'Interest Over Collect '!$J$11,2)</f>
        <v>0.75</v>
      </c>
      <c r="M346" s="71">
        <f t="shared" si="90"/>
        <v>4.4789146988850757</v>
      </c>
      <c r="N346" s="92"/>
    </row>
    <row r="347" spans="1:14" s="87" customFormat="1">
      <c r="B347" s="23" t="s">
        <v>26</v>
      </c>
      <c r="C347" s="278">
        <f>0.036101299351104%*2</f>
        <v>7.2202598702208012E-4</v>
      </c>
      <c r="D347" s="281">
        <v>0</v>
      </c>
      <c r="E347" s="279">
        <f t="shared" si="83"/>
        <v>7.2202598702208012E-4</v>
      </c>
      <c r="F347" s="285">
        <f t="shared" si="89"/>
        <v>54.02</v>
      </c>
      <c r="G347" s="71">
        <f t="shared" si="84"/>
        <v>1.9723375049526006</v>
      </c>
      <c r="H347" s="71">
        <f>ROUND(F347*'Actual Load'!$B$7/'Zonal Load'!$N$7,2)</f>
        <v>54.05</v>
      </c>
      <c r="I347" s="71">
        <f t="shared" si="85"/>
        <v>55.41</v>
      </c>
      <c r="J347" s="71">
        <f t="shared" si="86"/>
        <v>1.3899999999999935</v>
      </c>
      <c r="K347" s="71">
        <f t="shared" si="87"/>
        <v>3.3623375049525941</v>
      </c>
      <c r="L347" s="204">
        <f>ROUND(E347*'Interest Over Collect '!$J$11,2)</f>
        <v>0.74</v>
      </c>
      <c r="M347" s="71">
        <f t="shared" si="90"/>
        <v>4.1023375049525939</v>
      </c>
      <c r="N347" s="92"/>
    </row>
    <row r="348" spans="1:14" s="87" customFormat="1">
      <c r="A348" s="23"/>
      <c r="B348" s="23" t="s">
        <v>27</v>
      </c>
      <c r="C348" s="278">
        <f>0.00169370735682878%*2</f>
        <v>3.3874147136575603E-5</v>
      </c>
      <c r="D348" s="281">
        <v>0</v>
      </c>
      <c r="E348" s="279">
        <f t="shared" si="83"/>
        <v>3.3874147136575603E-5</v>
      </c>
      <c r="F348" s="285">
        <f t="shared" si="89"/>
        <v>2.5299999999999998</v>
      </c>
      <c r="G348" s="71">
        <f t="shared" si="84"/>
        <v>9.2533027961094236E-2</v>
      </c>
      <c r="H348" s="71">
        <f>ROUND(F348*'Actual Load'!$B$12/'Zonal Load'!$N$12,2)</f>
        <v>2.52</v>
      </c>
      <c r="I348" s="71">
        <f t="shared" si="85"/>
        <v>2.58</v>
      </c>
      <c r="J348" s="71">
        <f t="shared" si="86"/>
        <v>5.0000000000000266E-2</v>
      </c>
      <c r="K348" s="71">
        <f t="shared" si="87"/>
        <v>0.14253302796109452</v>
      </c>
      <c r="L348" s="204">
        <f>ROUND(E348*'Interest Over Collect '!$J$11,2)</f>
        <v>0.03</v>
      </c>
      <c r="M348" s="71">
        <f t="shared" si="90"/>
        <v>0.17253302796109452</v>
      </c>
      <c r="N348" s="92"/>
    </row>
    <row r="349" spans="1:14" s="87" customFormat="1">
      <c r="A349" s="23"/>
      <c r="B349" s="23" t="s">
        <v>28</v>
      </c>
      <c r="C349" s="278">
        <f>0.00178751268736084%*2</f>
        <v>3.5750253747216796E-5</v>
      </c>
      <c r="D349" s="281">
        <v>0</v>
      </c>
      <c r="E349" s="279">
        <f t="shared" si="83"/>
        <v>3.5750253747216796E-5</v>
      </c>
      <c r="F349" s="285">
        <f t="shared" si="89"/>
        <v>2.67</v>
      </c>
      <c r="G349" s="71">
        <f t="shared" si="84"/>
        <v>9.7657934125093535E-2</v>
      </c>
      <c r="H349" s="71">
        <f>ROUND(F349*'Actual Load'!$B$24/'Zonal Load'!$N$24,2)</f>
        <v>3.14</v>
      </c>
      <c r="I349" s="71">
        <f t="shared" si="85"/>
        <v>3.22</v>
      </c>
      <c r="J349" s="71">
        <f t="shared" si="86"/>
        <v>0.55000000000000027</v>
      </c>
      <c r="K349" s="71">
        <f t="shared" si="87"/>
        <v>0.64765793412509376</v>
      </c>
      <c r="L349" s="204">
        <f>ROUND(E349*'Interest Over Collect '!$J$11,2)</f>
        <v>0.04</v>
      </c>
      <c r="M349" s="71">
        <f t="shared" si="90"/>
        <v>0.68765793412509379</v>
      </c>
      <c r="N349" s="92"/>
    </row>
    <row r="350" spans="1:14" s="87" customFormat="1">
      <c r="A350" s="23"/>
      <c r="B350" s="23" t="s">
        <v>29</v>
      </c>
      <c r="C350" s="278">
        <f>0.0543889768569851%*2</f>
        <v>1.0877795371397019E-3</v>
      </c>
      <c r="D350" s="281">
        <v>0</v>
      </c>
      <c r="E350" s="279">
        <f t="shared" si="83"/>
        <v>1.0877795371397019E-3</v>
      </c>
      <c r="F350" s="285">
        <f t="shared" si="89"/>
        <v>81.38</v>
      </c>
      <c r="G350" s="71">
        <f t="shared" si="84"/>
        <v>2.9714558987957926</v>
      </c>
      <c r="H350" s="71">
        <f>ROUND(F350*'Actual Load'!$B$5/'Zonal Load'!$N$5,2)</f>
        <v>88.95</v>
      </c>
      <c r="I350" s="71">
        <f t="shared" si="85"/>
        <v>91.19</v>
      </c>
      <c r="J350" s="71">
        <f t="shared" si="86"/>
        <v>9.8100000000000023</v>
      </c>
      <c r="K350" s="71">
        <f t="shared" si="87"/>
        <v>12.781455898795794</v>
      </c>
      <c r="L350" s="204">
        <f>ROUND(E350*'Interest Over Collect '!$J$11,2)</f>
        <v>1.1200000000000001</v>
      </c>
      <c r="M350" s="71">
        <f t="shared" si="90"/>
        <v>13.901455898795795</v>
      </c>
      <c r="N350" s="92"/>
    </row>
    <row r="351" spans="1:14">
      <c r="A351" s="23"/>
      <c r="B351" s="23" t="s">
        <v>30</v>
      </c>
      <c r="C351" s="19">
        <f>0.040943654847444%*2</f>
        <v>8.1887309694888004E-4</v>
      </c>
      <c r="D351" s="20">
        <f>49.558805238415%*2</f>
        <v>0.99117610476829998</v>
      </c>
      <c r="E351" s="108">
        <f t="shared" si="83"/>
        <v>0.99199497786524882</v>
      </c>
      <c r="F351" s="109">
        <f t="shared" si="89"/>
        <v>74216.22</v>
      </c>
      <c r="G351" s="71">
        <f t="shared" si="84"/>
        <v>2709.8039886872139</v>
      </c>
      <c r="H351" s="89">
        <f>ROUND(F351*'Actual Load'!$B$21/'Zonal Load'!$N$21,2)</f>
        <v>75671.350000000006</v>
      </c>
      <c r="I351" s="21">
        <f t="shared" si="85"/>
        <v>77575.37</v>
      </c>
      <c r="J351" s="71">
        <f t="shared" si="86"/>
        <v>3359.1499999999942</v>
      </c>
      <c r="K351" s="71">
        <f t="shared" si="87"/>
        <v>6068.953988687208</v>
      </c>
      <c r="L351" s="204">
        <f>ROUND(E351*'Interest Over Collect '!$J$11,2)</f>
        <v>1017.51</v>
      </c>
      <c r="M351" s="89">
        <f t="shared" si="90"/>
        <v>7086.4639886872083</v>
      </c>
    </row>
    <row r="352" spans="1:14">
      <c r="A352" s="23"/>
      <c r="B352" s="23" t="s">
        <v>31</v>
      </c>
      <c r="C352" s="19">
        <f>0.00875984228956821%*2</f>
        <v>1.7519684579136421E-4</v>
      </c>
      <c r="D352" s="20">
        <v>0</v>
      </c>
      <c r="E352" s="108">
        <f t="shared" si="83"/>
        <v>1.7519684579136421E-4</v>
      </c>
      <c r="F352" s="109">
        <f t="shared" si="89"/>
        <v>13.11</v>
      </c>
      <c r="G352" s="71">
        <f t="shared" si="84"/>
        <v>0.47858015627509221</v>
      </c>
      <c r="H352" s="89">
        <f>ROUND(F352*'Actual Load'!$B$19/'Zonal Load'!$N$19,2)</f>
        <v>11.99</v>
      </c>
      <c r="I352" s="21">
        <f t="shared" si="85"/>
        <v>12.29</v>
      </c>
      <c r="J352" s="71">
        <f t="shared" si="86"/>
        <v>-0.82000000000000028</v>
      </c>
      <c r="K352" s="71">
        <f t="shared" si="87"/>
        <v>-0.34141984372490808</v>
      </c>
      <c r="L352" s="204">
        <f>ROUND(E352*'Interest Over Collect '!$J$11,2)</f>
        <v>0.18</v>
      </c>
      <c r="M352" s="89">
        <f t="shared" si="90"/>
        <v>-0.16141984372490809</v>
      </c>
    </row>
    <row r="353" spans="1:13">
      <c r="A353" s="23"/>
      <c r="B353" s="23" t="s">
        <v>32</v>
      </c>
      <c r="C353" s="19">
        <f>0.00133255683428037%*2</f>
        <v>2.6651136685607399E-5</v>
      </c>
      <c r="D353" s="20">
        <v>0</v>
      </c>
      <c r="E353" s="108">
        <f t="shared" si="83"/>
        <v>2.6651136685607399E-5</v>
      </c>
      <c r="F353" s="109">
        <f t="shared" si="89"/>
        <v>1.99</v>
      </c>
      <c r="G353" s="71">
        <f t="shared" si="84"/>
        <v>7.2802139229698026E-2</v>
      </c>
      <c r="H353" s="89">
        <f>ROUND(F353*'Actual Load'!$B$25/'Zonal Load'!$N$25,2)</f>
        <v>1.98</v>
      </c>
      <c r="I353" s="21">
        <f t="shared" si="85"/>
        <v>2.0299999999999998</v>
      </c>
      <c r="J353" s="71">
        <f t="shared" si="86"/>
        <v>3.9999999999999813E-2</v>
      </c>
      <c r="K353" s="71">
        <f t="shared" si="87"/>
        <v>0.11280213922969784</v>
      </c>
      <c r="L353" s="204">
        <f>ROUND(E353*'Interest Over Collect '!$J$11,2)</f>
        <v>0.03</v>
      </c>
      <c r="M353" s="89">
        <f t="shared" si="90"/>
        <v>0.14280213922969784</v>
      </c>
    </row>
    <row r="354" spans="1:13">
      <c r="A354" s="23"/>
      <c r="B354" s="23" t="s">
        <v>33</v>
      </c>
      <c r="C354" s="19">
        <f>0.00520737437012833%*2</f>
        <v>1.0414748740256659E-4</v>
      </c>
      <c r="D354" s="20">
        <v>0</v>
      </c>
      <c r="E354" s="108">
        <f t="shared" si="83"/>
        <v>1.0414748740256659E-4</v>
      </c>
      <c r="F354" s="109">
        <f t="shared" si="89"/>
        <v>7.79</v>
      </c>
      <c r="G354" s="71">
        <f t="shared" si="84"/>
        <v>0.28449667898778674</v>
      </c>
      <c r="H354" s="89">
        <f>ROUND(F354*'Actual Load'!$B$13/'Zonal Load'!$N$13,2)</f>
        <v>7.81</v>
      </c>
      <c r="I354" s="21">
        <f t="shared" si="85"/>
        <v>8.01</v>
      </c>
      <c r="J354" s="71">
        <f t="shared" si="86"/>
        <v>0.21999999999999975</v>
      </c>
      <c r="K354" s="71">
        <f t="shared" si="87"/>
        <v>0.5044966789877865</v>
      </c>
      <c r="L354" s="204">
        <f>ROUND(E354*'Interest Over Collect '!$J$11,2)</f>
        <v>0.11</v>
      </c>
      <c r="M354" s="89">
        <f t="shared" si="90"/>
        <v>0.61449667898778648</v>
      </c>
    </row>
    <row r="355" spans="1:13">
      <c r="A355" s="23"/>
      <c r="B355" s="23" t="s">
        <v>34</v>
      </c>
      <c r="C355" s="19">
        <f>0.0036511927546943%*2</f>
        <v>7.3023855093885993E-5</v>
      </c>
      <c r="D355" s="20">
        <v>0</v>
      </c>
      <c r="E355" s="108">
        <f t="shared" si="83"/>
        <v>7.3023855093885993E-5</v>
      </c>
      <c r="F355" s="109">
        <f t="shared" si="89"/>
        <v>5.46</v>
      </c>
      <c r="G355" s="71">
        <f t="shared" si="84"/>
        <v>0.19947715282648251</v>
      </c>
      <c r="H355" s="89">
        <f>ROUND(F355*'Actual Load'!$B$23/'Zonal Load'!$N$23,2)</f>
        <v>5.66</v>
      </c>
      <c r="I355" s="21">
        <f t="shared" si="85"/>
        <v>5.8</v>
      </c>
      <c r="J355" s="71">
        <f t="shared" si="86"/>
        <v>0.33999999999999986</v>
      </c>
      <c r="K355" s="71">
        <f t="shared" si="87"/>
        <v>0.53947715282648234</v>
      </c>
      <c r="L355" s="204">
        <f>ROUND(E355*'Interest Over Collect '!$J$11,2)</f>
        <v>7.0000000000000007E-2</v>
      </c>
      <c r="M355" s="89">
        <f t="shared" si="90"/>
        <v>0.6094771528264824</v>
      </c>
    </row>
    <row r="356" spans="1:13">
      <c r="B356" s="24" t="s">
        <v>35</v>
      </c>
      <c r="C356" s="19">
        <f>0.00288336219285807%*2</f>
        <v>5.7667243857161401E-5</v>
      </c>
      <c r="D356" s="20">
        <v>0</v>
      </c>
      <c r="E356" s="108">
        <f t="shared" si="83"/>
        <v>5.7667243857161401E-5</v>
      </c>
      <c r="F356" s="109">
        <f t="shared" si="89"/>
        <v>4.3099999999999996</v>
      </c>
      <c r="G356" s="71">
        <f t="shared" si="84"/>
        <v>0.15752794208395807</v>
      </c>
      <c r="H356" s="89">
        <f>ROUND(F356*'Actual Load'!$B$20/'Zonal Load'!$N$20,2)</f>
        <v>2.84</v>
      </c>
      <c r="I356" s="21">
        <f t="shared" si="85"/>
        <v>2.91</v>
      </c>
      <c r="J356" s="71">
        <f t="shared" si="86"/>
        <v>-1.3999999999999995</v>
      </c>
      <c r="K356" s="71">
        <f t="shared" si="87"/>
        <v>-1.2424720579160413</v>
      </c>
      <c r="L356" s="204">
        <f>ROUND(E356*'Interest Over Collect '!$J$11,2)</f>
        <v>0.06</v>
      </c>
      <c r="M356" s="89">
        <f t="shared" si="90"/>
        <v>-1.1824720579160413</v>
      </c>
    </row>
    <row r="357" spans="1:13">
      <c r="B357" s="25"/>
      <c r="C357" s="26">
        <f t="shared" ref="C357:M357" si="91">SUM(C335:C356)</f>
        <v>8.8238952316991304E-3</v>
      </c>
      <c r="D357" s="27">
        <f t="shared" si="91"/>
        <v>0.99117610476829998</v>
      </c>
      <c r="E357" s="107">
        <f t="shared" si="91"/>
        <v>0.99999999999999911</v>
      </c>
      <c r="F357" s="101">
        <f t="shared" si="91"/>
        <v>74815.090000000011</v>
      </c>
      <c r="G357" s="84">
        <f t="shared" si="91"/>
        <v>2731.6710761163827</v>
      </c>
      <c r="H357" s="146">
        <f t="shared" si="91"/>
        <v>76278.97</v>
      </c>
      <c r="I357" s="85">
        <f t="shared" si="91"/>
        <v>78198.279999999984</v>
      </c>
      <c r="J357" s="85">
        <f t="shared" si="91"/>
        <v>3383.1899999999937</v>
      </c>
      <c r="K357" s="163">
        <f t="shared" si="91"/>
        <v>6114.8610761163764</v>
      </c>
      <c r="L357" s="85">
        <f t="shared" si="91"/>
        <v>1025.7299999999998</v>
      </c>
      <c r="M357" s="85">
        <f t="shared" si="91"/>
        <v>7140.5910761163777</v>
      </c>
    </row>
    <row r="358" spans="1:13">
      <c r="G358" s="21"/>
      <c r="I358" s="86"/>
    </row>
    <row r="359" spans="1:13">
      <c r="E359" s="102" t="str">
        <f>$E$73</f>
        <v>2013 Estimated Revenue Requirement</v>
      </c>
      <c r="F359" s="201">
        <v>74815.119514769845</v>
      </c>
      <c r="H359" s="147"/>
      <c r="I359" s="29"/>
      <c r="J359" s="120"/>
      <c r="K359" s="87"/>
      <c r="L359" s="90"/>
    </row>
    <row r="360" spans="1:13">
      <c r="E360" s="103" t="str">
        <f>$E$74</f>
        <v>2013 Rev Requirement Act</v>
      </c>
      <c r="F360" s="202">
        <v>72083.44843865346</v>
      </c>
      <c r="L360" s="87"/>
    </row>
    <row r="361" spans="1:13">
      <c r="E361" s="103" t="str">
        <f>$E$75</f>
        <v>Actual Revenue Booked</v>
      </c>
      <c r="F361" s="210">
        <f>I357</f>
        <v>78198.279999999984</v>
      </c>
      <c r="L361" s="87"/>
    </row>
    <row r="363" spans="1:13">
      <c r="B363" s="88"/>
      <c r="C363" s="88"/>
      <c r="D363" s="88"/>
      <c r="E363" s="88"/>
      <c r="F363" s="88"/>
      <c r="G363" s="88"/>
      <c r="H363" s="88"/>
      <c r="I363" s="88"/>
      <c r="J363" s="119"/>
      <c r="K363" s="88"/>
      <c r="L363" s="88"/>
      <c r="M363" s="88"/>
    </row>
    <row r="365" spans="1:13" ht="15.75" customHeight="1">
      <c r="B365" s="94" t="s">
        <v>0</v>
      </c>
      <c r="C365" s="548" t="s">
        <v>134</v>
      </c>
      <c r="D365" s="522"/>
      <c r="E365" s="522"/>
      <c r="F365" s="522"/>
      <c r="G365" s="522"/>
      <c r="H365" s="523"/>
      <c r="I365" s="1"/>
    </row>
    <row r="366" spans="1:13" ht="15.75" customHeight="1">
      <c r="B366" s="95" t="s">
        <v>2</v>
      </c>
      <c r="C366" s="550" t="s">
        <v>153</v>
      </c>
      <c r="D366" s="551"/>
      <c r="E366" s="551"/>
      <c r="F366" s="551"/>
      <c r="G366" s="551"/>
      <c r="H366" s="552"/>
      <c r="I366" s="1"/>
    </row>
    <row r="367" spans="1:13" ht="15.75" customHeight="1">
      <c r="B367" s="95" t="s">
        <v>4</v>
      </c>
      <c r="C367" s="549"/>
      <c r="D367" s="525"/>
      <c r="E367" s="525"/>
      <c r="F367" s="525"/>
      <c r="G367" s="525"/>
      <c r="H367" s="526"/>
      <c r="I367" s="1"/>
    </row>
    <row r="368" spans="1:13" ht="15.75" customHeight="1">
      <c r="B368" s="96" t="s">
        <v>6</v>
      </c>
      <c r="C368" s="547" t="s">
        <v>30</v>
      </c>
      <c r="D368" s="531"/>
      <c r="E368" s="531"/>
      <c r="F368" s="531"/>
      <c r="G368" s="531"/>
      <c r="H368" s="532"/>
      <c r="I368" s="1"/>
    </row>
    <row r="369" spans="2:14">
      <c r="B369" s="82"/>
      <c r="C369" s="82"/>
      <c r="D369" s="82"/>
      <c r="E369" s="82"/>
      <c r="F369" s="82"/>
      <c r="J369" s="113" t="s">
        <v>163</v>
      </c>
      <c r="K369" s="3" t="s">
        <v>42</v>
      </c>
      <c r="M369" s="3" t="s">
        <v>56</v>
      </c>
    </row>
    <row r="370" spans="2:14">
      <c r="B370" s="82"/>
      <c r="C370" s="82"/>
      <c r="D370" s="82"/>
      <c r="E370" s="82"/>
      <c r="F370" s="82"/>
      <c r="G370" s="3" t="s">
        <v>39</v>
      </c>
      <c r="H370" s="142" t="s">
        <v>40</v>
      </c>
      <c r="I370" s="104" t="s">
        <v>41</v>
      </c>
      <c r="J370" s="114" t="s">
        <v>164</v>
      </c>
      <c r="K370" s="4" t="s">
        <v>165</v>
      </c>
      <c r="L370" s="4" t="s">
        <v>55</v>
      </c>
      <c r="M370" s="4" t="s">
        <v>166</v>
      </c>
      <c r="N370" s="233"/>
    </row>
    <row r="371" spans="2:14">
      <c r="B371" s="82"/>
      <c r="C371" s="82"/>
      <c r="D371" s="82"/>
      <c r="E371" s="82"/>
      <c r="F371" s="82"/>
      <c r="G371" s="5"/>
      <c r="H371" s="527" t="s">
        <v>43</v>
      </c>
      <c r="I371" s="528"/>
      <c r="J371" s="529"/>
      <c r="K371" s="6" t="s">
        <v>44</v>
      </c>
      <c r="L371" s="5"/>
      <c r="M371" s="6" t="s">
        <v>45</v>
      </c>
      <c r="N371" s="233"/>
    </row>
    <row r="372" spans="2:14">
      <c r="B372" s="83"/>
      <c r="C372" s="7">
        <v>0.2</v>
      </c>
      <c r="D372" s="7">
        <v>0.8</v>
      </c>
      <c r="E372" s="7"/>
      <c r="F372" s="98" t="s">
        <v>162</v>
      </c>
      <c r="G372" s="8" t="s">
        <v>46</v>
      </c>
      <c r="H372" s="143"/>
      <c r="I372" s="5"/>
      <c r="J372" s="115" t="s">
        <v>47</v>
      </c>
      <c r="K372" s="8" t="s">
        <v>48</v>
      </c>
      <c r="L372" s="9"/>
      <c r="M372" s="8" t="s">
        <v>49</v>
      </c>
    </row>
    <row r="373" spans="2:14">
      <c r="B373" s="10"/>
      <c r="C373" s="75" t="s">
        <v>9</v>
      </c>
      <c r="D373" s="75" t="s">
        <v>10</v>
      </c>
      <c r="E373" s="75" t="s">
        <v>11</v>
      </c>
      <c r="F373" s="99" t="s">
        <v>8</v>
      </c>
      <c r="G373" s="11" t="s">
        <v>50</v>
      </c>
      <c r="H373" s="144" t="s">
        <v>51</v>
      </c>
      <c r="I373" s="12" t="s">
        <v>159</v>
      </c>
      <c r="J373" s="116" t="s">
        <v>50</v>
      </c>
      <c r="K373" s="12" t="s">
        <v>50</v>
      </c>
      <c r="L373" s="12" t="s">
        <v>52</v>
      </c>
      <c r="M373" s="12" t="s">
        <v>53</v>
      </c>
    </row>
    <row r="374" spans="2:14" ht="31.5">
      <c r="B374" s="13" t="s">
        <v>13</v>
      </c>
      <c r="C374" s="14" t="s">
        <v>14</v>
      </c>
      <c r="D374" s="14" t="s">
        <v>14</v>
      </c>
      <c r="E374" s="15" t="s">
        <v>14</v>
      </c>
      <c r="F374" s="100" t="s">
        <v>15</v>
      </c>
      <c r="G374" s="16" t="s">
        <v>54</v>
      </c>
      <c r="H374" s="145"/>
      <c r="I374" s="17"/>
      <c r="J374" s="117" t="s">
        <v>54</v>
      </c>
      <c r="K374" s="17"/>
      <c r="L374" s="17"/>
      <c r="M374" s="16" t="s">
        <v>54</v>
      </c>
    </row>
    <row r="375" spans="2:14" s="87" customFormat="1">
      <c r="B375" s="18" t="s">
        <v>16</v>
      </c>
      <c r="C375" s="278">
        <v>0</v>
      </c>
      <c r="D375" s="281">
        <v>0</v>
      </c>
      <c r="E375" s="279">
        <f t="shared" ref="E375:E398" si="92">C375+D375</f>
        <v>0</v>
      </c>
      <c r="F375" s="282">
        <f>ROUND(+E375*F$401,2)</f>
        <v>0</v>
      </c>
      <c r="G375" s="71">
        <f t="shared" ref="G375:G398" si="93">(F$401-F$402)*E375</f>
        <v>0</v>
      </c>
      <c r="H375" s="71">
        <f>ROUND(F375*'Actual Load'!$B$8/'Zonal Load'!$N$8,2)</f>
        <v>0</v>
      </c>
      <c r="I375" s="71">
        <f t="shared" ref="I375:I398" si="94">ROUND((H375*$H$708)/$H$706,2)</f>
        <v>0</v>
      </c>
      <c r="J375" s="71">
        <f t="shared" ref="J375:J398" si="95">I375-F375</f>
        <v>0</v>
      </c>
      <c r="K375" s="71">
        <f t="shared" ref="K375:K398" si="96">+G375+J375</f>
        <v>0</v>
      </c>
      <c r="L375" s="204">
        <f>ROUND(E375*'Interest Over Collect '!$J$12,2)</f>
        <v>0</v>
      </c>
      <c r="M375" s="71">
        <f t="shared" ref="M375:M382" si="97">+K375+L375</f>
        <v>0</v>
      </c>
      <c r="N375" s="92"/>
    </row>
    <row r="376" spans="2:14" s="87" customFormat="1">
      <c r="B376" s="23" t="s">
        <v>17</v>
      </c>
      <c r="C376" s="278">
        <v>0</v>
      </c>
      <c r="D376" s="281">
        <v>0</v>
      </c>
      <c r="E376" s="279">
        <f t="shared" si="92"/>
        <v>0</v>
      </c>
      <c r="F376" s="280">
        <f>ROUND(+E376*F$401,2)</f>
        <v>0</v>
      </c>
      <c r="G376" s="71">
        <f t="shared" si="93"/>
        <v>0</v>
      </c>
      <c r="H376" s="71">
        <f>ROUND(F376*'Actual Load'!$B$14/'Zonal Load'!$N$14,2)</f>
        <v>0</v>
      </c>
      <c r="I376" s="71">
        <f t="shared" si="94"/>
        <v>0</v>
      </c>
      <c r="J376" s="71">
        <f t="shared" si="95"/>
        <v>0</v>
      </c>
      <c r="K376" s="71">
        <f t="shared" si="96"/>
        <v>0</v>
      </c>
      <c r="L376" s="204">
        <f>ROUND(E376*'Interest Over Collect '!$J$12,2)</f>
        <v>0</v>
      </c>
      <c r="M376" s="71">
        <f t="shared" si="97"/>
        <v>0</v>
      </c>
      <c r="N376" s="92"/>
    </row>
    <row r="377" spans="2:14" s="87" customFormat="1">
      <c r="B377" s="23" t="s">
        <v>201</v>
      </c>
      <c r="C377" s="278">
        <f>0%*0.421</f>
        <v>0</v>
      </c>
      <c r="D377" s="281">
        <f>0%*0.421</f>
        <v>0</v>
      </c>
      <c r="E377" s="279">
        <f t="shared" si="92"/>
        <v>0</v>
      </c>
      <c r="F377" s="280">
        <f t="shared" ref="F377:F398" si="98">ROUND(+E377*F$401,2)</f>
        <v>0</v>
      </c>
      <c r="G377" s="71">
        <f t="shared" si="93"/>
        <v>0</v>
      </c>
      <c r="H377" s="71">
        <f>ROUND(F377*'Actual Load'!$B$9/'Zonal Load'!$N$9,2)</f>
        <v>0</v>
      </c>
      <c r="I377" s="71">
        <f t="shared" si="94"/>
        <v>0</v>
      </c>
      <c r="J377" s="71">
        <f t="shared" si="95"/>
        <v>0</v>
      </c>
      <c r="K377" s="71">
        <f t="shared" si="96"/>
        <v>0</v>
      </c>
      <c r="L377" s="204">
        <f>ROUND(E377*'Interest Over Collect '!$J$12,2)</f>
        <v>0</v>
      </c>
      <c r="M377" s="71">
        <f t="shared" si="97"/>
        <v>0</v>
      </c>
      <c r="N377" s="92"/>
    </row>
    <row r="378" spans="2:14" s="87" customFormat="1">
      <c r="B378" s="140" t="s">
        <v>260</v>
      </c>
      <c r="C378" s="278">
        <f>0%*0.579</f>
        <v>0</v>
      </c>
      <c r="D378" s="281">
        <f>0%*0.579</f>
        <v>0</v>
      </c>
      <c r="E378" s="279">
        <f>C378+D378</f>
        <v>0</v>
      </c>
      <c r="F378" s="280">
        <f t="shared" si="98"/>
        <v>0</v>
      </c>
      <c r="G378" s="71">
        <f>(F$401-F$402)*E378</f>
        <v>0</v>
      </c>
      <c r="H378" s="71">
        <f>ROUND(F378*'Actual Load'!$B$10/'Zonal Load'!$N$10,2)</f>
        <v>0</v>
      </c>
      <c r="I378" s="71">
        <f t="shared" si="94"/>
        <v>0</v>
      </c>
      <c r="J378" s="71">
        <f>I378-F378</f>
        <v>0</v>
      </c>
      <c r="K378" s="71">
        <f>+G378+J378</f>
        <v>0</v>
      </c>
      <c r="L378" s="204">
        <f>ROUND(E378*'Interest Over Collect '!$J$12,2)</f>
        <v>0</v>
      </c>
      <c r="M378" s="71">
        <f>+K378+L378</f>
        <v>0</v>
      </c>
      <c r="N378" s="92"/>
    </row>
    <row r="379" spans="2:14" s="87" customFormat="1">
      <c r="B379" s="23" t="s">
        <v>18</v>
      </c>
      <c r="C379" s="278">
        <v>0</v>
      </c>
      <c r="D379" s="281">
        <v>0</v>
      </c>
      <c r="E379" s="279">
        <f t="shared" si="92"/>
        <v>0</v>
      </c>
      <c r="F379" s="280">
        <f t="shared" si="98"/>
        <v>0</v>
      </c>
      <c r="G379" s="71">
        <f t="shared" si="93"/>
        <v>0</v>
      </c>
      <c r="H379" s="71">
        <f>ROUND(F379*'Actual Load'!$B$26/'Zonal Load'!$N$26,2)</f>
        <v>0</v>
      </c>
      <c r="I379" s="71">
        <f t="shared" si="94"/>
        <v>0</v>
      </c>
      <c r="J379" s="71">
        <f t="shared" si="95"/>
        <v>0</v>
      </c>
      <c r="K379" s="71">
        <f t="shared" si="96"/>
        <v>0</v>
      </c>
      <c r="L379" s="204">
        <f>ROUND(E379*'Interest Over Collect '!$J$12,2)</f>
        <v>0</v>
      </c>
      <c r="M379" s="71">
        <f t="shared" si="97"/>
        <v>0</v>
      </c>
      <c r="N379" s="92"/>
    </row>
    <row r="380" spans="2:14" s="87" customFormat="1">
      <c r="B380" s="23" t="s">
        <v>19</v>
      </c>
      <c r="C380" s="278">
        <v>0</v>
      </c>
      <c r="D380" s="281">
        <v>0</v>
      </c>
      <c r="E380" s="279">
        <f t="shared" si="92"/>
        <v>0</v>
      </c>
      <c r="F380" s="280">
        <f t="shared" si="98"/>
        <v>0</v>
      </c>
      <c r="G380" s="71">
        <f t="shared" si="93"/>
        <v>0</v>
      </c>
      <c r="H380" s="71">
        <f>ROUND(F380*'Actual Load'!$B$16/'Zonal Load'!$N$16,2)</f>
        <v>0</v>
      </c>
      <c r="I380" s="71">
        <f t="shared" si="94"/>
        <v>0</v>
      </c>
      <c r="J380" s="71">
        <f t="shared" si="95"/>
        <v>0</v>
      </c>
      <c r="K380" s="71">
        <f t="shared" si="96"/>
        <v>0</v>
      </c>
      <c r="L380" s="204">
        <f>ROUND(E380*'Interest Over Collect '!$J$12,2)</f>
        <v>0</v>
      </c>
      <c r="M380" s="71">
        <f t="shared" si="97"/>
        <v>0</v>
      </c>
      <c r="N380" s="92"/>
    </row>
    <row r="381" spans="2:14" s="87" customFormat="1">
      <c r="B381" s="23" t="s">
        <v>20</v>
      </c>
      <c r="C381" s="278">
        <v>0</v>
      </c>
      <c r="D381" s="281">
        <v>0</v>
      </c>
      <c r="E381" s="279">
        <f t="shared" si="92"/>
        <v>0</v>
      </c>
      <c r="F381" s="280">
        <f t="shared" si="98"/>
        <v>0</v>
      </c>
      <c r="G381" s="71">
        <f t="shared" si="93"/>
        <v>0</v>
      </c>
      <c r="H381" s="71">
        <f>ROUND(F381*'Actual Load'!$B$22/'Zonal Load'!$N$22,2)</f>
        <v>0</v>
      </c>
      <c r="I381" s="71">
        <f t="shared" si="94"/>
        <v>0</v>
      </c>
      <c r="J381" s="71">
        <f t="shared" si="95"/>
        <v>0</v>
      </c>
      <c r="K381" s="71">
        <f t="shared" si="96"/>
        <v>0</v>
      </c>
      <c r="L381" s="204">
        <f>ROUND(E381*'Interest Over Collect '!$J$12,2)</f>
        <v>0</v>
      </c>
      <c r="M381" s="71">
        <f t="shared" si="97"/>
        <v>0</v>
      </c>
      <c r="N381" s="92"/>
    </row>
    <row r="382" spans="2:14" s="87" customFormat="1">
      <c r="B382" s="23" t="s">
        <v>21</v>
      </c>
      <c r="C382" s="278">
        <v>0</v>
      </c>
      <c r="D382" s="281">
        <v>0</v>
      </c>
      <c r="E382" s="279">
        <f t="shared" si="92"/>
        <v>0</v>
      </c>
      <c r="F382" s="280">
        <f t="shared" si="98"/>
        <v>0</v>
      </c>
      <c r="G382" s="71">
        <f t="shared" si="93"/>
        <v>0</v>
      </c>
      <c r="H382" s="71">
        <f>ROUND(F382*'Actual Load'!$B$17/'Zonal Load'!$N$17,2)</f>
        <v>0</v>
      </c>
      <c r="I382" s="71">
        <f t="shared" si="94"/>
        <v>0</v>
      </c>
      <c r="J382" s="71">
        <f t="shared" si="95"/>
        <v>0</v>
      </c>
      <c r="K382" s="71">
        <f t="shared" si="96"/>
        <v>0</v>
      </c>
      <c r="L382" s="204">
        <f>ROUND(E382*'Interest Over Collect '!$J$12,2)</f>
        <v>0</v>
      </c>
      <c r="M382" s="71">
        <f t="shared" si="97"/>
        <v>0</v>
      </c>
      <c r="N382" s="92"/>
    </row>
    <row r="383" spans="2:14" s="87" customFormat="1">
      <c r="B383" s="23" t="s">
        <v>22</v>
      </c>
      <c r="C383" s="278">
        <v>0</v>
      </c>
      <c r="D383" s="281">
        <v>0</v>
      </c>
      <c r="E383" s="279">
        <f t="shared" si="92"/>
        <v>0</v>
      </c>
      <c r="F383" s="280">
        <f t="shared" si="98"/>
        <v>0</v>
      </c>
      <c r="G383" s="71">
        <f t="shared" si="93"/>
        <v>0</v>
      </c>
      <c r="H383" s="71">
        <f>ROUND(F383*'Actual Load'!$B$15/'Zonal Load'!$N$15,2)</f>
        <v>0</v>
      </c>
      <c r="I383" s="71">
        <f t="shared" si="94"/>
        <v>0</v>
      </c>
      <c r="J383" s="71">
        <f t="shared" si="95"/>
        <v>0</v>
      </c>
      <c r="K383" s="71">
        <f t="shared" si="96"/>
        <v>0</v>
      </c>
      <c r="L383" s="204">
        <f>ROUND(E383*'Interest Over Collect '!$J$12,2)</f>
        <v>0</v>
      </c>
      <c r="M383" s="71">
        <f>+K383+L383</f>
        <v>0</v>
      </c>
      <c r="N383" s="92"/>
    </row>
    <row r="384" spans="2:14" s="87" customFormat="1">
      <c r="B384" s="23" t="s">
        <v>23</v>
      </c>
      <c r="C384" s="278">
        <v>0</v>
      </c>
      <c r="D384" s="281">
        <v>0</v>
      </c>
      <c r="E384" s="279">
        <f t="shared" si="92"/>
        <v>0</v>
      </c>
      <c r="F384" s="280">
        <f t="shared" si="98"/>
        <v>0</v>
      </c>
      <c r="G384" s="71">
        <f t="shared" si="93"/>
        <v>0</v>
      </c>
      <c r="H384" s="71">
        <f>ROUND(F384*'Actual Load'!$B$4/'Zonal Load'!$N$4,2)</f>
        <v>0</v>
      </c>
      <c r="I384" s="71">
        <f t="shared" si="94"/>
        <v>0</v>
      </c>
      <c r="J384" s="71">
        <f t="shared" si="95"/>
        <v>0</v>
      </c>
      <c r="K384" s="71">
        <f t="shared" si="96"/>
        <v>0</v>
      </c>
      <c r="L384" s="204">
        <f>ROUND(E384*'Interest Over Collect '!$J$12,2)</f>
        <v>0</v>
      </c>
      <c r="M384" s="71">
        <f t="shared" ref="M384:M395" si="99">+K384+L384</f>
        <v>0</v>
      </c>
      <c r="N384" s="92"/>
    </row>
    <row r="385" spans="1:14" s="87" customFormat="1">
      <c r="B385" s="23" t="s">
        <v>24</v>
      </c>
      <c r="C385" s="278">
        <v>0</v>
      </c>
      <c r="D385" s="281">
        <v>0</v>
      </c>
      <c r="E385" s="279">
        <f t="shared" si="92"/>
        <v>0</v>
      </c>
      <c r="F385" s="280">
        <f t="shared" si="98"/>
        <v>0</v>
      </c>
      <c r="G385" s="71">
        <f t="shared" si="93"/>
        <v>0</v>
      </c>
      <c r="H385" s="71">
        <f>ROUND(F385*'Actual Load'!$B$11/'Zonal Load'!$N$11,2)</f>
        <v>0</v>
      </c>
      <c r="I385" s="71">
        <f t="shared" si="94"/>
        <v>0</v>
      </c>
      <c r="J385" s="71">
        <f t="shared" si="95"/>
        <v>0</v>
      </c>
      <c r="K385" s="71">
        <f t="shared" si="96"/>
        <v>0</v>
      </c>
      <c r="L385" s="204">
        <f>ROUND(E385*'Interest Over Collect '!$J$12,2)</f>
        <v>0</v>
      </c>
      <c r="M385" s="71">
        <f t="shared" si="99"/>
        <v>0</v>
      </c>
      <c r="N385" s="92"/>
    </row>
    <row r="386" spans="1:14" s="87" customFormat="1">
      <c r="B386" s="23" t="s">
        <v>26</v>
      </c>
      <c r="C386" s="278">
        <v>0</v>
      </c>
      <c r="D386" s="281">
        <v>0</v>
      </c>
      <c r="E386" s="279">
        <f t="shared" si="92"/>
        <v>0</v>
      </c>
      <c r="F386" s="280">
        <f t="shared" si="98"/>
        <v>0</v>
      </c>
      <c r="G386" s="71">
        <f t="shared" si="93"/>
        <v>0</v>
      </c>
      <c r="H386" s="71">
        <f>ROUND(F386*'Actual Load'!$B$7/'Zonal Load'!$N$7,2)</f>
        <v>0</v>
      </c>
      <c r="I386" s="71">
        <f t="shared" si="94"/>
        <v>0</v>
      </c>
      <c r="J386" s="71">
        <f t="shared" si="95"/>
        <v>0</v>
      </c>
      <c r="K386" s="71">
        <f t="shared" si="96"/>
        <v>0</v>
      </c>
      <c r="L386" s="204">
        <f>ROUND(E386*'Interest Over Collect '!$J$12,2)</f>
        <v>0</v>
      </c>
      <c r="M386" s="71">
        <f t="shared" si="99"/>
        <v>0</v>
      </c>
      <c r="N386" s="92"/>
    </row>
    <row r="387" spans="1:14" s="87" customFormat="1">
      <c r="B387" s="23" t="s">
        <v>25</v>
      </c>
      <c r="C387" s="278">
        <v>0</v>
      </c>
      <c r="D387" s="281">
        <v>0</v>
      </c>
      <c r="E387" s="279">
        <f t="shared" si="92"/>
        <v>0</v>
      </c>
      <c r="F387" s="280">
        <f t="shared" si="98"/>
        <v>0</v>
      </c>
      <c r="G387" s="71">
        <f t="shared" si="93"/>
        <v>0</v>
      </c>
      <c r="H387" s="71">
        <f>ROUND(F387*'Actual Load'!$B$6/'Zonal Load'!$N$6,2)</f>
        <v>0</v>
      </c>
      <c r="I387" s="71">
        <f t="shared" si="94"/>
        <v>0</v>
      </c>
      <c r="J387" s="71">
        <f t="shared" si="95"/>
        <v>0</v>
      </c>
      <c r="K387" s="71">
        <f t="shared" si="96"/>
        <v>0</v>
      </c>
      <c r="L387" s="204">
        <f>ROUND(E387*'Interest Over Collect '!$J$12,2)</f>
        <v>0</v>
      </c>
      <c r="M387" s="71">
        <f t="shared" si="99"/>
        <v>0</v>
      </c>
      <c r="N387" s="92"/>
    </row>
    <row r="388" spans="1:14" s="87" customFormat="1">
      <c r="B388" s="23" t="s">
        <v>119</v>
      </c>
      <c r="C388" s="278">
        <v>0</v>
      </c>
      <c r="D388" s="281">
        <v>0</v>
      </c>
      <c r="E388" s="279">
        <f t="shared" si="92"/>
        <v>0</v>
      </c>
      <c r="F388" s="280">
        <f t="shared" si="98"/>
        <v>0</v>
      </c>
      <c r="G388" s="71">
        <f t="shared" si="93"/>
        <v>0</v>
      </c>
      <c r="H388" s="71">
        <f>ROUND(F388*'Actual Load'!$B$18/'Zonal Load'!$N$18,2)</f>
        <v>0</v>
      </c>
      <c r="I388" s="71">
        <f t="shared" si="94"/>
        <v>0</v>
      </c>
      <c r="J388" s="71">
        <f t="shared" si="95"/>
        <v>0</v>
      </c>
      <c r="K388" s="71">
        <f t="shared" si="96"/>
        <v>0</v>
      </c>
      <c r="L388" s="204">
        <f>ROUND(E388*'Interest Over Collect '!$J$12,2)</f>
        <v>0</v>
      </c>
      <c r="M388" s="71">
        <f t="shared" si="99"/>
        <v>0</v>
      </c>
      <c r="N388" s="92"/>
    </row>
    <row r="389" spans="1:14" s="87" customFormat="1">
      <c r="B389" s="23" t="s">
        <v>120</v>
      </c>
      <c r="C389" s="278">
        <v>0</v>
      </c>
      <c r="D389" s="281">
        <v>0</v>
      </c>
      <c r="E389" s="279">
        <f t="shared" si="92"/>
        <v>0</v>
      </c>
      <c r="F389" s="280">
        <f t="shared" si="98"/>
        <v>0</v>
      </c>
      <c r="G389" s="71">
        <f t="shared" si="93"/>
        <v>0</v>
      </c>
      <c r="H389" s="71">
        <f>ROUND(F389*'Actual Load'!$B$17/'Zonal Load'!$N$17,2)</f>
        <v>0</v>
      </c>
      <c r="I389" s="71">
        <f t="shared" si="94"/>
        <v>0</v>
      </c>
      <c r="J389" s="71">
        <f t="shared" si="95"/>
        <v>0</v>
      </c>
      <c r="K389" s="71">
        <f t="shared" si="96"/>
        <v>0</v>
      </c>
      <c r="L389" s="204">
        <f>ROUND(E389*'Interest Over Collect '!$J$12,2)</f>
        <v>0</v>
      </c>
      <c r="M389" s="71">
        <f t="shared" si="99"/>
        <v>0</v>
      </c>
      <c r="N389" s="92"/>
    </row>
    <row r="390" spans="1:14" s="87" customFormat="1">
      <c r="A390" s="23"/>
      <c r="B390" s="23" t="s">
        <v>27</v>
      </c>
      <c r="C390" s="278">
        <v>0</v>
      </c>
      <c r="D390" s="281">
        <v>0</v>
      </c>
      <c r="E390" s="279">
        <f t="shared" si="92"/>
        <v>0</v>
      </c>
      <c r="F390" s="280">
        <f t="shared" si="98"/>
        <v>0</v>
      </c>
      <c r="G390" s="71">
        <f t="shared" si="93"/>
        <v>0</v>
      </c>
      <c r="H390" s="71">
        <f>ROUND(F390*'Actual Load'!$B$12/'Zonal Load'!$N$12,2)</f>
        <v>0</v>
      </c>
      <c r="I390" s="71">
        <f t="shared" si="94"/>
        <v>0</v>
      </c>
      <c r="J390" s="71">
        <f t="shared" si="95"/>
        <v>0</v>
      </c>
      <c r="K390" s="71">
        <f t="shared" si="96"/>
        <v>0</v>
      </c>
      <c r="L390" s="204">
        <f>ROUND(E390*'Interest Over Collect '!$J$12,2)</f>
        <v>0</v>
      </c>
      <c r="M390" s="71">
        <f t="shared" si="99"/>
        <v>0</v>
      </c>
      <c r="N390" s="92"/>
    </row>
    <row r="391" spans="1:14" s="87" customFormat="1">
      <c r="A391" s="23"/>
      <c r="B391" s="23" t="s">
        <v>28</v>
      </c>
      <c r="C391" s="278">
        <v>0</v>
      </c>
      <c r="D391" s="281">
        <v>0</v>
      </c>
      <c r="E391" s="279">
        <f t="shared" si="92"/>
        <v>0</v>
      </c>
      <c r="F391" s="280">
        <f t="shared" si="98"/>
        <v>0</v>
      </c>
      <c r="G391" s="71">
        <f t="shared" si="93"/>
        <v>0</v>
      </c>
      <c r="H391" s="71">
        <f>ROUND(F391*'Actual Load'!$B$24/'Zonal Load'!$N$24,2)</f>
        <v>0</v>
      </c>
      <c r="I391" s="71">
        <f t="shared" si="94"/>
        <v>0</v>
      </c>
      <c r="J391" s="71">
        <f t="shared" si="95"/>
        <v>0</v>
      </c>
      <c r="K391" s="71">
        <f t="shared" si="96"/>
        <v>0</v>
      </c>
      <c r="L391" s="204">
        <f>ROUND(E391*'Interest Over Collect '!$J$12,2)</f>
        <v>0</v>
      </c>
      <c r="M391" s="71">
        <f t="shared" si="99"/>
        <v>0</v>
      </c>
      <c r="N391" s="92"/>
    </row>
    <row r="392" spans="1:14">
      <c r="A392" s="23"/>
      <c r="B392" s="23" t="s">
        <v>29</v>
      </c>
      <c r="C392" s="19">
        <v>0</v>
      </c>
      <c r="D392" s="20">
        <v>0</v>
      </c>
      <c r="E392" s="108">
        <f t="shared" si="92"/>
        <v>0</v>
      </c>
      <c r="F392" s="105">
        <f t="shared" si="98"/>
        <v>0</v>
      </c>
      <c r="G392" s="71">
        <f t="shared" si="93"/>
        <v>0</v>
      </c>
      <c r="H392" s="89">
        <f>ROUND(F392*'Actual Load'!$B$5/'Zonal Load'!$N$5,2)</f>
        <v>0</v>
      </c>
      <c r="I392" s="21">
        <f t="shared" si="94"/>
        <v>0</v>
      </c>
      <c r="J392" s="71">
        <f t="shared" si="95"/>
        <v>0</v>
      </c>
      <c r="K392" s="71">
        <f t="shared" si="96"/>
        <v>0</v>
      </c>
      <c r="L392" s="204">
        <f>ROUND(E392*'Interest Over Collect '!$J$12,2)</f>
        <v>0</v>
      </c>
      <c r="M392" s="89">
        <f t="shared" si="99"/>
        <v>0</v>
      </c>
    </row>
    <row r="393" spans="1:14">
      <c r="A393" s="23"/>
      <c r="B393" s="23" t="s">
        <v>30</v>
      </c>
      <c r="C393" s="19">
        <v>0</v>
      </c>
      <c r="D393" s="20">
        <v>0</v>
      </c>
      <c r="E393" s="108">
        <v>1</v>
      </c>
      <c r="F393" s="105">
        <f t="shared" si="98"/>
        <v>19936.39</v>
      </c>
      <c r="G393" s="71">
        <f t="shared" si="93"/>
        <v>734.34337616933772</v>
      </c>
      <c r="H393" s="89">
        <f>ROUND(F393*'Actual Load'!$B$21/'Zonal Load'!$N$21,2)</f>
        <v>20327.28</v>
      </c>
      <c r="I393" s="21">
        <f t="shared" si="94"/>
        <v>20838.75</v>
      </c>
      <c r="J393" s="71">
        <f t="shared" si="95"/>
        <v>902.36000000000058</v>
      </c>
      <c r="K393" s="71">
        <f t="shared" si="96"/>
        <v>1636.7033761693383</v>
      </c>
      <c r="L393" s="204">
        <f>ROUND(E393*'Interest Over Collect '!$J$12,2)</f>
        <v>273.32</v>
      </c>
      <c r="M393" s="89">
        <f t="shared" si="99"/>
        <v>1910.0233761693382</v>
      </c>
    </row>
    <row r="394" spans="1:14">
      <c r="A394" s="23"/>
      <c r="B394" s="23" t="s">
        <v>31</v>
      </c>
      <c r="C394" s="19">
        <v>0</v>
      </c>
      <c r="D394" s="20">
        <v>0</v>
      </c>
      <c r="E394" s="108">
        <f t="shared" si="92"/>
        <v>0</v>
      </c>
      <c r="F394" s="105">
        <f t="shared" si="98"/>
        <v>0</v>
      </c>
      <c r="G394" s="71">
        <f t="shared" si="93"/>
        <v>0</v>
      </c>
      <c r="H394" s="89">
        <f>ROUND(F394*'Actual Load'!$B$19/'Zonal Load'!$N$19,2)</f>
        <v>0</v>
      </c>
      <c r="I394" s="21">
        <f t="shared" si="94"/>
        <v>0</v>
      </c>
      <c r="J394" s="71">
        <f t="shared" si="95"/>
        <v>0</v>
      </c>
      <c r="K394" s="71">
        <f t="shared" si="96"/>
        <v>0</v>
      </c>
      <c r="L394" s="204">
        <f>ROUND(E394*'Interest Over Collect '!$J$12,2)</f>
        <v>0</v>
      </c>
      <c r="M394" s="89">
        <f t="shared" si="99"/>
        <v>0</v>
      </c>
    </row>
    <row r="395" spans="1:14">
      <c r="A395" s="23"/>
      <c r="B395" s="23" t="s">
        <v>32</v>
      </c>
      <c r="C395" s="19">
        <v>0</v>
      </c>
      <c r="D395" s="20">
        <v>0</v>
      </c>
      <c r="E395" s="108">
        <f t="shared" si="92"/>
        <v>0</v>
      </c>
      <c r="F395" s="105">
        <f t="shared" si="98"/>
        <v>0</v>
      </c>
      <c r="G395" s="71">
        <f t="shared" si="93"/>
        <v>0</v>
      </c>
      <c r="H395" s="89">
        <f>ROUND(F395*'Actual Load'!$B$25/'Zonal Load'!$N$25,2)</f>
        <v>0</v>
      </c>
      <c r="I395" s="21">
        <f t="shared" si="94"/>
        <v>0</v>
      </c>
      <c r="J395" s="71">
        <f t="shared" si="95"/>
        <v>0</v>
      </c>
      <c r="K395" s="71">
        <f t="shared" si="96"/>
        <v>0</v>
      </c>
      <c r="L395" s="204">
        <f>ROUND(E395*'Interest Over Collect '!$J$12,2)</f>
        <v>0</v>
      </c>
      <c r="M395" s="89">
        <f t="shared" si="99"/>
        <v>0</v>
      </c>
    </row>
    <row r="396" spans="1:14">
      <c r="A396" s="23"/>
      <c r="B396" s="23" t="s">
        <v>33</v>
      </c>
      <c r="C396" s="19">
        <v>0</v>
      </c>
      <c r="D396" s="20">
        <v>0</v>
      </c>
      <c r="E396" s="108">
        <f t="shared" si="92"/>
        <v>0</v>
      </c>
      <c r="F396" s="105">
        <f t="shared" si="98"/>
        <v>0</v>
      </c>
      <c r="G396" s="71">
        <f t="shared" si="93"/>
        <v>0</v>
      </c>
      <c r="H396" s="89">
        <f>ROUND(F396*'Actual Load'!$B$13/'Zonal Load'!$N$13,2)</f>
        <v>0</v>
      </c>
      <c r="I396" s="21">
        <f t="shared" si="94"/>
        <v>0</v>
      </c>
      <c r="J396" s="71">
        <f t="shared" si="95"/>
        <v>0</v>
      </c>
      <c r="K396" s="71">
        <f t="shared" si="96"/>
        <v>0</v>
      </c>
      <c r="L396" s="204">
        <f>ROUND(E396*'Interest Over Collect '!$J$12,2)</f>
        <v>0</v>
      </c>
      <c r="M396" s="89">
        <f>+K396+L396</f>
        <v>0</v>
      </c>
    </row>
    <row r="397" spans="1:14">
      <c r="A397" s="23"/>
      <c r="B397" s="23" t="s">
        <v>34</v>
      </c>
      <c r="C397" s="19">
        <v>0</v>
      </c>
      <c r="D397" s="20">
        <v>0</v>
      </c>
      <c r="E397" s="108">
        <f t="shared" si="92"/>
        <v>0</v>
      </c>
      <c r="F397" s="105">
        <f t="shared" si="98"/>
        <v>0</v>
      </c>
      <c r="G397" s="71">
        <f t="shared" si="93"/>
        <v>0</v>
      </c>
      <c r="H397" s="89">
        <f>ROUND(F397*'Actual Load'!$B$23/'Zonal Load'!$N$23,2)</f>
        <v>0</v>
      </c>
      <c r="I397" s="21">
        <f t="shared" si="94"/>
        <v>0</v>
      </c>
      <c r="J397" s="71">
        <f t="shared" si="95"/>
        <v>0</v>
      </c>
      <c r="K397" s="71">
        <f t="shared" si="96"/>
        <v>0</v>
      </c>
      <c r="L397" s="204">
        <f>ROUND(E397*'Interest Over Collect '!$J$12,2)</f>
        <v>0</v>
      </c>
      <c r="M397" s="89">
        <f>+K397+L397</f>
        <v>0</v>
      </c>
    </row>
    <row r="398" spans="1:14">
      <c r="B398" s="24" t="s">
        <v>35</v>
      </c>
      <c r="C398" s="19">
        <v>0</v>
      </c>
      <c r="D398" s="20">
        <v>0</v>
      </c>
      <c r="E398" s="108">
        <f t="shared" si="92"/>
        <v>0</v>
      </c>
      <c r="F398" s="105">
        <f t="shared" si="98"/>
        <v>0</v>
      </c>
      <c r="G398" s="71">
        <f t="shared" si="93"/>
        <v>0</v>
      </c>
      <c r="H398" s="89">
        <f>ROUND(F398*'Actual Load'!$B$20/'Zonal Load'!$N$20,2)</f>
        <v>0</v>
      </c>
      <c r="I398" s="21">
        <f t="shared" si="94"/>
        <v>0</v>
      </c>
      <c r="J398" s="71">
        <f t="shared" si="95"/>
        <v>0</v>
      </c>
      <c r="K398" s="71">
        <f t="shared" si="96"/>
        <v>0</v>
      </c>
      <c r="L398" s="204">
        <f>ROUND(E398*'Interest Over Collect '!$J$12,2)</f>
        <v>0</v>
      </c>
      <c r="M398" s="89">
        <f>+K398+L398</f>
        <v>0</v>
      </c>
    </row>
    <row r="399" spans="1:14">
      <c r="B399" s="25"/>
      <c r="C399" s="26">
        <f>SUM(C375:C398)</f>
        <v>0</v>
      </c>
      <c r="D399" s="27">
        <f>SUM(D375:D398)</f>
        <v>0</v>
      </c>
      <c r="E399" s="107">
        <f>SUM(E375:E398)</f>
        <v>1</v>
      </c>
      <c r="F399" s="101">
        <f>SUM(F375:F398)</f>
        <v>19936.39</v>
      </c>
      <c r="G399" s="84">
        <f t="shared" ref="G399:M399" si="100">SUM(G377:G398)</f>
        <v>734.34337616933772</v>
      </c>
      <c r="H399" s="146">
        <f t="shared" si="100"/>
        <v>20327.28</v>
      </c>
      <c r="I399" s="85">
        <f t="shared" si="100"/>
        <v>20838.75</v>
      </c>
      <c r="J399" s="85">
        <f t="shared" si="100"/>
        <v>902.36000000000058</v>
      </c>
      <c r="K399" s="163">
        <f t="shared" si="100"/>
        <v>1636.7033761693383</v>
      </c>
      <c r="L399" s="85">
        <f t="shared" si="100"/>
        <v>273.32</v>
      </c>
      <c r="M399" s="85">
        <f t="shared" si="100"/>
        <v>1910.0233761693382</v>
      </c>
    </row>
    <row r="400" spans="1:14">
      <c r="G400" s="21"/>
      <c r="I400" s="86"/>
    </row>
    <row r="401" spans="2:14">
      <c r="E401" s="102" t="str">
        <f>$E$73</f>
        <v>2013 Estimated Revenue Requirement</v>
      </c>
      <c r="F401" s="201">
        <v>19936.393247869284</v>
      </c>
      <c r="H401" s="89"/>
    </row>
    <row r="402" spans="2:14">
      <c r="E402" s="103" t="str">
        <f>$E$74</f>
        <v>2013 Rev Requirement Act</v>
      </c>
      <c r="F402" s="202">
        <v>19202.049871699946</v>
      </c>
      <c r="H402" s="89"/>
      <c r="I402" s="29"/>
      <c r="L402" s="90"/>
    </row>
    <row r="403" spans="2:14">
      <c r="E403" s="103" t="str">
        <f>$E$75</f>
        <v>Actual Revenue Booked</v>
      </c>
      <c r="F403" s="210">
        <f>I399</f>
        <v>20838.75</v>
      </c>
      <c r="H403" s="89"/>
    </row>
    <row r="404" spans="2:14">
      <c r="L404" s="87"/>
    </row>
    <row r="405" spans="2:14">
      <c r="B405" s="88"/>
      <c r="C405" s="88"/>
      <c r="D405" s="88"/>
      <c r="E405" s="88"/>
      <c r="F405" s="88"/>
      <c r="G405" s="88"/>
      <c r="H405" s="88"/>
      <c r="I405" s="88"/>
      <c r="J405" s="119"/>
      <c r="K405" s="88"/>
      <c r="L405" s="88"/>
      <c r="M405" s="88"/>
    </row>
    <row r="406" spans="2:14">
      <c r="L406" s="87"/>
    </row>
    <row r="407" spans="2:14">
      <c r="B407" s="543" t="s">
        <v>0</v>
      </c>
      <c r="C407" s="521"/>
      <c r="D407" s="537" t="s">
        <v>182</v>
      </c>
      <c r="E407" s="538"/>
      <c r="F407" s="538"/>
      <c r="G407" s="538"/>
      <c r="H407" s="539"/>
      <c r="I407" s="158"/>
      <c r="J407" s="1"/>
    </row>
    <row r="408" spans="2:14">
      <c r="B408" s="535" t="s">
        <v>2</v>
      </c>
      <c r="C408" s="524"/>
      <c r="D408" s="540" t="s">
        <v>183</v>
      </c>
      <c r="E408" s="541"/>
      <c r="F408" s="541"/>
      <c r="G408" s="541"/>
      <c r="H408" s="542"/>
      <c r="I408" s="159"/>
      <c r="J408" s="1"/>
    </row>
    <row r="409" spans="2:14">
      <c r="B409" s="535" t="s">
        <v>4</v>
      </c>
      <c r="C409" s="524"/>
      <c r="D409" s="544">
        <v>115</v>
      </c>
      <c r="E409" s="545"/>
      <c r="F409" s="545"/>
      <c r="G409" s="545"/>
      <c r="H409" s="546"/>
      <c r="I409" s="160"/>
      <c r="J409" s="1"/>
    </row>
    <row r="410" spans="2:14">
      <c r="B410" s="553" t="s">
        <v>6</v>
      </c>
      <c r="C410" s="554"/>
      <c r="D410" s="564" t="s">
        <v>7</v>
      </c>
      <c r="E410" s="565"/>
      <c r="F410" s="565"/>
      <c r="G410" s="565"/>
      <c r="H410" s="566"/>
      <c r="I410" s="161"/>
      <c r="J410" s="1"/>
    </row>
    <row r="411" spans="2:14">
      <c r="B411" s="82"/>
      <c r="C411" s="82"/>
      <c r="D411" s="82"/>
      <c r="E411" s="82"/>
      <c r="F411" s="82"/>
      <c r="J411" s="113" t="s">
        <v>163</v>
      </c>
      <c r="K411" s="3" t="s">
        <v>42</v>
      </c>
      <c r="M411" s="3" t="s">
        <v>56</v>
      </c>
    </row>
    <row r="412" spans="2:14">
      <c r="B412" s="82"/>
      <c r="C412" s="82"/>
      <c r="D412" s="82"/>
      <c r="E412" s="82"/>
      <c r="F412" s="82"/>
      <c r="G412" s="3" t="s">
        <v>39</v>
      </c>
      <c r="H412" s="142" t="s">
        <v>40</v>
      </c>
      <c r="I412" s="104" t="s">
        <v>41</v>
      </c>
      <c r="J412" s="114" t="s">
        <v>164</v>
      </c>
      <c r="K412" s="4" t="s">
        <v>165</v>
      </c>
      <c r="L412" s="4" t="s">
        <v>55</v>
      </c>
      <c r="M412" s="4" t="s">
        <v>166</v>
      </c>
      <c r="N412" s="233"/>
    </row>
    <row r="413" spans="2:14">
      <c r="B413" s="82"/>
      <c r="C413" s="82"/>
      <c r="D413" s="82"/>
      <c r="E413" s="82"/>
      <c r="F413" s="82"/>
      <c r="G413" s="5"/>
      <c r="H413" s="527" t="s">
        <v>43</v>
      </c>
      <c r="I413" s="528"/>
      <c r="J413" s="529"/>
      <c r="K413" s="6" t="s">
        <v>44</v>
      </c>
      <c r="L413" s="5"/>
      <c r="M413" s="6" t="s">
        <v>45</v>
      </c>
      <c r="N413" s="233"/>
    </row>
    <row r="414" spans="2:14">
      <c r="B414" s="83"/>
      <c r="C414" s="7">
        <v>0.2</v>
      </c>
      <c r="D414" s="7">
        <v>0.8</v>
      </c>
      <c r="E414" s="7"/>
      <c r="F414" s="98" t="s">
        <v>162</v>
      </c>
      <c r="G414" s="8" t="s">
        <v>46</v>
      </c>
      <c r="H414" s="143"/>
      <c r="I414" s="5"/>
      <c r="J414" s="115" t="s">
        <v>47</v>
      </c>
      <c r="K414" s="8" t="s">
        <v>48</v>
      </c>
      <c r="L414" s="9"/>
      <c r="M414" s="8" t="s">
        <v>49</v>
      </c>
    </row>
    <row r="415" spans="2:14">
      <c r="B415" s="10"/>
      <c r="C415" s="75" t="s">
        <v>9</v>
      </c>
      <c r="D415" s="75" t="s">
        <v>10</v>
      </c>
      <c r="E415" s="75" t="s">
        <v>11</v>
      </c>
      <c r="F415" s="99" t="s">
        <v>8</v>
      </c>
      <c r="G415" s="11" t="s">
        <v>50</v>
      </c>
      <c r="H415" s="144" t="s">
        <v>51</v>
      </c>
      <c r="I415" s="12" t="s">
        <v>159</v>
      </c>
      <c r="J415" s="116" t="s">
        <v>50</v>
      </c>
      <c r="K415" s="12" t="s">
        <v>50</v>
      </c>
      <c r="L415" s="12" t="s">
        <v>52</v>
      </c>
      <c r="M415" s="12" t="s">
        <v>53</v>
      </c>
    </row>
    <row r="416" spans="2:14" ht="31.5">
      <c r="B416" s="13" t="s">
        <v>13</v>
      </c>
      <c r="C416" s="14" t="s">
        <v>14</v>
      </c>
      <c r="D416" s="14" t="s">
        <v>14</v>
      </c>
      <c r="E416" s="15" t="s">
        <v>14</v>
      </c>
      <c r="F416" s="100" t="s">
        <v>15</v>
      </c>
      <c r="G416" s="16" t="s">
        <v>54</v>
      </c>
      <c r="H416" s="145"/>
      <c r="I416" s="17"/>
      <c r="J416" s="117" t="s">
        <v>54</v>
      </c>
      <c r="K416" s="17"/>
      <c r="L416" s="17"/>
      <c r="M416" s="16" t="s">
        <v>54</v>
      </c>
    </row>
    <row r="417" spans="1:14" s="87" customFormat="1">
      <c r="B417" s="18" t="s">
        <v>16</v>
      </c>
      <c r="C417" s="278">
        <v>0</v>
      </c>
      <c r="D417" s="281">
        <v>0</v>
      </c>
      <c r="E417" s="279">
        <f t="shared" ref="E417:E434" si="101">C417+D417</f>
        <v>0</v>
      </c>
      <c r="F417" s="282">
        <f t="shared" ref="F417:F440" si="102">ROUND(+E417*F$443,2)</f>
        <v>0</v>
      </c>
      <c r="G417" s="71">
        <f t="shared" ref="G417:G440" si="103">(F$401-F$402)*E417</f>
        <v>0</v>
      </c>
      <c r="H417" s="71">
        <f>ROUND(F417*'Actual Load'!$B$8/'Zonal Load'!$N$8,2)</f>
        <v>0</v>
      </c>
      <c r="I417" s="71">
        <f t="shared" ref="I417:I440" si="104">ROUND((H417*$H$708)/$H$706,2)</f>
        <v>0</v>
      </c>
      <c r="J417" s="71">
        <f t="shared" ref="J417:J440" si="105">I417-F417</f>
        <v>0</v>
      </c>
      <c r="K417" s="71">
        <f t="shared" ref="K417:K440" si="106">+G417+J417</f>
        <v>0</v>
      </c>
      <c r="L417" s="204">
        <f>ROUND(E417*'Interest Over Collect '!$J$13,2)</f>
        <v>0</v>
      </c>
      <c r="M417" s="71">
        <f t="shared" ref="M417:M424" si="107">+K417+L417</f>
        <v>0</v>
      </c>
      <c r="N417" s="92"/>
    </row>
    <row r="418" spans="1:14" s="87" customFormat="1">
      <c r="B418" s="23" t="s">
        <v>17</v>
      </c>
      <c r="C418" s="278">
        <v>0</v>
      </c>
      <c r="D418" s="281">
        <v>0</v>
      </c>
      <c r="E418" s="279">
        <f t="shared" si="101"/>
        <v>0</v>
      </c>
      <c r="F418" s="280">
        <f t="shared" si="102"/>
        <v>0</v>
      </c>
      <c r="G418" s="71">
        <f t="shared" si="103"/>
        <v>0</v>
      </c>
      <c r="H418" s="71">
        <f>ROUND(F418*'Actual Load'!$B$14/'Zonal Load'!$N$14,2)</f>
        <v>0</v>
      </c>
      <c r="I418" s="71">
        <f t="shared" si="104"/>
        <v>0</v>
      </c>
      <c r="J418" s="71">
        <f t="shared" si="105"/>
        <v>0</v>
      </c>
      <c r="K418" s="71">
        <f t="shared" si="106"/>
        <v>0</v>
      </c>
      <c r="L418" s="204">
        <f>ROUND(E418*'Interest Over Collect '!$J$13,2)</f>
        <v>0</v>
      </c>
      <c r="M418" s="71">
        <f t="shared" si="107"/>
        <v>0</v>
      </c>
      <c r="N418" s="92"/>
    </row>
    <row r="419" spans="1:14" s="87" customFormat="1">
      <c r="B419" s="23" t="s">
        <v>201</v>
      </c>
      <c r="C419" s="278">
        <f>0%*0.421</f>
        <v>0</v>
      </c>
      <c r="D419" s="281">
        <f>0%*0.421</f>
        <v>0</v>
      </c>
      <c r="E419" s="279">
        <f t="shared" si="101"/>
        <v>0</v>
      </c>
      <c r="F419" s="280">
        <f t="shared" si="102"/>
        <v>0</v>
      </c>
      <c r="G419" s="71">
        <f t="shared" si="103"/>
        <v>0</v>
      </c>
      <c r="H419" s="71">
        <f>ROUND(F419*'Actual Load'!$B$9/'Zonal Load'!$N$9,2)</f>
        <v>0</v>
      </c>
      <c r="I419" s="71">
        <f t="shared" si="104"/>
        <v>0</v>
      </c>
      <c r="J419" s="71">
        <f t="shared" si="105"/>
        <v>0</v>
      </c>
      <c r="K419" s="71">
        <f t="shared" si="106"/>
        <v>0</v>
      </c>
      <c r="L419" s="204">
        <f>ROUND(E419*'Interest Over Collect '!$J$13,2)</f>
        <v>0</v>
      </c>
      <c r="M419" s="71">
        <f t="shared" si="107"/>
        <v>0</v>
      </c>
      <c r="N419" s="92"/>
    </row>
    <row r="420" spans="1:14" s="87" customFormat="1">
      <c r="B420" s="140" t="s">
        <v>260</v>
      </c>
      <c r="C420" s="278">
        <f>0%*0.579</f>
        <v>0</v>
      </c>
      <c r="D420" s="281">
        <f>0%*0.579</f>
        <v>0</v>
      </c>
      <c r="E420" s="279">
        <f>C420+D420</f>
        <v>0</v>
      </c>
      <c r="F420" s="280">
        <f t="shared" si="102"/>
        <v>0</v>
      </c>
      <c r="G420" s="71">
        <f>(F$401-F$402)*E420</f>
        <v>0</v>
      </c>
      <c r="H420" s="71">
        <f>ROUND(F420*'Actual Load'!$B$10/'Zonal Load'!$N$10,2)</f>
        <v>0</v>
      </c>
      <c r="I420" s="71">
        <f t="shared" si="104"/>
        <v>0</v>
      </c>
      <c r="J420" s="71">
        <f>I420-F420</f>
        <v>0</v>
      </c>
      <c r="K420" s="71">
        <f>+G420+J420</f>
        <v>0</v>
      </c>
      <c r="L420" s="204">
        <f>ROUND(E420*'Interest Over Collect '!$J$13,2)</f>
        <v>0</v>
      </c>
      <c r="M420" s="71">
        <f>+K420+L420</f>
        <v>0</v>
      </c>
      <c r="N420" s="92"/>
    </row>
    <row r="421" spans="1:14" s="87" customFormat="1">
      <c r="B421" s="23" t="s">
        <v>18</v>
      </c>
      <c r="C421" s="278">
        <v>0</v>
      </c>
      <c r="D421" s="281">
        <v>0</v>
      </c>
      <c r="E421" s="279">
        <f t="shared" si="101"/>
        <v>0</v>
      </c>
      <c r="F421" s="280">
        <f t="shared" si="102"/>
        <v>0</v>
      </c>
      <c r="G421" s="71">
        <f t="shared" si="103"/>
        <v>0</v>
      </c>
      <c r="H421" s="71">
        <f>ROUND(F421*'Actual Load'!$B$26/'Zonal Load'!$N$26,2)</f>
        <v>0</v>
      </c>
      <c r="I421" s="71">
        <f t="shared" si="104"/>
        <v>0</v>
      </c>
      <c r="J421" s="71">
        <f t="shared" si="105"/>
        <v>0</v>
      </c>
      <c r="K421" s="71">
        <f t="shared" si="106"/>
        <v>0</v>
      </c>
      <c r="L421" s="204">
        <f>ROUND(E421*'Interest Over Collect '!$J$13,2)</f>
        <v>0</v>
      </c>
      <c r="M421" s="71">
        <f t="shared" si="107"/>
        <v>0</v>
      </c>
      <c r="N421" s="92"/>
    </row>
    <row r="422" spans="1:14" s="87" customFormat="1">
      <c r="B422" s="23" t="s">
        <v>19</v>
      </c>
      <c r="C422" s="278">
        <v>0</v>
      </c>
      <c r="D422" s="281">
        <v>0</v>
      </c>
      <c r="E422" s="279">
        <f t="shared" si="101"/>
        <v>0</v>
      </c>
      <c r="F422" s="280">
        <f t="shared" si="102"/>
        <v>0</v>
      </c>
      <c r="G422" s="71">
        <f t="shared" si="103"/>
        <v>0</v>
      </c>
      <c r="H422" s="71">
        <f>ROUND(F422*'Actual Load'!$B$16/'Zonal Load'!$N$16,2)</f>
        <v>0</v>
      </c>
      <c r="I422" s="71">
        <f t="shared" si="104"/>
        <v>0</v>
      </c>
      <c r="J422" s="71">
        <f t="shared" si="105"/>
        <v>0</v>
      </c>
      <c r="K422" s="71">
        <f t="shared" si="106"/>
        <v>0</v>
      </c>
      <c r="L422" s="204">
        <f>ROUND(E422*'Interest Over Collect '!$J$13,2)</f>
        <v>0</v>
      </c>
      <c r="M422" s="71">
        <f t="shared" si="107"/>
        <v>0</v>
      </c>
      <c r="N422" s="92"/>
    </row>
    <row r="423" spans="1:14" s="87" customFormat="1">
      <c r="B423" s="23" t="s">
        <v>20</v>
      </c>
      <c r="C423" s="278">
        <v>0</v>
      </c>
      <c r="D423" s="281">
        <v>0</v>
      </c>
      <c r="E423" s="279">
        <f t="shared" si="101"/>
        <v>0</v>
      </c>
      <c r="F423" s="280">
        <f t="shared" si="102"/>
        <v>0</v>
      </c>
      <c r="G423" s="71">
        <f t="shared" si="103"/>
        <v>0</v>
      </c>
      <c r="H423" s="71">
        <f>ROUND(F423*'Actual Load'!$B$22/'Zonal Load'!$N$22,2)</f>
        <v>0</v>
      </c>
      <c r="I423" s="71">
        <f t="shared" si="104"/>
        <v>0</v>
      </c>
      <c r="J423" s="71">
        <f t="shared" si="105"/>
        <v>0</v>
      </c>
      <c r="K423" s="71">
        <f t="shared" si="106"/>
        <v>0</v>
      </c>
      <c r="L423" s="204">
        <f>ROUND(E423*'Interest Over Collect '!$J$13,2)</f>
        <v>0</v>
      </c>
      <c r="M423" s="71">
        <f t="shared" si="107"/>
        <v>0</v>
      </c>
      <c r="N423" s="92"/>
    </row>
    <row r="424" spans="1:14" s="87" customFormat="1">
      <c r="B424" s="23" t="s">
        <v>21</v>
      </c>
      <c r="C424" s="278">
        <v>0</v>
      </c>
      <c r="D424" s="281">
        <v>0</v>
      </c>
      <c r="E424" s="279">
        <f t="shared" si="101"/>
        <v>0</v>
      </c>
      <c r="F424" s="280">
        <f t="shared" si="102"/>
        <v>0</v>
      </c>
      <c r="G424" s="71">
        <f t="shared" si="103"/>
        <v>0</v>
      </c>
      <c r="H424" s="71">
        <f>ROUND(F424*'Actual Load'!$B$17/'Zonal Load'!$N$17,2)</f>
        <v>0</v>
      </c>
      <c r="I424" s="71">
        <f t="shared" si="104"/>
        <v>0</v>
      </c>
      <c r="J424" s="71">
        <f t="shared" si="105"/>
        <v>0</v>
      </c>
      <c r="K424" s="71">
        <f t="shared" si="106"/>
        <v>0</v>
      </c>
      <c r="L424" s="204">
        <f>ROUND(E424*'Interest Over Collect '!$J$13,2)</f>
        <v>0</v>
      </c>
      <c r="M424" s="71">
        <f t="shared" si="107"/>
        <v>0</v>
      </c>
      <c r="N424" s="92"/>
    </row>
    <row r="425" spans="1:14" s="87" customFormat="1">
      <c r="B425" s="23" t="s">
        <v>22</v>
      </c>
      <c r="C425" s="278">
        <v>0</v>
      </c>
      <c r="D425" s="281">
        <v>0</v>
      </c>
      <c r="E425" s="279">
        <f t="shared" si="101"/>
        <v>0</v>
      </c>
      <c r="F425" s="280">
        <f t="shared" si="102"/>
        <v>0</v>
      </c>
      <c r="G425" s="71">
        <f t="shared" si="103"/>
        <v>0</v>
      </c>
      <c r="H425" s="71">
        <f>ROUND(F425*'Actual Load'!$B$15/'Zonal Load'!$N$15,2)</f>
        <v>0</v>
      </c>
      <c r="I425" s="71">
        <f t="shared" si="104"/>
        <v>0</v>
      </c>
      <c r="J425" s="71">
        <f t="shared" si="105"/>
        <v>0</v>
      </c>
      <c r="K425" s="71">
        <f t="shared" si="106"/>
        <v>0</v>
      </c>
      <c r="L425" s="204">
        <f>ROUND(E425*'Interest Over Collect '!$J$13,2)</f>
        <v>0</v>
      </c>
      <c r="M425" s="71">
        <f>+K425+L425</f>
        <v>0</v>
      </c>
      <c r="N425" s="92"/>
    </row>
    <row r="426" spans="1:14" s="87" customFormat="1">
      <c r="B426" s="23" t="s">
        <v>23</v>
      </c>
      <c r="C426" s="278">
        <v>0</v>
      </c>
      <c r="D426" s="281">
        <v>0</v>
      </c>
      <c r="E426" s="279">
        <f t="shared" si="101"/>
        <v>0</v>
      </c>
      <c r="F426" s="280">
        <f t="shared" si="102"/>
        <v>0</v>
      </c>
      <c r="G426" s="71">
        <f t="shared" si="103"/>
        <v>0</v>
      </c>
      <c r="H426" s="71">
        <f>ROUND(F426*'Actual Load'!$B$4/'Zonal Load'!$N$4,2)</f>
        <v>0</v>
      </c>
      <c r="I426" s="71">
        <f t="shared" si="104"/>
        <v>0</v>
      </c>
      <c r="J426" s="71">
        <f t="shared" si="105"/>
        <v>0</v>
      </c>
      <c r="K426" s="71">
        <f t="shared" si="106"/>
        <v>0</v>
      </c>
      <c r="L426" s="204">
        <f>ROUND(E426*'Interest Over Collect '!$J$13,2)</f>
        <v>0</v>
      </c>
      <c r="M426" s="71">
        <f t="shared" ref="M426:M437" si="108">+K426+L426</f>
        <v>0</v>
      </c>
      <c r="N426" s="92"/>
    </row>
    <row r="427" spans="1:14" s="87" customFormat="1">
      <c r="B427" s="23" t="s">
        <v>24</v>
      </c>
      <c r="C427" s="278">
        <v>0</v>
      </c>
      <c r="D427" s="281">
        <v>0</v>
      </c>
      <c r="E427" s="279">
        <f t="shared" si="101"/>
        <v>0</v>
      </c>
      <c r="F427" s="280">
        <f t="shared" si="102"/>
        <v>0</v>
      </c>
      <c r="G427" s="71">
        <f t="shared" si="103"/>
        <v>0</v>
      </c>
      <c r="H427" s="71">
        <f>ROUND(F427*'Actual Load'!$B$11/'Zonal Load'!$N$11,2)</f>
        <v>0</v>
      </c>
      <c r="I427" s="71">
        <f t="shared" si="104"/>
        <v>0</v>
      </c>
      <c r="J427" s="71">
        <f t="shared" si="105"/>
        <v>0</v>
      </c>
      <c r="K427" s="71">
        <f t="shared" si="106"/>
        <v>0</v>
      </c>
      <c r="L427" s="204">
        <f>ROUND(E427*'Interest Over Collect '!$J$13,2)</f>
        <v>0</v>
      </c>
      <c r="M427" s="71">
        <f t="shared" si="108"/>
        <v>0</v>
      </c>
      <c r="N427" s="92"/>
    </row>
    <row r="428" spans="1:14" s="87" customFormat="1">
      <c r="B428" s="23" t="s">
        <v>26</v>
      </c>
      <c r="C428" s="278">
        <v>0</v>
      </c>
      <c r="D428" s="281">
        <v>0</v>
      </c>
      <c r="E428" s="279">
        <f t="shared" si="101"/>
        <v>0</v>
      </c>
      <c r="F428" s="280">
        <f t="shared" si="102"/>
        <v>0</v>
      </c>
      <c r="G428" s="71">
        <f t="shared" si="103"/>
        <v>0</v>
      </c>
      <c r="H428" s="71">
        <f>ROUND(F428*'Actual Load'!$B$7/'Zonal Load'!$N$7,2)</f>
        <v>0</v>
      </c>
      <c r="I428" s="71">
        <f t="shared" si="104"/>
        <v>0</v>
      </c>
      <c r="J428" s="71">
        <f t="shared" si="105"/>
        <v>0</v>
      </c>
      <c r="K428" s="71">
        <f t="shared" si="106"/>
        <v>0</v>
      </c>
      <c r="L428" s="204">
        <f>ROUND(E428*'Interest Over Collect '!$J$13,2)</f>
        <v>0</v>
      </c>
      <c r="M428" s="71">
        <f t="shared" si="108"/>
        <v>0</v>
      </c>
      <c r="N428" s="92"/>
    </row>
    <row r="429" spans="1:14" s="87" customFormat="1">
      <c r="B429" s="23" t="s">
        <v>25</v>
      </c>
      <c r="C429" s="278">
        <v>0</v>
      </c>
      <c r="D429" s="281">
        <v>0</v>
      </c>
      <c r="E429" s="279">
        <f t="shared" si="101"/>
        <v>0</v>
      </c>
      <c r="F429" s="280">
        <f t="shared" si="102"/>
        <v>0</v>
      </c>
      <c r="G429" s="71">
        <f t="shared" si="103"/>
        <v>0</v>
      </c>
      <c r="H429" s="71">
        <f>ROUND(F429*'Actual Load'!$B$6/'Zonal Load'!$N$6,2)</f>
        <v>0</v>
      </c>
      <c r="I429" s="71">
        <f t="shared" si="104"/>
        <v>0</v>
      </c>
      <c r="J429" s="71">
        <f t="shared" si="105"/>
        <v>0</v>
      </c>
      <c r="K429" s="71">
        <f t="shared" si="106"/>
        <v>0</v>
      </c>
      <c r="L429" s="204">
        <f>ROUND(E429*'Interest Over Collect '!$J$13,2)</f>
        <v>0</v>
      </c>
      <c r="M429" s="71">
        <f t="shared" si="108"/>
        <v>0</v>
      </c>
      <c r="N429" s="92"/>
    </row>
    <row r="430" spans="1:14" s="87" customFormat="1">
      <c r="B430" s="23" t="s">
        <v>119</v>
      </c>
      <c r="C430" s="278">
        <v>0</v>
      </c>
      <c r="D430" s="281">
        <v>0</v>
      </c>
      <c r="E430" s="279">
        <f t="shared" si="101"/>
        <v>0</v>
      </c>
      <c r="F430" s="280">
        <f t="shared" si="102"/>
        <v>0</v>
      </c>
      <c r="G430" s="71">
        <f t="shared" si="103"/>
        <v>0</v>
      </c>
      <c r="H430" s="71">
        <f>ROUND(F430*'Actual Load'!$B$18/'Zonal Load'!$N$18,2)</f>
        <v>0</v>
      </c>
      <c r="I430" s="71">
        <f t="shared" si="104"/>
        <v>0</v>
      </c>
      <c r="J430" s="71">
        <f t="shared" si="105"/>
        <v>0</v>
      </c>
      <c r="K430" s="71">
        <f t="shared" si="106"/>
        <v>0</v>
      </c>
      <c r="L430" s="204">
        <f>ROUND(E430*'Interest Over Collect '!$J$13,2)</f>
        <v>0</v>
      </c>
      <c r="M430" s="71">
        <f t="shared" si="108"/>
        <v>0</v>
      </c>
      <c r="N430" s="92"/>
    </row>
    <row r="431" spans="1:14" s="87" customFormat="1">
      <c r="B431" s="23" t="s">
        <v>120</v>
      </c>
      <c r="C431" s="278">
        <v>0</v>
      </c>
      <c r="D431" s="281">
        <v>0</v>
      </c>
      <c r="E431" s="279">
        <f t="shared" si="101"/>
        <v>0</v>
      </c>
      <c r="F431" s="280">
        <f t="shared" si="102"/>
        <v>0</v>
      </c>
      <c r="G431" s="71">
        <f t="shared" si="103"/>
        <v>0</v>
      </c>
      <c r="H431" s="71">
        <f>ROUND(F431*'Actual Load'!$B$17/'Zonal Load'!$N$17,2)</f>
        <v>0</v>
      </c>
      <c r="I431" s="71">
        <f t="shared" si="104"/>
        <v>0</v>
      </c>
      <c r="J431" s="71">
        <f t="shared" si="105"/>
        <v>0</v>
      </c>
      <c r="K431" s="71">
        <f t="shared" si="106"/>
        <v>0</v>
      </c>
      <c r="L431" s="204">
        <f>ROUND(E431*'Interest Over Collect '!$J$13,2)</f>
        <v>0</v>
      </c>
      <c r="M431" s="71">
        <f t="shared" si="108"/>
        <v>0</v>
      </c>
      <c r="N431" s="92"/>
    </row>
    <row r="432" spans="1:14" s="87" customFormat="1">
      <c r="A432" s="23"/>
      <c r="B432" s="23" t="s">
        <v>27</v>
      </c>
      <c r="C432" s="278">
        <v>0</v>
      </c>
      <c r="D432" s="281">
        <v>0</v>
      </c>
      <c r="E432" s="279">
        <f t="shared" si="101"/>
        <v>0</v>
      </c>
      <c r="F432" s="280">
        <f t="shared" si="102"/>
        <v>0</v>
      </c>
      <c r="G432" s="71">
        <f t="shared" si="103"/>
        <v>0</v>
      </c>
      <c r="H432" s="71">
        <f>ROUND(F432*'Actual Load'!$B$12/'Zonal Load'!$N$12,2)</f>
        <v>0</v>
      </c>
      <c r="I432" s="71">
        <f t="shared" si="104"/>
        <v>0</v>
      </c>
      <c r="J432" s="71">
        <f t="shared" si="105"/>
        <v>0</v>
      </c>
      <c r="K432" s="71">
        <f t="shared" si="106"/>
        <v>0</v>
      </c>
      <c r="L432" s="204">
        <f>ROUND(E432*'Interest Over Collect '!$J$13,2)</f>
        <v>0</v>
      </c>
      <c r="M432" s="71">
        <f t="shared" si="108"/>
        <v>0</v>
      </c>
      <c r="N432" s="92"/>
    </row>
    <row r="433" spans="1:15" s="87" customFormat="1">
      <c r="A433" s="23"/>
      <c r="B433" s="23" t="s">
        <v>28</v>
      </c>
      <c r="C433" s="278">
        <v>0</v>
      </c>
      <c r="D433" s="281">
        <v>0</v>
      </c>
      <c r="E433" s="279">
        <f t="shared" si="101"/>
        <v>0</v>
      </c>
      <c r="F433" s="280">
        <f t="shared" si="102"/>
        <v>0</v>
      </c>
      <c r="G433" s="71">
        <f t="shared" si="103"/>
        <v>0</v>
      </c>
      <c r="H433" s="71">
        <f>ROUND(F433*'Actual Load'!$B$24/'Zonal Load'!$N$24,2)</f>
        <v>0</v>
      </c>
      <c r="I433" s="71">
        <f t="shared" si="104"/>
        <v>0</v>
      </c>
      <c r="J433" s="71">
        <f t="shared" si="105"/>
        <v>0</v>
      </c>
      <c r="K433" s="71">
        <f t="shared" si="106"/>
        <v>0</v>
      </c>
      <c r="L433" s="204">
        <f>ROUND(E433*'Interest Over Collect '!$J$13,2)</f>
        <v>0</v>
      </c>
      <c r="M433" s="71">
        <f t="shared" si="108"/>
        <v>0</v>
      </c>
      <c r="N433" s="92"/>
    </row>
    <row r="434" spans="1:15">
      <c r="A434" s="23"/>
      <c r="B434" s="23" t="s">
        <v>29</v>
      </c>
      <c r="C434" s="19">
        <v>0</v>
      </c>
      <c r="D434" s="20">
        <v>0</v>
      </c>
      <c r="E434" s="108">
        <f t="shared" si="101"/>
        <v>0</v>
      </c>
      <c r="F434" s="105">
        <f t="shared" si="102"/>
        <v>0</v>
      </c>
      <c r="G434" s="71">
        <f t="shared" si="103"/>
        <v>0</v>
      </c>
      <c r="H434" s="89">
        <f>ROUND(F434*'Actual Load'!$B$5/'Zonal Load'!$N$5,2)</f>
        <v>0</v>
      </c>
      <c r="I434" s="21">
        <f t="shared" si="104"/>
        <v>0</v>
      </c>
      <c r="J434" s="71">
        <f t="shared" si="105"/>
        <v>0</v>
      </c>
      <c r="K434" s="71">
        <f t="shared" si="106"/>
        <v>0</v>
      </c>
      <c r="L434" s="204">
        <f>ROUND(E434*'Interest Over Collect '!$J$13,2)</f>
        <v>0</v>
      </c>
      <c r="M434" s="89">
        <f t="shared" si="108"/>
        <v>0</v>
      </c>
    </row>
    <row r="435" spans="1:15">
      <c r="A435" s="23"/>
      <c r="B435" s="23" t="s">
        <v>30</v>
      </c>
      <c r="C435" s="19">
        <v>0</v>
      </c>
      <c r="D435" s="20">
        <v>0</v>
      </c>
      <c r="E435" s="108">
        <v>1</v>
      </c>
      <c r="F435" s="105">
        <f t="shared" si="102"/>
        <v>14979.07</v>
      </c>
      <c r="G435" s="71">
        <f>(F$443-F$444)*E435</f>
        <v>266.7283825400591</v>
      </c>
      <c r="H435" s="89">
        <f>ROUND(F435*'Actual Load'!$B$21/'Zonal Load'!$N$21,2)</f>
        <v>15272.76</v>
      </c>
      <c r="I435" s="21">
        <f t="shared" si="104"/>
        <v>15657.05</v>
      </c>
      <c r="J435" s="71">
        <f t="shared" si="105"/>
        <v>677.97999999999956</v>
      </c>
      <c r="K435" s="71">
        <f t="shared" si="106"/>
        <v>944.70838254005866</v>
      </c>
      <c r="L435" s="204">
        <f>ROUND(E435*'Interest Over Collect '!$J$13,2)</f>
        <v>205.36</v>
      </c>
      <c r="M435" s="89">
        <f t="shared" si="108"/>
        <v>1150.0683825400588</v>
      </c>
    </row>
    <row r="436" spans="1:15">
      <c r="A436" s="23"/>
      <c r="B436" s="23" t="s">
        <v>31</v>
      </c>
      <c r="C436" s="19">
        <v>0</v>
      </c>
      <c r="D436" s="20">
        <v>0</v>
      </c>
      <c r="E436" s="108">
        <f>C436+D436</f>
        <v>0</v>
      </c>
      <c r="F436" s="105">
        <f t="shared" si="102"/>
        <v>0</v>
      </c>
      <c r="G436" s="71">
        <f t="shared" si="103"/>
        <v>0</v>
      </c>
      <c r="H436" s="89">
        <f>ROUND(F436*'Actual Load'!$B$19/'Zonal Load'!$N$19,2)</f>
        <v>0</v>
      </c>
      <c r="I436" s="21">
        <f t="shared" si="104"/>
        <v>0</v>
      </c>
      <c r="J436" s="71">
        <f t="shared" si="105"/>
        <v>0</v>
      </c>
      <c r="K436" s="71">
        <f t="shared" si="106"/>
        <v>0</v>
      </c>
      <c r="L436" s="204">
        <f>ROUND(E436*'Interest Over Collect '!$J$13,2)</f>
        <v>0</v>
      </c>
      <c r="M436" s="89">
        <f t="shared" si="108"/>
        <v>0</v>
      </c>
    </row>
    <row r="437" spans="1:15">
      <c r="A437" s="23"/>
      <c r="B437" s="23" t="s">
        <v>32</v>
      </c>
      <c r="C437" s="19">
        <v>0</v>
      </c>
      <c r="D437" s="20">
        <v>0</v>
      </c>
      <c r="E437" s="108">
        <f>C437+D437</f>
        <v>0</v>
      </c>
      <c r="F437" s="105">
        <f t="shared" si="102"/>
        <v>0</v>
      </c>
      <c r="G437" s="71">
        <f t="shared" si="103"/>
        <v>0</v>
      </c>
      <c r="H437" s="89">
        <f>ROUND(F437*'Actual Load'!$B$25/'Zonal Load'!$N$25,2)</f>
        <v>0</v>
      </c>
      <c r="I437" s="21">
        <f t="shared" si="104"/>
        <v>0</v>
      </c>
      <c r="J437" s="71">
        <f t="shared" si="105"/>
        <v>0</v>
      </c>
      <c r="K437" s="71">
        <f t="shared" si="106"/>
        <v>0</v>
      </c>
      <c r="L437" s="204">
        <f>ROUND(E437*'Interest Over Collect '!$J$13,2)</f>
        <v>0</v>
      </c>
      <c r="M437" s="89">
        <f t="shared" si="108"/>
        <v>0</v>
      </c>
    </row>
    <row r="438" spans="1:15">
      <c r="A438" s="23"/>
      <c r="B438" s="23" t="s">
        <v>33</v>
      </c>
      <c r="C438" s="19">
        <v>0</v>
      </c>
      <c r="D438" s="20">
        <v>0</v>
      </c>
      <c r="E438" s="108">
        <f>C438+D438</f>
        <v>0</v>
      </c>
      <c r="F438" s="105">
        <f t="shared" si="102"/>
        <v>0</v>
      </c>
      <c r="G438" s="71">
        <f t="shared" si="103"/>
        <v>0</v>
      </c>
      <c r="H438" s="89">
        <f>ROUND(F438*'Actual Load'!$B$13/'Zonal Load'!$N$13,2)</f>
        <v>0</v>
      </c>
      <c r="I438" s="21">
        <f t="shared" si="104"/>
        <v>0</v>
      </c>
      <c r="J438" s="71">
        <f t="shared" si="105"/>
        <v>0</v>
      </c>
      <c r="K438" s="71">
        <f t="shared" si="106"/>
        <v>0</v>
      </c>
      <c r="L438" s="204">
        <f>ROUND(E438*'Interest Over Collect '!$J$13,2)</f>
        <v>0</v>
      </c>
      <c r="M438" s="89">
        <f>+K438+L438</f>
        <v>0</v>
      </c>
    </row>
    <row r="439" spans="1:15">
      <c r="A439" s="23"/>
      <c r="B439" s="23" t="s">
        <v>34</v>
      </c>
      <c r="C439" s="19">
        <v>0</v>
      </c>
      <c r="D439" s="20">
        <v>0</v>
      </c>
      <c r="E439" s="108">
        <f>C439+D439</f>
        <v>0</v>
      </c>
      <c r="F439" s="105">
        <f t="shared" si="102"/>
        <v>0</v>
      </c>
      <c r="G439" s="71">
        <f t="shared" si="103"/>
        <v>0</v>
      </c>
      <c r="H439" s="89">
        <f>ROUND(F439*'Actual Load'!$B$23/'Zonal Load'!$N$23,2)</f>
        <v>0</v>
      </c>
      <c r="I439" s="21">
        <f t="shared" si="104"/>
        <v>0</v>
      </c>
      <c r="J439" s="71">
        <f t="shared" si="105"/>
        <v>0</v>
      </c>
      <c r="K439" s="71">
        <f t="shared" si="106"/>
        <v>0</v>
      </c>
      <c r="L439" s="204">
        <f>ROUND(E439*'Interest Over Collect '!$J$13,2)</f>
        <v>0</v>
      </c>
      <c r="M439" s="89">
        <f>+K439+L439</f>
        <v>0</v>
      </c>
    </row>
    <row r="440" spans="1:15">
      <c r="B440" s="24" t="s">
        <v>35</v>
      </c>
      <c r="C440" s="19">
        <v>0</v>
      </c>
      <c r="D440" s="20">
        <v>0</v>
      </c>
      <c r="E440" s="108">
        <f>C440+D440</f>
        <v>0</v>
      </c>
      <c r="F440" s="105">
        <f t="shared" si="102"/>
        <v>0</v>
      </c>
      <c r="G440" s="71">
        <f t="shared" si="103"/>
        <v>0</v>
      </c>
      <c r="H440" s="89">
        <f>ROUND(F440*'Actual Load'!$B$20/'Zonal Load'!$N$20,2)</f>
        <v>0</v>
      </c>
      <c r="I440" s="21">
        <f t="shared" si="104"/>
        <v>0</v>
      </c>
      <c r="J440" s="71">
        <f t="shared" si="105"/>
        <v>0</v>
      </c>
      <c r="K440" s="71">
        <f t="shared" si="106"/>
        <v>0</v>
      </c>
      <c r="L440" s="204">
        <f>ROUND(E440*'Interest Over Collect '!$J$13,2)</f>
        <v>0</v>
      </c>
      <c r="M440" s="89">
        <f>+K440+L440</f>
        <v>0</v>
      </c>
    </row>
    <row r="441" spans="1:15">
      <c r="B441" s="25"/>
      <c r="C441" s="26">
        <f>SUM(C417:C440)</f>
        <v>0</v>
      </c>
      <c r="D441" s="27">
        <f>SUM(D417:D440)</f>
        <v>0</v>
      </c>
      <c r="E441" s="107">
        <f>SUM(E417:E440)</f>
        <v>1</v>
      </c>
      <c r="F441" s="101">
        <f>SUM(F417:F440)</f>
        <v>14979.07</v>
      </c>
      <c r="G441" s="84">
        <f t="shared" ref="G441:M441" si="109">SUM(G419:G440)</f>
        <v>266.7283825400591</v>
      </c>
      <c r="H441" s="146">
        <f t="shared" si="109"/>
        <v>15272.76</v>
      </c>
      <c r="I441" s="85">
        <f t="shared" si="109"/>
        <v>15657.05</v>
      </c>
      <c r="J441" s="85">
        <f t="shared" si="109"/>
        <v>677.97999999999956</v>
      </c>
      <c r="K441" s="163">
        <f t="shared" si="109"/>
        <v>944.70838254005866</v>
      </c>
      <c r="L441" s="85">
        <f t="shared" si="109"/>
        <v>205.36</v>
      </c>
      <c r="M441" s="85">
        <f t="shared" si="109"/>
        <v>1150.0683825400588</v>
      </c>
    </row>
    <row r="442" spans="1:15">
      <c r="G442" s="21"/>
      <c r="I442" s="86"/>
      <c r="N442" s="234"/>
      <c r="O442"/>
    </row>
    <row r="443" spans="1:15">
      <c r="E443" s="102" t="str">
        <f>$E$73</f>
        <v>2013 Estimated Revenue Requirement</v>
      </c>
      <c r="F443" s="201">
        <v>14979.071393076869</v>
      </c>
      <c r="N443" s="234"/>
      <c r="O443"/>
    </row>
    <row r="444" spans="1:15">
      <c r="E444" s="103" t="str">
        <f>$E$74</f>
        <v>2013 Rev Requirement Act</v>
      </c>
      <c r="F444" s="202">
        <v>14712.34301053681</v>
      </c>
      <c r="H444" s="147"/>
      <c r="I444" s="29"/>
      <c r="L444" s="90"/>
      <c r="N444" s="234"/>
      <c r="O444"/>
    </row>
    <row r="445" spans="1:15">
      <c r="E445" s="103" t="str">
        <f>$E$75</f>
        <v>Actual Revenue Booked</v>
      </c>
      <c r="F445" s="210">
        <f>I441</f>
        <v>15657.05</v>
      </c>
      <c r="N445" s="234"/>
      <c r="O445"/>
    </row>
    <row r="446" spans="1:15">
      <c r="B446" s="155"/>
      <c r="C446" s="155"/>
      <c r="D446" s="155"/>
      <c r="E446" s="155"/>
      <c r="F446" s="155"/>
      <c r="G446" s="155"/>
      <c r="H446" s="155"/>
      <c r="I446" s="155"/>
      <c r="J446" s="155"/>
      <c r="K446"/>
      <c r="L446"/>
      <c r="M446"/>
      <c r="N446" s="234"/>
      <c r="O446"/>
    </row>
    <row r="447" spans="1:15">
      <c r="B447" s="88"/>
      <c r="C447" s="88"/>
      <c r="D447" s="88"/>
      <c r="E447" s="88"/>
      <c r="F447" s="88"/>
      <c r="G447" s="88"/>
      <c r="H447" s="88"/>
      <c r="I447" s="88"/>
      <c r="J447" s="119"/>
      <c r="K447" s="88"/>
      <c r="L447" s="88"/>
      <c r="M447" s="88"/>
    </row>
    <row r="448" spans="1:15">
      <c r="L448" s="87"/>
    </row>
    <row r="449" spans="2:15">
      <c r="B449" s="559" t="s">
        <v>0</v>
      </c>
      <c r="C449" s="560"/>
      <c r="D449" s="567" t="s">
        <v>184</v>
      </c>
      <c r="E449" s="568"/>
      <c r="F449" s="568"/>
      <c r="G449" s="568"/>
      <c r="H449" s="569"/>
      <c r="I449" s="162"/>
      <c r="J449" s="154"/>
      <c r="K449"/>
      <c r="L449"/>
      <c r="M449"/>
      <c r="N449" s="234"/>
      <c r="O449"/>
    </row>
    <row r="450" spans="2:15">
      <c r="B450" s="555" t="s">
        <v>2</v>
      </c>
      <c r="C450" s="556"/>
      <c r="D450" s="570" t="s">
        <v>185</v>
      </c>
      <c r="E450" s="571"/>
      <c r="F450" s="571"/>
      <c r="G450" s="571"/>
      <c r="H450" s="572"/>
      <c r="I450" s="162"/>
      <c r="J450" s="154"/>
      <c r="K450"/>
      <c r="L450"/>
      <c r="M450"/>
      <c r="N450" s="234"/>
      <c r="O450"/>
    </row>
    <row r="451" spans="2:15">
      <c r="B451" s="555" t="s">
        <v>4</v>
      </c>
      <c r="C451" s="556"/>
      <c r="D451" s="573">
        <v>69</v>
      </c>
      <c r="E451" s="571"/>
      <c r="F451" s="571"/>
      <c r="G451" s="571"/>
      <c r="H451" s="572"/>
      <c r="I451" s="162"/>
      <c r="J451" s="154"/>
      <c r="K451"/>
      <c r="L451"/>
      <c r="M451"/>
      <c r="N451" s="234"/>
      <c r="O451"/>
    </row>
    <row r="452" spans="2:15">
      <c r="B452" s="557" t="s">
        <v>6</v>
      </c>
      <c r="C452" s="558"/>
      <c r="D452" s="561" t="s">
        <v>7</v>
      </c>
      <c r="E452" s="562"/>
      <c r="F452" s="562"/>
      <c r="G452" s="562"/>
      <c r="H452" s="563"/>
      <c r="I452" s="162"/>
      <c r="J452" s="154"/>
      <c r="K452"/>
      <c r="L452"/>
      <c r="M452"/>
      <c r="N452" s="234"/>
      <c r="O452"/>
    </row>
    <row r="453" spans="2:15">
      <c r="B453" s="82"/>
      <c r="C453" s="82"/>
      <c r="D453" s="82"/>
      <c r="E453" s="82"/>
      <c r="F453" s="82"/>
      <c r="J453" s="113" t="s">
        <v>163</v>
      </c>
      <c r="K453" s="3" t="s">
        <v>42</v>
      </c>
      <c r="M453" s="3" t="s">
        <v>56</v>
      </c>
      <c r="N453" s="234"/>
      <c r="O453"/>
    </row>
    <row r="454" spans="2:15">
      <c r="B454" s="82"/>
      <c r="C454" s="82"/>
      <c r="D454" s="82"/>
      <c r="E454" s="82"/>
      <c r="F454" s="82"/>
      <c r="G454" s="3" t="s">
        <v>39</v>
      </c>
      <c r="H454" s="142" t="s">
        <v>40</v>
      </c>
      <c r="I454" s="104" t="s">
        <v>41</v>
      </c>
      <c r="J454" s="114" t="s">
        <v>164</v>
      </c>
      <c r="K454" s="4" t="s">
        <v>165</v>
      </c>
      <c r="L454" s="4" t="s">
        <v>55</v>
      </c>
      <c r="M454" s="4" t="s">
        <v>166</v>
      </c>
      <c r="N454" s="234"/>
      <c r="O454"/>
    </row>
    <row r="455" spans="2:15">
      <c r="B455" s="82"/>
      <c r="C455" s="82"/>
      <c r="D455" s="82"/>
      <c r="E455" s="82"/>
      <c r="F455" s="82"/>
      <c r="G455" s="5"/>
      <c r="H455" s="527" t="s">
        <v>43</v>
      </c>
      <c r="I455" s="528"/>
      <c r="J455" s="529"/>
      <c r="K455" s="6" t="s">
        <v>44</v>
      </c>
      <c r="L455" s="5"/>
      <c r="M455" s="6" t="s">
        <v>45</v>
      </c>
      <c r="N455" s="234"/>
      <c r="O455"/>
    </row>
    <row r="456" spans="2:15">
      <c r="B456" s="83"/>
      <c r="C456" s="7">
        <v>0.2</v>
      </c>
      <c r="D456" s="7">
        <v>0.8</v>
      </c>
      <c r="E456" s="7"/>
      <c r="F456" s="98" t="s">
        <v>162</v>
      </c>
      <c r="G456" s="8" t="s">
        <v>46</v>
      </c>
      <c r="H456" s="143"/>
      <c r="I456" s="5"/>
      <c r="J456" s="115" t="s">
        <v>47</v>
      </c>
      <c r="K456" s="8" t="s">
        <v>48</v>
      </c>
      <c r="L456" s="9"/>
      <c r="M456" s="8" t="s">
        <v>49</v>
      </c>
      <c r="N456" s="234"/>
      <c r="O456"/>
    </row>
    <row r="457" spans="2:15">
      <c r="B457" s="10"/>
      <c r="C457" s="75" t="s">
        <v>9</v>
      </c>
      <c r="D457" s="75" t="s">
        <v>10</v>
      </c>
      <c r="E457" s="75" t="s">
        <v>11</v>
      </c>
      <c r="F457" s="99" t="s">
        <v>8</v>
      </c>
      <c r="G457" s="11" t="s">
        <v>50</v>
      </c>
      <c r="H457" s="144" t="s">
        <v>51</v>
      </c>
      <c r="I457" s="12" t="s">
        <v>159</v>
      </c>
      <c r="J457" s="116" t="s">
        <v>50</v>
      </c>
      <c r="K457" s="12" t="s">
        <v>50</v>
      </c>
      <c r="L457" s="12" t="s">
        <v>52</v>
      </c>
      <c r="M457" s="12" t="s">
        <v>53</v>
      </c>
      <c r="N457" s="234"/>
      <c r="O457"/>
    </row>
    <row r="458" spans="2:15" ht="31.5">
      <c r="B458" s="13" t="s">
        <v>13</v>
      </c>
      <c r="C458" s="14" t="s">
        <v>14</v>
      </c>
      <c r="D458" s="14" t="s">
        <v>14</v>
      </c>
      <c r="E458" s="15" t="s">
        <v>14</v>
      </c>
      <c r="F458" s="100" t="s">
        <v>15</v>
      </c>
      <c r="G458" s="16" t="s">
        <v>54</v>
      </c>
      <c r="H458" s="145"/>
      <c r="I458" s="17"/>
      <c r="J458" s="117" t="s">
        <v>54</v>
      </c>
      <c r="K458" s="17"/>
      <c r="L458" s="17"/>
      <c r="M458" s="16" t="s">
        <v>54</v>
      </c>
      <c r="N458" s="234"/>
      <c r="O458"/>
    </row>
    <row r="459" spans="2:15" s="87" customFormat="1">
      <c r="B459" s="18" t="s">
        <v>16</v>
      </c>
      <c r="C459" s="278">
        <v>0</v>
      </c>
      <c r="D459" s="281">
        <v>0</v>
      </c>
      <c r="E459" s="279">
        <f t="shared" ref="E459:E476" si="110">C459+D459</f>
        <v>0</v>
      </c>
      <c r="F459" s="282">
        <f t="shared" ref="F459:F482" si="111">ROUND(+E459*F$485,2)</f>
        <v>0</v>
      </c>
      <c r="G459" s="71">
        <f t="shared" ref="G459:G476" si="112">(F$401-F$402)*E459</f>
        <v>0</v>
      </c>
      <c r="H459" s="71">
        <f>ROUND(F459*'Actual Load'!$B$8/'Zonal Load'!$N$8,2)</f>
        <v>0</v>
      </c>
      <c r="I459" s="71">
        <f t="shared" ref="I459:I482" si="113">ROUND((H459*$H$708)/$H$706,2)</f>
        <v>0</v>
      </c>
      <c r="J459" s="71">
        <f t="shared" ref="J459:J482" si="114">I459-F459</f>
        <v>0</v>
      </c>
      <c r="K459" s="71">
        <f t="shared" ref="K459:K482" si="115">+G459+J459</f>
        <v>0</v>
      </c>
      <c r="L459" s="204">
        <f>ROUND(E459*'Interest Over Collect '!$J$14,2)</f>
        <v>0</v>
      </c>
      <c r="M459" s="71">
        <f t="shared" ref="M459:M466" si="116">+K459+L459</f>
        <v>0</v>
      </c>
      <c r="N459" s="234"/>
      <c r="O459" s="286"/>
    </row>
    <row r="460" spans="2:15" s="87" customFormat="1">
      <c r="B460" s="23" t="s">
        <v>17</v>
      </c>
      <c r="C460" s="278">
        <v>0</v>
      </c>
      <c r="D460" s="281">
        <v>0</v>
      </c>
      <c r="E460" s="279">
        <f t="shared" si="110"/>
        <v>0</v>
      </c>
      <c r="F460" s="280">
        <f t="shared" si="111"/>
        <v>0</v>
      </c>
      <c r="G460" s="71">
        <f t="shared" si="112"/>
        <v>0</v>
      </c>
      <c r="H460" s="71">
        <f>ROUND(F460*'Actual Load'!$B$14/'Zonal Load'!$N$14,2)</f>
        <v>0</v>
      </c>
      <c r="I460" s="71">
        <f t="shared" si="113"/>
        <v>0</v>
      </c>
      <c r="J460" s="71">
        <f t="shared" si="114"/>
        <v>0</v>
      </c>
      <c r="K460" s="71">
        <f t="shared" si="115"/>
        <v>0</v>
      </c>
      <c r="L460" s="204">
        <f>ROUND(E460*'Interest Over Collect '!$J$14,2)</f>
        <v>0</v>
      </c>
      <c r="M460" s="71">
        <f t="shared" si="116"/>
        <v>0</v>
      </c>
      <c r="N460" s="234"/>
      <c r="O460" s="286"/>
    </row>
    <row r="461" spans="2:15" s="87" customFormat="1">
      <c r="B461" s="23" t="s">
        <v>201</v>
      </c>
      <c r="C461" s="278">
        <f>0%*0.421</f>
        <v>0</v>
      </c>
      <c r="D461" s="281">
        <f>0%*0.421</f>
        <v>0</v>
      </c>
      <c r="E461" s="279">
        <f t="shared" si="110"/>
        <v>0</v>
      </c>
      <c r="F461" s="280">
        <f t="shared" si="111"/>
        <v>0</v>
      </c>
      <c r="G461" s="71">
        <f t="shared" si="112"/>
        <v>0</v>
      </c>
      <c r="H461" s="71">
        <f>ROUND(F461*'Actual Load'!$B$9/'Zonal Load'!$N$9,2)</f>
        <v>0</v>
      </c>
      <c r="I461" s="71">
        <f t="shared" si="113"/>
        <v>0</v>
      </c>
      <c r="J461" s="71">
        <f t="shared" si="114"/>
        <v>0</v>
      </c>
      <c r="K461" s="71">
        <f t="shared" si="115"/>
        <v>0</v>
      </c>
      <c r="L461" s="204">
        <f>ROUND(E461*'Interest Over Collect '!$J$14,2)</f>
        <v>0</v>
      </c>
      <c r="M461" s="71">
        <f t="shared" si="116"/>
        <v>0</v>
      </c>
      <c r="N461" s="234"/>
      <c r="O461" s="286"/>
    </row>
    <row r="462" spans="2:15" s="87" customFormat="1">
      <c r="B462" s="140" t="s">
        <v>260</v>
      </c>
      <c r="C462" s="278">
        <f>0%*0.579</f>
        <v>0</v>
      </c>
      <c r="D462" s="281">
        <f>0%*0.579</f>
        <v>0</v>
      </c>
      <c r="E462" s="279">
        <f>C462+D462</f>
        <v>0</v>
      </c>
      <c r="F462" s="280">
        <f t="shared" si="111"/>
        <v>0</v>
      </c>
      <c r="G462" s="71">
        <f>(F$401-F$402)*E462</f>
        <v>0</v>
      </c>
      <c r="H462" s="71">
        <f>ROUND(F462*'Actual Load'!$B$10/'Zonal Load'!$N$10,2)</f>
        <v>0</v>
      </c>
      <c r="I462" s="71">
        <f t="shared" si="113"/>
        <v>0</v>
      </c>
      <c r="J462" s="71">
        <f>I462-F462</f>
        <v>0</v>
      </c>
      <c r="K462" s="71">
        <f>+G462+J462</f>
        <v>0</v>
      </c>
      <c r="L462" s="204">
        <f>ROUND(E462*'Interest Over Collect '!$J$14,2)</f>
        <v>0</v>
      </c>
      <c r="M462" s="71">
        <f>+K462+L462</f>
        <v>0</v>
      </c>
      <c r="N462" s="234"/>
      <c r="O462" s="286"/>
    </row>
    <row r="463" spans="2:15" s="87" customFormat="1">
      <c r="B463" s="23" t="s">
        <v>18</v>
      </c>
      <c r="C463" s="278">
        <v>0</v>
      </c>
      <c r="D463" s="281">
        <v>0</v>
      </c>
      <c r="E463" s="279">
        <f t="shared" si="110"/>
        <v>0</v>
      </c>
      <c r="F463" s="280">
        <f t="shared" si="111"/>
        <v>0</v>
      </c>
      <c r="G463" s="71">
        <f t="shared" si="112"/>
        <v>0</v>
      </c>
      <c r="H463" s="71">
        <f>ROUND(F463*'Actual Load'!$B$26/'Zonal Load'!$N$26,2)</f>
        <v>0</v>
      </c>
      <c r="I463" s="71">
        <f t="shared" si="113"/>
        <v>0</v>
      </c>
      <c r="J463" s="71">
        <f t="shared" si="114"/>
        <v>0</v>
      </c>
      <c r="K463" s="71">
        <f t="shared" si="115"/>
        <v>0</v>
      </c>
      <c r="L463" s="204">
        <f>ROUND(E463*'Interest Over Collect '!$J$14,2)</f>
        <v>0</v>
      </c>
      <c r="M463" s="71">
        <f t="shared" si="116"/>
        <v>0</v>
      </c>
      <c r="N463" s="234"/>
      <c r="O463" s="286"/>
    </row>
    <row r="464" spans="2:15" s="87" customFormat="1">
      <c r="B464" s="23" t="s">
        <v>19</v>
      </c>
      <c r="C464" s="278">
        <v>0</v>
      </c>
      <c r="D464" s="281">
        <v>0</v>
      </c>
      <c r="E464" s="279">
        <f t="shared" si="110"/>
        <v>0</v>
      </c>
      <c r="F464" s="280">
        <f t="shared" si="111"/>
        <v>0</v>
      </c>
      <c r="G464" s="71">
        <f t="shared" si="112"/>
        <v>0</v>
      </c>
      <c r="H464" s="71">
        <f>ROUND(F464*'Actual Load'!$B$16/'Zonal Load'!$N$16,2)</f>
        <v>0</v>
      </c>
      <c r="I464" s="71">
        <f t="shared" si="113"/>
        <v>0</v>
      </c>
      <c r="J464" s="71">
        <f t="shared" si="114"/>
        <v>0</v>
      </c>
      <c r="K464" s="71">
        <f t="shared" si="115"/>
        <v>0</v>
      </c>
      <c r="L464" s="204">
        <f>ROUND(E464*'Interest Over Collect '!$J$14,2)</f>
        <v>0</v>
      </c>
      <c r="M464" s="71">
        <f t="shared" si="116"/>
        <v>0</v>
      </c>
      <c r="N464" s="234"/>
      <c r="O464" s="286"/>
    </row>
    <row r="465" spans="1:15" s="87" customFormat="1">
      <c r="B465" s="23" t="s">
        <v>20</v>
      </c>
      <c r="C465" s="278">
        <v>0</v>
      </c>
      <c r="D465" s="281">
        <v>0</v>
      </c>
      <c r="E465" s="279">
        <f t="shared" si="110"/>
        <v>0</v>
      </c>
      <c r="F465" s="280">
        <f t="shared" si="111"/>
        <v>0</v>
      </c>
      <c r="G465" s="71">
        <f t="shared" si="112"/>
        <v>0</v>
      </c>
      <c r="H465" s="71">
        <f>ROUND(F465*'Actual Load'!$B$22/'Zonal Load'!$N$22,2)</f>
        <v>0</v>
      </c>
      <c r="I465" s="71">
        <f t="shared" si="113"/>
        <v>0</v>
      </c>
      <c r="J465" s="71">
        <f t="shared" si="114"/>
        <v>0</v>
      </c>
      <c r="K465" s="71">
        <f t="shared" si="115"/>
        <v>0</v>
      </c>
      <c r="L465" s="204">
        <f>ROUND(E465*'Interest Over Collect '!$J$14,2)</f>
        <v>0</v>
      </c>
      <c r="M465" s="71">
        <f t="shared" si="116"/>
        <v>0</v>
      </c>
      <c r="N465" s="234"/>
      <c r="O465" s="286"/>
    </row>
    <row r="466" spans="1:15" s="87" customFormat="1">
      <c r="B466" s="23" t="s">
        <v>21</v>
      </c>
      <c r="C466" s="278">
        <v>0</v>
      </c>
      <c r="D466" s="281">
        <v>0</v>
      </c>
      <c r="E466" s="279">
        <f t="shared" si="110"/>
        <v>0</v>
      </c>
      <c r="F466" s="280">
        <f t="shared" si="111"/>
        <v>0</v>
      </c>
      <c r="G466" s="71">
        <f t="shared" si="112"/>
        <v>0</v>
      </c>
      <c r="H466" s="71">
        <f>ROUND(F466*'Actual Load'!$B$17/'Zonal Load'!$N$17,2)</f>
        <v>0</v>
      </c>
      <c r="I466" s="71">
        <f t="shared" si="113"/>
        <v>0</v>
      </c>
      <c r="J466" s="71">
        <f t="shared" si="114"/>
        <v>0</v>
      </c>
      <c r="K466" s="71">
        <f t="shared" si="115"/>
        <v>0</v>
      </c>
      <c r="L466" s="204">
        <f>ROUND(E466*'Interest Over Collect '!$J$14,2)</f>
        <v>0</v>
      </c>
      <c r="M466" s="71">
        <f t="shared" si="116"/>
        <v>0</v>
      </c>
      <c r="N466" s="234"/>
      <c r="O466" s="286"/>
    </row>
    <row r="467" spans="1:15" s="87" customFormat="1">
      <c r="B467" s="23" t="s">
        <v>22</v>
      </c>
      <c r="C467" s="278">
        <v>0</v>
      </c>
      <c r="D467" s="281">
        <v>0</v>
      </c>
      <c r="E467" s="279">
        <f t="shared" si="110"/>
        <v>0</v>
      </c>
      <c r="F467" s="280">
        <f t="shared" si="111"/>
        <v>0</v>
      </c>
      <c r="G467" s="71">
        <f t="shared" si="112"/>
        <v>0</v>
      </c>
      <c r="H467" s="71">
        <f>ROUND(F467*'Actual Load'!$B$15/'Zonal Load'!$N$15,2)</f>
        <v>0</v>
      </c>
      <c r="I467" s="71">
        <f t="shared" si="113"/>
        <v>0</v>
      </c>
      <c r="J467" s="71">
        <f t="shared" si="114"/>
        <v>0</v>
      </c>
      <c r="K467" s="71">
        <f t="shared" si="115"/>
        <v>0</v>
      </c>
      <c r="L467" s="204">
        <f>ROUND(E467*'Interest Over Collect '!$J$14,2)</f>
        <v>0</v>
      </c>
      <c r="M467" s="71">
        <f>+K467+L467</f>
        <v>0</v>
      </c>
      <c r="N467" s="234"/>
      <c r="O467" s="286"/>
    </row>
    <row r="468" spans="1:15" s="87" customFormat="1">
      <c r="B468" s="23" t="s">
        <v>23</v>
      </c>
      <c r="C468" s="278">
        <v>0</v>
      </c>
      <c r="D468" s="281">
        <v>0</v>
      </c>
      <c r="E468" s="279">
        <f t="shared" si="110"/>
        <v>0</v>
      </c>
      <c r="F468" s="280">
        <f t="shared" si="111"/>
        <v>0</v>
      </c>
      <c r="G468" s="71">
        <f t="shared" si="112"/>
        <v>0</v>
      </c>
      <c r="H468" s="71">
        <f>ROUND(F468*'Actual Load'!$B$4/'Zonal Load'!$N$4,2)</f>
        <v>0</v>
      </c>
      <c r="I468" s="71">
        <f t="shared" si="113"/>
        <v>0</v>
      </c>
      <c r="J468" s="71">
        <f t="shared" si="114"/>
        <v>0</v>
      </c>
      <c r="K468" s="71">
        <f t="shared" si="115"/>
        <v>0</v>
      </c>
      <c r="L468" s="204">
        <f>ROUND(E468*'Interest Over Collect '!$J$14,2)</f>
        <v>0</v>
      </c>
      <c r="M468" s="71">
        <f t="shared" ref="M468:M479" si="117">+K468+L468</f>
        <v>0</v>
      </c>
      <c r="N468" s="234"/>
      <c r="O468" s="286"/>
    </row>
    <row r="469" spans="1:15" s="87" customFormat="1">
      <c r="B469" s="23" t="s">
        <v>24</v>
      </c>
      <c r="C469" s="278">
        <v>0</v>
      </c>
      <c r="D469" s="281">
        <v>0</v>
      </c>
      <c r="E469" s="279">
        <f t="shared" si="110"/>
        <v>0</v>
      </c>
      <c r="F469" s="280">
        <f t="shared" si="111"/>
        <v>0</v>
      </c>
      <c r="G469" s="71">
        <f t="shared" si="112"/>
        <v>0</v>
      </c>
      <c r="H469" s="71">
        <f>ROUND(F469*'Actual Load'!$B$11/'Zonal Load'!$N$11,2)</f>
        <v>0</v>
      </c>
      <c r="I469" s="71">
        <f t="shared" si="113"/>
        <v>0</v>
      </c>
      <c r="J469" s="71">
        <f t="shared" si="114"/>
        <v>0</v>
      </c>
      <c r="K469" s="71">
        <f t="shared" si="115"/>
        <v>0</v>
      </c>
      <c r="L469" s="204">
        <f>ROUND(E469*'Interest Over Collect '!$J$14,2)</f>
        <v>0</v>
      </c>
      <c r="M469" s="71">
        <f t="shared" si="117"/>
        <v>0</v>
      </c>
      <c r="N469" s="234"/>
      <c r="O469" s="286"/>
    </row>
    <row r="470" spans="1:15" s="87" customFormat="1">
      <c r="B470" s="23" t="s">
        <v>26</v>
      </c>
      <c r="C470" s="278">
        <v>0</v>
      </c>
      <c r="D470" s="281">
        <v>0</v>
      </c>
      <c r="E470" s="279">
        <f t="shared" si="110"/>
        <v>0</v>
      </c>
      <c r="F470" s="280">
        <f t="shared" si="111"/>
        <v>0</v>
      </c>
      <c r="G470" s="71">
        <f t="shared" si="112"/>
        <v>0</v>
      </c>
      <c r="H470" s="71">
        <f>ROUND(F470*'Actual Load'!$B$7/'Zonal Load'!$N$7,2)</f>
        <v>0</v>
      </c>
      <c r="I470" s="71">
        <f t="shared" si="113"/>
        <v>0</v>
      </c>
      <c r="J470" s="71">
        <f t="shared" si="114"/>
        <v>0</v>
      </c>
      <c r="K470" s="71">
        <f t="shared" si="115"/>
        <v>0</v>
      </c>
      <c r="L470" s="204">
        <f>ROUND(E470*'Interest Over Collect '!$J$14,2)</f>
        <v>0</v>
      </c>
      <c r="M470" s="71">
        <f t="shared" si="117"/>
        <v>0</v>
      </c>
      <c r="N470" s="234"/>
      <c r="O470" s="286"/>
    </row>
    <row r="471" spans="1:15" s="87" customFormat="1">
      <c r="B471" s="23" t="s">
        <v>25</v>
      </c>
      <c r="C471" s="278">
        <v>0</v>
      </c>
      <c r="D471" s="281">
        <v>0</v>
      </c>
      <c r="E471" s="279">
        <f t="shared" si="110"/>
        <v>0</v>
      </c>
      <c r="F471" s="280">
        <f t="shared" si="111"/>
        <v>0</v>
      </c>
      <c r="G471" s="71">
        <f t="shared" si="112"/>
        <v>0</v>
      </c>
      <c r="H471" s="71">
        <f>ROUND(F471*'Actual Load'!$B$6/'Zonal Load'!$N$6,2)</f>
        <v>0</v>
      </c>
      <c r="I471" s="71">
        <f t="shared" si="113"/>
        <v>0</v>
      </c>
      <c r="J471" s="71">
        <f t="shared" si="114"/>
        <v>0</v>
      </c>
      <c r="K471" s="71">
        <f t="shared" si="115"/>
        <v>0</v>
      </c>
      <c r="L471" s="204">
        <f>ROUND(E471*'Interest Over Collect '!$J$14,2)</f>
        <v>0</v>
      </c>
      <c r="M471" s="71">
        <f t="shared" si="117"/>
        <v>0</v>
      </c>
      <c r="N471" s="234"/>
      <c r="O471" s="286"/>
    </row>
    <row r="472" spans="1:15" s="87" customFormat="1">
      <c r="B472" s="23" t="s">
        <v>119</v>
      </c>
      <c r="C472" s="278">
        <v>0</v>
      </c>
      <c r="D472" s="281">
        <v>0</v>
      </c>
      <c r="E472" s="279">
        <f t="shared" si="110"/>
        <v>0</v>
      </c>
      <c r="F472" s="280">
        <f t="shared" si="111"/>
        <v>0</v>
      </c>
      <c r="G472" s="71">
        <f t="shared" si="112"/>
        <v>0</v>
      </c>
      <c r="H472" s="71">
        <f>ROUND(F472*'Actual Load'!$B$18/'Zonal Load'!$N$18,2)</f>
        <v>0</v>
      </c>
      <c r="I472" s="71">
        <f t="shared" si="113"/>
        <v>0</v>
      </c>
      <c r="J472" s="71">
        <f t="shared" si="114"/>
        <v>0</v>
      </c>
      <c r="K472" s="71">
        <f t="shared" si="115"/>
        <v>0</v>
      </c>
      <c r="L472" s="204">
        <f>ROUND(E472*'Interest Over Collect '!$J$14,2)</f>
        <v>0</v>
      </c>
      <c r="M472" s="71">
        <f t="shared" si="117"/>
        <v>0</v>
      </c>
      <c r="N472" s="234"/>
      <c r="O472" s="286"/>
    </row>
    <row r="473" spans="1:15" s="87" customFormat="1">
      <c r="B473" s="23" t="s">
        <v>120</v>
      </c>
      <c r="C473" s="278">
        <v>0</v>
      </c>
      <c r="D473" s="281">
        <v>0</v>
      </c>
      <c r="E473" s="279">
        <f t="shared" si="110"/>
        <v>0</v>
      </c>
      <c r="F473" s="280">
        <f t="shared" si="111"/>
        <v>0</v>
      </c>
      <c r="G473" s="71">
        <f t="shared" si="112"/>
        <v>0</v>
      </c>
      <c r="H473" s="71">
        <f>ROUND(F473*'Actual Load'!$B$17/'Zonal Load'!$N$17,2)</f>
        <v>0</v>
      </c>
      <c r="I473" s="71">
        <f t="shared" si="113"/>
        <v>0</v>
      </c>
      <c r="J473" s="71">
        <f t="shared" si="114"/>
        <v>0</v>
      </c>
      <c r="K473" s="71">
        <f t="shared" si="115"/>
        <v>0</v>
      </c>
      <c r="L473" s="204">
        <f>ROUND(E473*'Interest Over Collect '!$J$14,2)</f>
        <v>0</v>
      </c>
      <c r="M473" s="71">
        <f t="shared" si="117"/>
        <v>0</v>
      </c>
      <c r="N473" s="234"/>
      <c r="O473" s="286"/>
    </row>
    <row r="474" spans="1:15" s="87" customFormat="1">
      <c r="A474" s="23"/>
      <c r="B474" s="23" t="s">
        <v>27</v>
      </c>
      <c r="C474" s="278">
        <v>0</v>
      </c>
      <c r="D474" s="281">
        <v>0</v>
      </c>
      <c r="E474" s="279">
        <f t="shared" si="110"/>
        <v>0</v>
      </c>
      <c r="F474" s="280">
        <f t="shared" si="111"/>
        <v>0</v>
      </c>
      <c r="G474" s="71">
        <f t="shared" si="112"/>
        <v>0</v>
      </c>
      <c r="H474" s="71">
        <f>ROUND(F474*'Actual Load'!$B$12/'Zonal Load'!$N$12,2)</f>
        <v>0</v>
      </c>
      <c r="I474" s="71">
        <f t="shared" si="113"/>
        <v>0</v>
      </c>
      <c r="J474" s="71">
        <f t="shared" si="114"/>
        <v>0</v>
      </c>
      <c r="K474" s="71">
        <f t="shared" si="115"/>
        <v>0</v>
      </c>
      <c r="L474" s="204">
        <f>ROUND(E474*'Interest Over Collect '!$J$14,2)</f>
        <v>0</v>
      </c>
      <c r="M474" s="71">
        <f t="shared" si="117"/>
        <v>0</v>
      </c>
      <c r="N474" s="234"/>
      <c r="O474" s="286"/>
    </row>
    <row r="475" spans="1:15" s="87" customFormat="1">
      <c r="A475" s="23"/>
      <c r="B475" s="23" t="s">
        <v>28</v>
      </c>
      <c r="C475" s="278">
        <v>0</v>
      </c>
      <c r="D475" s="281">
        <v>0</v>
      </c>
      <c r="E475" s="279">
        <f t="shared" si="110"/>
        <v>0</v>
      </c>
      <c r="F475" s="280">
        <f t="shared" si="111"/>
        <v>0</v>
      </c>
      <c r="G475" s="71">
        <f t="shared" si="112"/>
        <v>0</v>
      </c>
      <c r="H475" s="71">
        <f>ROUND(F475*'Actual Load'!$B$24/'Zonal Load'!$N$24,2)</f>
        <v>0</v>
      </c>
      <c r="I475" s="71">
        <f t="shared" si="113"/>
        <v>0</v>
      </c>
      <c r="J475" s="71">
        <f t="shared" si="114"/>
        <v>0</v>
      </c>
      <c r="K475" s="71">
        <f t="shared" si="115"/>
        <v>0</v>
      </c>
      <c r="L475" s="204">
        <f>ROUND(E475*'Interest Over Collect '!$J$14,2)</f>
        <v>0</v>
      </c>
      <c r="M475" s="71">
        <f t="shared" si="117"/>
        <v>0</v>
      </c>
      <c r="N475" s="234"/>
      <c r="O475" s="286"/>
    </row>
    <row r="476" spans="1:15" s="87" customFormat="1">
      <c r="A476" s="23"/>
      <c r="B476" s="23" t="s">
        <v>29</v>
      </c>
      <c r="C476" s="278">
        <v>0</v>
      </c>
      <c r="D476" s="281">
        <v>0</v>
      </c>
      <c r="E476" s="279">
        <f t="shared" si="110"/>
        <v>0</v>
      </c>
      <c r="F476" s="280">
        <f t="shared" si="111"/>
        <v>0</v>
      </c>
      <c r="G476" s="71">
        <f t="shared" si="112"/>
        <v>0</v>
      </c>
      <c r="H476" s="71">
        <f>ROUND(F476*'Actual Load'!$B$5/'Zonal Load'!$N$5,2)</f>
        <v>0</v>
      </c>
      <c r="I476" s="71">
        <f t="shared" si="113"/>
        <v>0</v>
      </c>
      <c r="J476" s="71">
        <f t="shared" si="114"/>
        <v>0</v>
      </c>
      <c r="K476" s="71">
        <f t="shared" si="115"/>
        <v>0</v>
      </c>
      <c r="L476" s="204">
        <f>ROUND(E476*'Interest Over Collect '!$J$14,2)</f>
        <v>0</v>
      </c>
      <c r="M476" s="71">
        <f t="shared" si="117"/>
        <v>0</v>
      </c>
      <c r="N476" s="234"/>
      <c r="O476" s="286"/>
    </row>
    <row r="477" spans="1:15">
      <c r="A477" s="23"/>
      <c r="B477" s="23" t="s">
        <v>30</v>
      </c>
      <c r="C477" s="19">
        <v>0</v>
      </c>
      <c r="D477" s="20">
        <v>0</v>
      </c>
      <c r="E477" s="108">
        <v>1</v>
      </c>
      <c r="F477" s="105">
        <f t="shared" si="111"/>
        <v>73928.850000000006</v>
      </c>
      <c r="G477" s="71">
        <f>(F$485-F$486)*E477</f>
        <v>1320.8485788686812</v>
      </c>
      <c r="H477" s="89">
        <f>ROUND(F477*'Actual Load'!$B$21/'Zonal Load'!$N$21,2)</f>
        <v>75378.350000000006</v>
      </c>
      <c r="I477" s="21">
        <f t="shared" si="113"/>
        <v>77275</v>
      </c>
      <c r="J477" s="71">
        <f t="shared" si="114"/>
        <v>3346.1499999999942</v>
      </c>
      <c r="K477" s="71">
        <f t="shared" si="115"/>
        <v>4666.9985788686754</v>
      </c>
      <c r="L477" s="204">
        <f>ROUND(E477*'Interest Over Collect '!$J$14,2)</f>
        <v>1013.57</v>
      </c>
      <c r="M477" s="89">
        <f t="shared" si="117"/>
        <v>5680.5685788686751</v>
      </c>
      <c r="N477" s="234"/>
      <c r="O477"/>
    </row>
    <row r="478" spans="1:15">
      <c r="A478" s="23"/>
      <c r="B478" s="23" t="s">
        <v>31</v>
      </c>
      <c r="C478" s="19">
        <v>0</v>
      </c>
      <c r="D478" s="20">
        <v>0</v>
      </c>
      <c r="E478" s="108">
        <f>C478+D478</f>
        <v>0</v>
      </c>
      <c r="F478" s="105">
        <f t="shared" si="111"/>
        <v>0</v>
      </c>
      <c r="G478" s="71">
        <f>(F$401-F$402)*E478</f>
        <v>0</v>
      </c>
      <c r="H478" s="89">
        <f>ROUND(F478*'Actual Load'!$B$19/'Zonal Load'!$N$19,2)</f>
        <v>0</v>
      </c>
      <c r="I478" s="21">
        <f t="shared" si="113"/>
        <v>0</v>
      </c>
      <c r="J478" s="71">
        <f t="shared" si="114"/>
        <v>0</v>
      </c>
      <c r="K478" s="71">
        <f t="shared" si="115"/>
        <v>0</v>
      </c>
      <c r="L478" s="204">
        <f>ROUND(E478*'Interest Over Collect '!$J$14,2)</f>
        <v>0</v>
      </c>
      <c r="M478" s="89">
        <f t="shared" si="117"/>
        <v>0</v>
      </c>
      <c r="N478" s="234"/>
      <c r="O478"/>
    </row>
    <row r="479" spans="1:15">
      <c r="A479" s="23"/>
      <c r="B479" s="23" t="s">
        <v>32</v>
      </c>
      <c r="C479" s="19">
        <v>0</v>
      </c>
      <c r="D479" s="20">
        <v>0</v>
      </c>
      <c r="E479" s="108">
        <f>C479+D479</f>
        <v>0</v>
      </c>
      <c r="F479" s="105">
        <f t="shared" si="111"/>
        <v>0</v>
      </c>
      <c r="G479" s="71">
        <f>(F$401-F$402)*E479</f>
        <v>0</v>
      </c>
      <c r="H479" s="89">
        <f>ROUND(F479*'Actual Load'!$B$25/'Zonal Load'!$N$25,2)</f>
        <v>0</v>
      </c>
      <c r="I479" s="21">
        <f t="shared" si="113"/>
        <v>0</v>
      </c>
      <c r="J479" s="71">
        <f t="shared" si="114"/>
        <v>0</v>
      </c>
      <c r="K479" s="71">
        <f t="shared" si="115"/>
        <v>0</v>
      </c>
      <c r="L479" s="204">
        <f>ROUND(E479*'Interest Over Collect '!$J$14,2)</f>
        <v>0</v>
      </c>
      <c r="M479" s="89">
        <f t="shared" si="117"/>
        <v>0</v>
      </c>
      <c r="N479" s="234"/>
      <c r="O479"/>
    </row>
    <row r="480" spans="1:15">
      <c r="A480" s="23"/>
      <c r="B480" s="23" t="s">
        <v>33</v>
      </c>
      <c r="C480" s="19">
        <v>0</v>
      </c>
      <c r="D480" s="20">
        <v>0</v>
      </c>
      <c r="E480" s="108">
        <f>C480+D480</f>
        <v>0</v>
      </c>
      <c r="F480" s="105">
        <f t="shared" si="111"/>
        <v>0</v>
      </c>
      <c r="G480" s="71">
        <f>(F$401-F$402)*E480</f>
        <v>0</v>
      </c>
      <c r="H480" s="89">
        <f>ROUND(F480*'Actual Load'!$B$13/'Zonal Load'!$N$13,2)</f>
        <v>0</v>
      </c>
      <c r="I480" s="21">
        <f t="shared" si="113"/>
        <v>0</v>
      </c>
      <c r="J480" s="71">
        <f t="shared" si="114"/>
        <v>0</v>
      </c>
      <c r="K480" s="71">
        <f t="shared" si="115"/>
        <v>0</v>
      </c>
      <c r="L480" s="204">
        <f>ROUND(E480*'Interest Over Collect '!$J$14,2)</f>
        <v>0</v>
      </c>
      <c r="M480" s="89">
        <f>+K480+L480</f>
        <v>0</v>
      </c>
      <c r="N480" s="234"/>
      <c r="O480"/>
    </row>
    <row r="481" spans="1:15">
      <c r="A481" s="23"/>
      <c r="B481" s="23" t="s">
        <v>34</v>
      </c>
      <c r="C481" s="19">
        <v>0</v>
      </c>
      <c r="D481" s="20">
        <v>0</v>
      </c>
      <c r="E481" s="108">
        <f>C481+D481</f>
        <v>0</v>
      </c>
      <c r="F481" s="105">
        <f t="shared" si="111"/>
        <v>0</v>
      </c>
      <c r="G481" s="71">
        <f>(F$401-F$402)*E481</f>
        <v>0</v>
      </c>
      <c r="H481" s="89">
        <f>ROUND(F481*'Actual Load'!$B$23/'Zonal Load'!$N$23,2)</f>
        <v>0</v>
      </c>
      <c r="I481" s="21">
        <f t="shared" si="113"/>
        <v>0</v>
      </c>
      <c r="J481" s="71">
        <f t="shared" si="114"/>
        <v>0</v>
      </c>
      <c r="K481" s="71">
        <f t="shared" si="115"/>
        <v>0</v>
      </c>
      <c r="L481" s="204">
        <f>ROUND(E481*'Interest Over Collect '!$J$14,2)</f>
        <v>0</v>
      </c>
      <c r="M481" s="89">
        <f>+K481+L481</f>
        <v>0</v>
      </c>
      <c r="N481" s="234"/>
      <c r="O481"/>
    </row>
    <row r="482" spans="1:15">
      <c r="B482" s="24" t="s">
        <v>35</v>
      </c>
      <c r="C482" s="19">
        <v>0</v>
      </c>
      <c r="D482" s="20">
        <v>0</v>
      </c>
      <c r="E482" s="108">
        <f>C482+D482</f>
        <v>0</v>
      </c>
      <c r="F482" s="105">
        <f t="shared" si="111"/>
        <v>0</v>
      </c>
      <c r="G482" s="71">
        <f>(F$401-F$402)*E482</f>
        <v>0</v>
      </c>
      <c r="H482" s="89">
        <f>ROUND(F482*'Actual Load'!$B$20/'Zonal Load'!$N$20,2)</f>
        <v>0</v>
      </c>
      <c r="I482" s="21">
        <f t="shared" si="113"/>
        <v>0</v>
      </c>
      <c r="J482" s="71">
        <f t="shared" si="114"/>
        <v>0</v>
      </c>
      <c r="K482" s="71">
        <f t="shared" si="115"/>
        <v>0</v>
      </c>
      <c r="L482" s="204">
        <f>ROUND(E482*'Interest Over Collect '!$J$14,2)</f>
        <v>0</v>
      </c>
      <c r="M482" s="89">
        <f>+K482+L482</f>
        <v>0</v>
      </c>
      <c r="N482" s="234"/>
      <c r="O482"/>
    </row>
    <row r="483" spans="1:15">
      <c r="B483" s="25"/>
      <c r="C483" s="26">
        <f>SUM(C459:C482)</f>
        <v>0</v>
      </c>
      <c r="D483" s="27">
        <f>SUM(D459:D482)</f>
        <v>0</v>
      </c>
      <c r="E483" s="107">
        <f>SUM(E459:E482)</f>
        <v>1</v>
      </c>
      <c r="F483" s="101">
        <f>SUM(F459:F482)</f>
        <v>73928.850000000006</v>
      </c>
      <c r="G483" s="84">
        <f t="shared" ref="G483:M483" si="118">SUM(G461:G482)</f>
        <v>1320.8485788686812</v>
      </c>
      <c r="H483" s="146">
        <f t="shared" si="118"/>
        <v>75378.350000000006</v>
      </c>
      <c r="I483" s="85">
        <f t="shared" si="118"/>
        <v>77275</v>
      </c>
      <c r="J483" s="85">
        <f t="shared" si="118"/>
        <v>3346.1499999999942</v>
      </c>
      <c r="K483" s="163">
        <f t="shared" si="118"/>
        <v>4666.9985788686754</v>
      </c>
      <c r="L483" s="85">
        <f t="shared" si="118"/>
        <v>1013.57</v>
      </c>
      <c r="M483" s="85">
        <f t="shared" si="118"/>
        <v>5680.5685788686751</v>
      </c>
      <c r="N483" s="234"/>
      <c r="O483"/>
    </row>
    <row r="484" spans="1:15">
      <c r="G484" s="21"/>
      <c r="I484" s="86"/>
      <c r="N484" s="234"/>
      <c r="O484"/>
    </row>
    <row r="485" spans="1:15">
      <c r="E485" s="102" t="str">
        <f>$E$73</f>
        <v>2013 Estimated Revenue Requirement</v>
      </c>
      <c r="F485" s="201">
        <v>73928.84937886869</v>
      </c>
      <c r="N485" s="234"/>
      <c r="O485"/>
    </row>
    <row r="486" spans="1:15">
      <c r="E486" s="103" t="str">
        <f>$E$74</f>
        <v>2013 Rev Requirement Act</v>
      </c>
      <c r="F486" s="202">
        <v>72608.000800000009</v>
      </c>
      <c r="H486" s="147"/>
      <c r="I486" s="29"/>
      <c r="L486" s="90"/>
      <c r="N486" s="234"/>
      <c r="O486"/>
    </row>
    <row r="487" spans="1:15">
      <c r="E487" s="103" t="str">
        <f>$E$75</f>
        <v>Actual Revenue Booked</v>
      </c>
      <c r="F487" s="210">
        <f>I483</f>
        <v>77275</v>
      </c>
      <c r="N487" s="234"/>
      <c r="O487"/>
    </row>
    <row r="488" spans="1:15">
      <c r="B488" s="156"/>
      <c r="C488" s="156"/>
      <c r="D488" s="157"/>
      <c r="E488" s="157"/>
      <c r="F488" s="157"/>
      <c r="G488" s="157"/>
      <c r="H488" s="157"/>
      <c r="I488" s="157"/>
      <c r="J488" s="154"/>
      <c r="K488"/>
      <c r="L488"/>
      <c r="M488"/>
      <c r="N488" s="234"/>
      <c r="O488"/>
    </row>
    <row r="489" spans="1:15">
      <c r="B489" s="88"/>
      <c r="C489" s="88"/>
      <c r="D489" s="88"/>
      <c r="E489" s="88"/>
      <c r="F489" s="88"/>
      <c r="G489" s="88"/>
      <c r="H489" s="88"/>
      <c r="I489" s="88"/>
      <c r="J489" s="119"/>
      <c r="K489" s="88"/>
      <c r="L489" s="88"/>
      <c r="M489" s="88"/>
    </row>
    <row r="490" spans="1:15">
      <c r="L490" s="87"/>
    </row>
    <row r="491" spans="1:15">
      <c r="B491" s="543" t="s">
        <v>0</v>
      </c>
      <c r="C491" s="521"/>
      <c r="D491" s="537" t="s">
        <v>194</v>
      </c>
      <c r="E491" s="538"/>
      <c r="F491" s="538"/>
      <c r="G491" s="538"/>
      <c r="H491" s="539"/>
      <c r="I491" s="158"/>
      <c r="J491" s="1"/>
    </row>
    <row r="492" spans="1:15">
      <c r="B492" s="535" t="s">
        <v>2</v>
      </c>
      <c r="C492" s="524"/>
      <c r="D492" s="540" t="s">
        <v>195</v>
      </c>
      <c r="E492" s="541"/>
      <c r="F492" s="541"/>
      <c r="G492" s="541"/>
      <c r="H492" s="542"/>
      <c r="I492" s="159"/>
      <c r="J492" s="1"/>
    </row>
    <row r="493" spans="1:15">
      <c r="B493" s="535" t="s">
        <v>4</v>
      </c>
      <c r="C493" s="524"/>
      <c r="D493" s="544"/>
      <c r="E493" s="545"/>
      <c r="F493" s="545"/>
      <c r="G493" s="545"/>
      <c r="H493" s="546"/>
      <c r="I493" s="160"/>
      <c r="J493" s="1"/>
    </row>
    <row r="494" spans="1:15">
      <c r="B494" s="553" t="s">
        <v>6</v>
      </c>
      <c r="C494" s="554"/>
      <c r="D494" s="564" t="s">
        <v>30</v>
      </c>
      <c r="E494" s="565"/>
      <c r="F494" s="565"/>
      <c r="G494" s="565"/>
      <c r="H494" s="566"/>
      <c r="I494" s="161"/>
      <c r="J494" s="1"/>
    </row>
    <row r="495" spans="1:15">
      <c r="B495" s="82"/>
      <c r="C495" s="82"/>
      <c r="D495" s="82"/>
      <c r="E495" s="82"/>
      <c r="F495" s="82"/>
      <c r="J495" s="113" t="s">
        <v>163</v>
      </c>
      <c r="K495" s="3" t="s">
        <v>42</v>
      </c>
      <c r="M495" s="3" t="s">
        <v>56</v>
      </c>
    </row>
    <row r="496" spans="1:15">
      <c r="B496" s="82"/>
      <c r="C496" s="82"/>
      <c r="D496" s="82"/>
      <c r="E496" s="82"/>
      <c r="F496" s="82"/>
      <c r="G496" s="3" t="s">
        <v>39</v>
      </c>
      <c r="H496" s="142" t="s">
        <v>40</v>
      </c>
      <c r="I496" s="104" t="s">
        <v>41</v>
      </c>
      <c r="J496" s="114" t="s">
        <v>164</v>
      </c>
      <c r="K496" s="4" t="s">
        <v>165</v>
      </c>
      <c r="L496" s="4" t="s">
        <v>55</v>
      </c>
      <c r="M496" s="4" t="s">
        <v>166</v>
      </c>
      <c r="N496" s="233"/>
    </row>
    <row r="497" spans="2:14">
      <c r="B497" s="82"/>
      <c r="C497" s="82"/>
      <c r="D497" s="82"/>
      <c r="E497" s="82"/>
      <c r="F497" s="82"/>
      <c r="G497" s="5"/>
      <c r="H497" s="527" t="s">
        <v>43</v>
      </c>
      <c r="I497" s="528"/>
      <c r="J497" s="529"/>
      <c r="K497" s="6" t="s">
        <v>44</v>
      </c>
      <c r="L497" s="5"/>
      <c r="M497" s="6" t="s">
        <v>45</v>
      </c>
      <c r="N497" s="233"/>
    </row>
    <row r="498" spans="2:14">
      <c r="B498" s="83"/>
      <c r="C498" s="7">
        <v>0.2</v>
      </c>
      <c r="D498" s="7">
        <v>0.8</v>
      </c>
      <c r="E498" s="7"/>
      <c r="F498" s="98" t="s">
        <v>162</v>
      </c>
      <c r="G498" s="8" t="s">
        <v>46</v>
      </c>
      <c r="H498" s="143"/>
      <c r="I498" s="5"/>
      <c r="J498" s="115" t="s">
        <v>47</v>
      </c>
      <c r="K498" s="8" t="s">
        <v>48</v>
      </c>
      <c r="L498" s="9"/>
      <c r="M498" s="8" t="s">
        <v>49</v>
      </c>
    </row>
    <row r="499" spans="2:14">
      <c r="B499" s="10"/>
      <c r="C499" s="75" t="s">
        <v>9</v>
      </c>
      <c r="D499" s="75" t="s">
        <v>10</v>
      </c>
      <c r="E499" s="75" t="s">
        <v>11</v>
      </c>
      <c r="F499" s="99" t="s">
        <v>8</v>
      </c>
      <c r="G499" s="11" t="s">
        <v>50</v>
      </c>
      <c r="H499" s="144" t="s">
        <v>51</v>
      </c>
      <c r="I499" s="12" t="s">
        <v>159</v>
      </c>
      <c r="J499" s="116" t="s">
        <v>50</v>
      </c>
      <c r="K499" s="12" t="s">
        <v>50</v>
      </c>
      <c r="L499" s="12" t="s">
        <v>52</v>
      </c>
      <c r="M499" s="12" t="s">
        <v>53</v>
      </c>
    </row>
    <row r="500" spans="2:14" ht="31.5">
      <c r="B500" s="13" t="s">
        <v>13</v>
      </c>
      <c r="C500" s="14" t="s">
        <v>14</v>
      </c>
      <c r="D500" s="14" t="s">
        <v>14</v>
      </c>
      <c r="E500" s="15" t="s">
        <v>14</v>
      </c>
      <c r="F500" s="100" t="s">
        <v>15</v>
      </c>
      <c r="G500" s="16" t="s">
        <v>54</v>
      </c>
      <c r="H500" s="145"/>
      <c r="I500" s="17"/>
      <c r="J500" s="117" t="s">
        <v>54</v>
      </c>
      <c r="K500" s="17"/>
      <c r="L500" s="17"/>
      <c r="M500" s="16" t="s">
        <v>54</v>
      </c>
    </row>
    <row r="501" spans="2:14" s="87" customFormat="1">
      <c r="B501" s="18" t="s">
        <v>16</v>
      </c>
      <c r="C501" s="278">
        <v>0</v>
      </c>
      <c r="D501" s="281">
        <v>0</v>
      </c>
      <c r="E501" s="279">
        <v>0</v>
      </c>
      <c r="F501" s="282">
        <f t="shared" ref="F501:F524" si="119">ROUND(+E501*F$527,2)</f>
        <v>0</v>
      </c>
      <c r="G501" s="203">
        <f>(F$527-F$528)*E501</f>
        <v>0</v>
      </c>
      <c r="H501" s="71">
        <f>ROUND(F501*'Actual Load'!$B$8/'Zonal Load'!$N$8,2)</f>
        <v>0</v>
      </c>
      <c r="I501" s="71">
        <f t="shared" ref="I501:I524" si="120">ROUND((H501*$H$708)/$H$706,2)</f>
        <v>0</v>
      </c>
      <c r="J501" s="71">
        <f t="shared" ref="J501:J524" si="121">I501-F501</f>
        <v>0</v>
      </c>
      <c r="K501" s="71">
        <f t="shared" ref="K501:K524" si="122">+G501+J501</f>
        <v>0</v>
      </c>
      <c r="L501" s="204">
        <f>ROUND(E501*'Interest Over Collect '!$J$15,2)</f>
        <v>0</v>
      </c>
      <c r="M501" s="71">
        <f t="shared" ref="M501:M508" si="123">+K501+L501</f>
        <v>0</v>
      </c>
      <c r="N501" s="92"/>
    </row>
    <row r="502" spans="2:14" s="87" customFormat="1">
      <c r="B502" s="23" t="s">
        <v>17</v>
      </c>
      <c r="C502" s="278">
        <v>0</v>
      </c>
      <c r="D502" s="281">
        <v>0</v>
      </c>
      <c r="E502" s="279">
        <v>0</v>
      </c>
      <c r="F502" s="280">
        <f t="shared" si="119"/>
        <v>0</v>
      </c>
      <c r="G502" s="203">
        <f t="shared" ref="G502:G524" si="124">(F$527-F$528)*E502</f>
        <v>0</v>
      </c>
      <c r="H502" s="71">
        <f>ROUND(F502*'Actual Load'!$B$14/'Zonal Load'!$N$14,2)</f>
        <v>0</v>
      </c>
      <c r="I502" s="71">
        <f t="shared" si="120"/>
        <v>0</v>
      </c>
      <c r="J502" s="71">
        <f t="shared" si="121"/>
        <v>0</v>
      </c>
      <c r="K502" s="71">
        <f t="shared" si="122"/>
        <v>0</v>
      </c>
      <c r="L502" s="204">
        <f>ROUND(E502*'Interest Over Collect '!$J$15,2)</f>
        <v>0</v>
      </c>
      <c r="M502" s="71">
        <f t="shared" si="123"/>
        <v>0</v>
      </c>
      <c r="N502" s="92"/>
    </row>
    <row r="503" spans="2:14" s="87" customFormat="1">
      <c r="B503" s="23" t="s">
        <v>201</v>
      </c>
      <c r="C503" s="278">
        <f>0%*0.421</f>
        <v>0</v>
      </c>
      <c r="D503" s="281">
        <f>0%*0.421</f>
        <v>0</v>
      </c>
      <c r="E503" s="279">
        <v>0</v>
      </c>
      <c r="F503" s="280">
        <f t="shared" si="119"/>
        <v>0</v>
      </c>
      <c r="G503" s="203">
        <f t="shared" si="124"/>
        <v>0</v>
      </c>
      <c r="H503" s="71">
        <f>ROUND(F503*'Actual Load'!$B$9/'Zonal Load'!$N$9,2)</f>
        <v>0</v>
      </c>
      <c r="I503" s="71">
        <f t="shared" si="120"/>
        <v>0</v>
      </c>
      <c r="J503" s="71">
        <f t="shared" si="121"/>
        <v>0</v>
      </c>
      <c r="K503" s="71">
        <f t="shared" si="122"/>
        <v>0</v>
      </c>
      <c r="L503" s="204">
        <f>ROUND(E503*'Interest Over Collect '!$J$15,2)</f>
        <v>0</v>
      </c>
      <c r="M503" s="71">
        <f t="shared" si="123"/>
        <v>0</v>
      </c>
      <c r="N503" s="92"/>
    </row>
    <row r="504" spans="2:14" s="87" customFormat="1">
      <c r="B504" s="140" t="s">
        <v>260</v>
      </c>
      <c r="C504" s="278">
        <f>0%*0.579</f>
        <v>0</v>
      </c>
      <c r="D504" s="281">
        <f>0%*0.579</f>
        <v>0</v>
      </c>
      <c r="E504" s="279">
        <v>0</v>
      </c>
      <c r="F504" s="280">
        <f t="shared" si="119"/>
        <v>0</v>
      </c>
      <c r="G504" s="203">
        <f>(F$527-F$528)*E504</f>
        <v>0</v>
      </c>
      <c r="H504" s="71">
        <f>ROUND(F504*'Actual Load'!$B$10/'Zonal Load'!$N$10,2)</f>
        <v>0</v>
      </c>
      <c r="I504" s="71">
        <f t="shared" si="120"/>
        <v>0</v>
      </c>
      <c r="J504" s="71">
        <f>I504-F504</f>
        <v>0</v>
      </c>
      <c r="K504" s="71">
        <f>+G504+J504</f>
        <v>0</v>
      </c>
      <c r="L504" s="204">
        <f>ROUND(E504*'Interest Over Collect '!$J$15,2)</f>
        <v>0</v>
      </c>
      <c r="M504" s="71">
        <f>+K504+L504</f>
        <v>0</v>
      </c>
      <c r="N504" s="92"/>
    </row>
    <row r="505" spans="2:14" s="87" customFormat="1">
      <c r="B505" s="23" t="s">
        <v>18</v>
      </c>
      <c r="C505" s="278">
        <v>0</v>
      </c>
      <c r="D505" s="281">
        <v>0</v>
      </c>
      <c r="E505" s="279">
        <v>0</v>
      </c>
      <c r="F505" s="280">
        <f t="shared" si="119"/>
        <v>0</v>
      </c>
      <c r="G505" s="203">
        <f t="shared" si="124"/>
        <v>0</v>
      </c>
      <c r="H505" s="71">
        <f>ROUND(F505*'Actual Load'!$B$26/'Zonal Load'!$N$26,2)</f>
        <v>0</v>
      </c>
      <c r="I505" s="71">
        <f t="shared" si="120"/>
        <v>0</v>
      </c>
      <c r="J505" s="71">
        <f t="shared" si="121"/>
        <v>0</v>
      </c>
      <c r="K505" s="71">
        <f t="shared" si="122"/>
        <v>0</v>
      </c>
      <c r="L505" s="204">
        <f>ROUND(E505*'Interest Over Collect '!$J$15,2)</f>
        <v>0</v>
      </c>
      <c r="M505" s="71">
        <f t="shared" si="123"/>
        <v>0</v>
      </c>
      <c r="N505" s="92"/>
    </row>
    <row r="506" spans="2:14" s="87" customFormat="1">
      <c r="B506" s="23" t="s">
        <v>19</v>
      </c>
      <c r="C506" s="278">
        <v>0</v>
      </c>
      <c r="D506" s="281">
        <v>0</v>
      </c>
      <c r="E506" s="279">
        <v>0</v>
      </c>
      <c r="F506" s="280">
        <f t="shared" si="119"/>
        <v>0</v>
      </c>
      <c r="G506" s="203">
        <f t="shared" si="124"/>
        <v>0</v>
      </c>
      <c r="H506" s="71">
        <f>ROUND(F506*'Actual Load'!$B$16/'Zonal Load'!$N$16,2)</f>
        <v>0</v>
      </c>
      <c r="I506" s="71">
        <f t="shared" si="120"/>
        <v>0</v>
      </c>
      <c r="J506" s="71">
        <f t="shared" si="121"/>
        <v>0</v>
      </c>
      <c r="K506" s="71">
        <f t="shared" si="122"/>
        <v>0</v>
      </c>
      <c r="L506" s="204">
        <f>ROUND(E506*'Interest Over Collect '!$J$15,2)</f>
        <v>0</v>
      </c>
      <c r="M506" s="71">
        <f t="shared" si="123"/>
        <v>0</v>
      </c>
      <c r="N506" s="92"/>
    </row>
    <row r="507" spans="2:14" s="87" customFormat="1">
      <c r="B507" s="23" t="s">
        <v>20</v>
      </c>
      <c r="C507" s="278">
        <v>0</v>
      </c>
      <c r="D507" s="281">
        <v>0</v>
      </c>
      <c r="E507" s="279">
        <v>0</v>
      </c>
      <c r="F507" s="280">
        <f t="shared" si="119"/>
        <v>0</v>
      </c>
      <c r="G507" s="203">
        <f t="shared" si="124"/>
        <v>0</v>
      </c>
      <c r="H507" s="71">
        <f>ROUND(F507*'Actual Load'!$B$22/'Zonal Load'!$N$22,2)</f>
        <v>0</v>
      </c>
      <c r="I507" s="71">
        <f t="shared" si="120"/>
        <v>0</v>
      </c>
      <c r="J507" s="71">
        <f t="shared" si="121"/>
        <v>0</v>
      </c>
      <c r="K507" s="71">
        <f t="shared" si="122"/>
        <v>0</v>
      </c>
      <c r="L507" s="204">
        <f>ROUND(E507*'Interest Over Collect '!$J$15,2)</f>
        <v>0</v>
      </c>
      <c r="M507" s="71">
        <f t="shared" si="123"/>
        <v>0</v>
      </c>
      <c r="N507" s="92"/>
    </row>
    <row r="508" spans="2:14" s="87" customFormat="1">
      <c r="B508" s="23" t="s">
        <v>21</v>
      </c>
      <c r="C508" s="278">
        <v>0</v>
      </c>
      <c r="D508" s="281">
        <v>0</v>
      </c>
      <c r="E508" s="279">
        <v>0</v>
      </c>
      <c r="F508" s="280">
        <f t="shared" si="119"/>
        <v>0</v>
      </c>
      <c r="G508" s="203">
        <f t="shared" si="124"/>
        <v>0</v>
      </c>
      <c r="H508" s="71">
        <f>ROUND(F508*'Actual Load'!$B$17/'Zonal Load'!$N$17,2)</f>
        <v>0</v>
      </c>
      <c r="I508" s="71">
        <f t="shared" si="120"/>
        <v>0</v>
      </c>
      <c r="J508" s="71">
        <f t="shared" si="121"/>
        <v>0</v>
      </c>
      <c r="K508" s="71">
        <f t="shared" si="122"/>
        <v>0</v>
      </c>
      <c r="L508" s="204">
        <f>ROUND(E508*'Interest Over Collect '!$J$15,2)</f>
        <v>0</v>
      </c>
      <c r="M508" s="71">
        <f t="shared" si="123"/>
        <v>0</v>
      </c>
      <c r="N508" s="92"/>
    </row>
    <row r="509" spans="2:14" s="87" customFormat="1">
      <c r="B509" s="23" t="s">
        <v>22</v>
      </c>
      <c r="C509" s="278">
        <v>0</v>
      </c>
      <c r="D509" s="281">
        <v>0</v>
      </c>
      <c r="E509" s="279">
        <v>0</v>
      </c>
      <c r="F509" s="280">
        <f t="shared" si="119"/>
        <v>0</v>
      </c>
      <c r="G509" s="203">
        <f t="shared" si="124"/>
        <v>0</v>
      </c>
      <c r="H509" s="71">
        <f>ROUND(F509*'Actual Load'!$B$15/'Zonal Load'!$N$15,2)</f>
        <v>0</v>
      </c>
      <c r="I509" s="71">
        <f t="shared" si="120"/>
        <v>0</v>
      </c>
      <c r="J509" s="71">
        <f t="shared" si="121"/>
        <v>0</v>
      </c>
      <c r="K509" s="71">
        <f t="shared" si="122"/>
        <v>0</v>
      </c>
      <c r="L509" s="204">
        <f>ROUND(E509*'Interest Over Collect '!$J$15,2)</f>
        <v>0</v>
      </c>
      <c r="M509" s="71">
        <f>+K509+L509</f>
        <v>0</v>
      </c>
      <c r="N509" s="92"/>
    </row>
    <row r="510" spans="2:14" s="87" customFormat="1">
      <c r="B510" s="23" t="s">
        <v>23</v>
      </c>
      <c r="C510" s="278">
        <v>0</v>
      </c>
      <c r="D510" s="281">
        <v>0</v>
      </c>
      <c r="E510" s="279">
        <v>0.27721319624647683</v>
      </c>
      <c r="F510" s="280">
        <f t="shared" si="119"/>
        <v>197722.91</v>
      </c>
      <c r="G510" s="203">
        <f t="shared" si="124"/>
        <v>15483.573076373432</v>
      </c>
      <c r="H510" s="71">
        <f>ROUND(F510*'Actual Load'!$B$4/'Zonal Load'!$N$4,2)</f>
        <v>198532.34</v>
      </c>
      <c r="I510" s="71">
        <f t="shared" si="120"/>
        <v>203527.76</v>
      </c>
      <c r="J510" s="71">
        <f t="shared" si="121"/>
        <v>5804.8500000000058</v>
      </c>
      <c r="K510" s="71">
        <f t="shared" si="122"/>
        <v>21288.423076373438</v>
      </c>
      <c r="L510" s="204">
        <f>ROUND(E510*'Interest Over Collect '!$J$15,2)</f>
        <v>2710.79</v>
      </c>
      <c r="M510" s="71">
        <f t="shared" ref="M510:M521" si="125">+K510+L510</f>
        <v>23999.213076373439</v>
      </c>
      <c r="N510" s="92"/>
    </row>
    <row r="511" spans="2:14" s="87" customFormat="1">
      <c r="B511" s="23" t="s">
        <v>24</v>
      </c>
      <c r="C511" s="278">
        <v>0</v>
      </c>
      <c r="D511" s="281">
        <v>0</v>
      </c>
      <c r="E511" s="279">
        <v>0</v>
      </c>
      <c r="F511" s="280">
        <f t="shared" si="119"/>
        <v>0</v>
      </c>
      <c r="G511" s="203">
        <f t="shared" si="124"/>
        <v>0</v>
      </c>
      <c r="H511" s="71">
        <f>ROUND(F511*'Actual Load'!$B$11/'Zonal Load'!$N$11,2)</f>
        <v>0</v>
      </c>
      <c r="I511" s="71">
        <f t="shared" si="120"/>
        <v>0</v>
      </c>
      <c r="J511" s="71">
        <f t="shared" si="121"/>
        <v>0</v>
      </c>
      <c r="K511" s="71">
        <f t="shared" si="122"/>
        <v>0</v>
      </c>
      <c r="L511" s="204">
        <f>ROUND(E511*'Interest Over Collect '!$J$15,2)</f>
        <v>0</v>
      </c>
      <c r="M511" s="71">
        <f t="shared" si="125"/>
        <v>0</v>
      </c>
      <c r="N511" s="92"/>
    </row>
    <row r="512" spans="2:14" s="87" customFormat="1">
      <c r="B512" s="23" t="s">
        <v>26</v>
      </c>
      <c r="C512" s="278">
        <v>0</v>
      </c>
      <c r="D512" s="281">
        <v>0</v>
      </c>
      <c r="E512" s="279">
        <v>0</v>
      </c>
      <c r="F512" s="280">
        <f t="shared" si="119"/>
        <v>0</v>
      </c>
      <c r="G512" s="203">
        <f t="shared" si="124"/>
        <v>0</v>
      </c>
      <c r="H512" s="71">
        <f>ROUND(F512*'Actual Load'!$B$7/'Zonal Load'!$N$7,2)</f>
        <v>0</v>
      </c>
      <c r="I512" s="71">
        <f t="shared" si="120"/>
        <v>0</v>
      </c>
      <c r="J512" s="71">
        <f t="shared" si="121"/>
        <v>0</v>
      </c>
      <c r="K512" s="71">
        <f t="shared" si="122"/>
        <v>0</v>
      </c>
      <c r="L512" s="204">
        <f>ROUND(E512*'Interest Over Collect '!$J$15,2)</f>
        <v>0</v>
      </c>
      <c r="M512" s="71">
        <f t="shared" si="125"/>
        <v>0</v>
      </c>
      <c r="N512" s="92"/>
    </row>
    <row r="513" spans="1:14" s="87" customFormat="1">
      <c r="B513" s="23" t="s">
        <v>25</v>
      </c>
      <c r="C513" s="278">
        <v>0</v>
      </c>
      <c r="D513" s="281">
        <v>0</v>
      </c>
      <c r="E513" s="279">
        <v>0</v>
      </c>
      <c r="F513" s="280">
        <f t="shared" si="119"/>
        <v>0</v>
      </c>
      <c r="G513" s="203">
        <f t="shared" si="124"/>
        <v>0</v>
      </c>
      <c r="H513" s="71">
        <f>ROUND(F513*'Actual Load'!$B$6/'Zonal Load'!$N$6,2)</f>
        <v>0</v>
      </c>
      <c r="I513" s="71">
        <f t="shared" si="120"/>
        <v>0</v>
      </c>
      <c r="J513" s="71">
        <f t="shared" si="121"/>
        <v>0</v>
      </c>
      <c r="K513" s="71">
        <f t="shared" si="122"/>
        <v>0</v>
      </c>
      <c r="L513" s="204">
        <f>ROUND(E513*'Interest Over Collect '!$J$15,2)</f>
        <v>0</v>
      </c>
      <c r="M513" s="71">
        <f t="shared" si="125"/>
        <v>0</v>
      </c>
      <c r="N513" s="92"/>
    </row>
    <row r="514" spans="1:14" s="87" customFormat="1">
      <c r="B514" s="23" t="s">
        <v>119</v>
      </c>
      <c r="C514" s="278">
        <v>0</v>
      </c>
      <c r="D514" s="281">
        <v>0</v>
      </c>
      <c r="E514" s="279">
        <v>0</v>
      </c>
      <c r="F514" s="280">
        <f t="shared" si="119"/>
        <v>0</v>
      </c>
      <c r="G514" s="203">
        <f t="shared" si="124"/>
        <v>0</v>
      </c>
      <c r="H514" s="71">
        <f>ROUND(F514*'Actual Load'!$B$18/'Zonal Load'!$N$18,2)</f>
        <v>0</v>
      </c>
      <c r="I514" s="71">
        <f t="shared" si="120"/>
        <v>0</v>
      </c>
      <c r="J514" s="71">
        <f t="shared" si="121"/>
        <v>0</v>
      </c>
      <c r="K514" s="71">
        <f t="shared" si="122"/>
        <v>0</v>
      </c>
      <c r="L514" s="204">
        <f>ROUND(E514*'Interest Over Collect '!$J$15,2)</f>
        <v>0</v>
      </c>
      <c r="M514" s="71">
        <f t="shared" si="125"/>
        <v>0</v>
      </c>
      <c r="N514" s="92"/>
    </row>
    <row r="515" spans="1:14" s="87" customFormat="1">
      <c r="B515" s="23" t="s">
        <v>120</v>
      </c>
      <c r="C515" s="278">
        <v>0</v>
      </c>
      <c r="D515" s="281">
        <v>0</v>
      </c>
      <c r="E515" s="279">
        <v>0</v>
      </c>
      <c r="F515" s="280">
        <f t="shared" si="119"/>
        <v>0</v>
      </c>
      <c r="G515" s="203">
        <f t="shared" si="124"/>
        <v>0</v>
      </c>
      <c r="H515" s="71">
        <f>ROUND(F515*'Actual Load'!$B$17/'Zonal Load'!$N$17,2)</f>
        <v>0</v>
      </c>
      <c r="I515" s="71">
        <f t="shared" si="120"/>
        <v>0</v>
      </c>
      <c r="J515" s="71">
        <f t="shared" si="121"/>
        <v>0</v>
      </c>
      <c r="K515" s="71">
        <f t="shared" si="122"/>
        <v>0</v>
      </c>
      <c r="L515" s="204">
        <f>ROUND(E515*'Interest Over Collect '!$J$15,2)</f>
        <v>0</v>
      </c>
      <c r="M515" s="71">
        <f t="shared" si="125"/>
        <v>0</v>
      </c>
      <c r="N515" s="92"/>
    </row>
    <row r="516" spans="1:14" s="87" customFormat="1">
      <c r="A516" s="23"/>
      <c r="B516" s="23" t="s">
        <v>27</v>
      </c>
      <c r="C516" s="278">
        <v>0</v>
      </c>
      <c r="D516" s="281">
        <v>0</v>
      </c>
      <c r="E516" s="279">
        <v>0</v>
      </c>
      <c r="F516" s="280">
        <f t="shared" si="119"/>
        <v>0</v>
      </c>
      <c r="G516" s="203">
        <f t="shared" si="124"/>
        <v>0</v>
      </c>
      <c r="H516" s="71">
        <f>ROUND(F516*'Actual Load'!$B$12/'Zonal Load'!$N$12,2)</f>
        <v>0</v>
      </c>
      <c r="I516" s="71">
        <f t="shared" si="120"/>
        <v>0</v>
      </c>
      <c r="J516" s="71">
        <f t="shared" si="121"/>
        <v>0</v>
      </c>
      <c r="K516" s="71">
        <f t="shared" si="122"/>
        <v>0</v>
      </c>
      <c r="L516" s="204">
        <f>ROUND(E516*'Interest Over Collect '!$J$15,2)</f>
        <v>0</v>
      </c>
      <c r="M516" s="71">
        <f t="shared" si="125"/>
        <v>0</v>
      </c>
      <c r="N516" s="92"/>
    </row>
    <row r="517" spans="1:14">
      <c r="A517" s="23"/>
      <c r="B517" s="23" t="s">
        <v>28</v>
      </c>
      <c r="C517" s="19">
        <v>0</v>
      </c>
      <c r="D517" s="20">
        <v>0</v>
      </c>
      <c r="E517" s="108">
        <v>0</v>
      </c>
      <c r="F517" s="105">
        <f t="shared" si="119"/>
        <v>0</v>
      </c>
      <c r="G517" s="203">
        <f t="shared" si="124"/>
        <v>0</v>
      </c>
      <c r="H517" s="89">
        <f>ROUND(F517*'Actual Load'!$B$24/'Zonal Load'!$N$24,2)</f>
        <v>0</v>
      </c>
      <c r="I517" s="21">
        <f t="shared" si="120"/>
        <v>0</v>
      </c>
      <c r="J517" s="71">
        <f t="shared" si="121"/>
        <v>0</v>
      </c>
      <c r="K517" s="71">
        <f t="shared" si="122"/>
        <v>0</v>
      </c>
      <c r="L517" s="204">
        <f>ROUND(E517*'Interest Over Collect '!$J$15,2)</f>
        <v>0</v>
      </c>
      <c r="M517" s="89">
        <f t="shared" si="125"/>
        <v>0</v>
      </c>
    </row>
    <row r="518" spans="1:14">
      <c r="A518" s="23"/>
      <c r="B518" s="23" t="s">
        <v>29</v>
      </c>
      <c r="C518" s="19">
        <v>0</v>
      </c>
      <c r="D518" s="20">
        <v>0</v>
      </c>
      <c r="E518" s="108">
        <v>8.4089508733094145E-3</v>
      </c>
      <c r="F518" s="105">
        <f t="shared" si="119"/>
        <v>5997.7</v>
      </c>
      <c r="G518" s="203">
        <f t="shared" si="124"/>
        <v>469.67679427048654</v>
      </c>
      <c r="H518" s="89">
        <f>ROUND(F518*'Actual Load'!$B$5/'Zonal Load'!$N$5,2)</f>
        <v>6555.67</v>
      </c>
      <c r="I518" s="21">
        <f t="shared" si="120"/>
        <v>6720.62</v>
      </c>
      <c r="J518" s="71">
        <f t="shared" si="121"/>
        <v>722.92000000000007</v>
      </c>
      <c r="K518" s="71">
        <f t="shared" si="122"/>
        <v>1192.5967942704865</v>
      </c>
      <c r="L518" s="204">
        <f>ROUND(E518*'Interest Over Collect '!$J$15,2)</f>
        <v>82.23</v>
      </c>
      <c r="M518" s="89">
        <f t="shared" si="125"/>
        <v>1274.8267942704865</v>
      </c>
    </row>
    <row r="519" spans="1:14">
      <c r="A519" s="23"/>
      <c r="B519" s="23" t="s">
        <v>30</v>
      </c>
      <c r="C519" s="19">
        <v>0</v>
      </c>
      <c r="D519" s="20">
        <v>0</v>
      </c>
      <c r="E519" s="108">
        <v>0.56719385206301198</v>
      </c>
      <c r="F519" s="105">
        <f t="shared" si="119"/>
        <v>404552.23</v>
      </c>
      <c r="G519" s="203">
        <f t="shared" si="124"/>
        <v>31680.264777434822</v>
      </c>
      <c r="H519" s="89">
        <f>ROUND(F519*'Actual Load'!$B$21/'Zonal Load'!$N$21,2)</f>
        <v>412484.14</v>
      </c>
      <c r="I519" s="21">
        <f t="shared" si="120"/>
        <v>422862.97</v>
      </c>
      <c r="J519" s="71">
        <f t="shared" si="121"/>
        <v>18310.739999999991</v>
      </c>
      <c r="K519" s="71">
        <f t="shared" si="122"/>
        <v>49991.004777434813</v>
      </c>
      <c r="L519" s="204">
        <f>ROUND(E519*'Interest Over Collect '!$J$15,2)</f>
        <v>5546.44</v>
      </c>
      <c r="M519" s="89">
        <f t="shared" si="125"/>
        <v>55537.444777434815</v>
      </c>
    </row>
    <row r="520" spans="1:14">
      <c r="A520" s="23"/>
      <c r="B520" s="23" t="s">
        <v>31</v>
      </c>
      <c r="C520" s="19">
        <v>0</v>
      </c>
      <c r="D520" s="20">
        <v>0</v>
      </c>
      <c r="E520" s="108">
        <v>0</v>
      </c>
      <c r="F520" s="105">
        <f t="shared" si="119"/>
        <v>0</v>
      </c>
      <c r="G520" s="203">
        <f t="shared" si="124"/>
        <v>0</v>
      </c>
      <c r="H520" s="89">
        <f>ROUND(F520*'Actual Load'!$B$19/'Zonal Load'!$N$19,2)</f>
        <v>0</v>
      </c>
      <c r="I520" s="21">
        <f t="shared" si="120"/>
        <v>0</v>
      </c>
      <c r="J520" s="71">
        <f t="shared" si="121"/>
        <v>0</v>
      </c>
      <c r="K520" s="71">
        <f t="shared" si="122"/>
        <v>0</v>
      </c>
      <c r="L520" s="204">
        <f>ROUND(E520*'Interest Over Collect '!$J$15,2)</f>
        <v>0</v>
      </c>
      <c r="M520" s="89">
        <f t="shared" si="125"/>
        <v>0</v>
      </c>
    </row>
    <row r="521" spans="1:14">
      <c r="A521" s="23"/>
      <c r="B521" s="23" t="s">
        <v>32</v>
      </c>
      <c r="C521" s="19">
        <v>0</v>
      </c>
      <c r="D521" s="20">
        <v>0</v>
      </c>
      <c r="E521" s="108">
        <v>6.3941395110162155E-2</v>
      </c>
      <c r="F521" s="105">
        <f t="shared" si="119"/>
        <v>45606.34</v>
      </c>
      <c r="G521" s="203">
        <f t="shared" si="124"/>
        <v>3571.4074120526116</v>
      </c>
      <c r="H521" s="89">
        <f>ROUND(F521*'Actual Load'!$B$25/'Zonal Load'!$N$25,2)</f>
        <v>45298.77</v>
      </c>
      <c r="I521" s="21">
        <f t="shared" si="120"/>
        <v>46438.57</v>
      </c>
      <c r="J521" s="71">
        <f t="shared" si="121"/>
        <v>832.2300000000032</v>
      </c>
      <c r="K521" s="71">
        <f t="shared" si="122"/>
        <v>4403.6374120526143</v>
      </c>
      <c r="L521" s="204">
        <f>ROUND(E521*'Interest Over Collect '!$J$15,2)</f>
        <v>625.27</v>
      </c>
      <c r="M521" s="89">
        <f t="shared" si="125"/>
        <v>5028.9074120526147</v>
      </c>
    </row>
    <row r="522" spans="1:14">
      <c r="A522" s="23"/>
      <c r="B522" s="23" t="s">
        <v>33</v>
      </c>
      <c r="C522" s="19">
        <v>0</v>
      </c>
      <c r="D522" s="20">
        <v>0</v>
      </c>
      <c r="E522" s="108">
        <v>8.3242605707039702E-2</v>
      </c>
      <c r="F522" s="105">
        <f t="shared" si="119"/>
        <v>59372.97</v>
      </c>
      <c r="G522" s="203">
        <f t="shared" si="124"/>
        <v>4649.4646935447618</v>
      </c>
      <c r="H522" s="89">
        <f>ROUND(F522*'Actual Load'!$B$13/'Zonal Load'!$N$13,2)</f>
        <v>59529.919999999998</v>
      </c>
      <c r="I522" s="21">
        <f t="shared" si="120"/>
        <v>61027.8</v>
      </c>
      <c r="J522" s="71">
        <f t="shared" si="121"/>
        <v>1654.8300000000017</v>
      </c>
      <c r="K522" s="71">
        <f t="shared" si="122"/>
        <v>6304.2946935447635</v>
      </c>
      <c r="L522" s="204">
        <f>ROUND(E522*'Interest Over Collect '!$J$15,2)</f>
        <v>814.01</v>
      </c>
      <c r="M522" s="89">
        <f>+K522+L522</f>
        <v>7118.3046935447637</v>
      </c>
    </row>
    <row r="523" spans="1:14">
      <c r="A523" s="23"/>
      <c r="B523" s="23" t="s">
        <v>34</v>
      </c>
      <c r="C523" s="19">
        <v>0</v>
      </c>
      <c r="D523" s="20">
        <v>0</v>
      </c>
      <c r="E523" s="108">
        <v>0</v>
      </c>
      <c r="F523" s="105">
        <f t="shared" si="119"/>
        <v>0</v>
      </c>
      <c r="G523" s="203">
        <f t="shared" si="124"/>
        <v>0</v>
      </c>
      <c r="H523" s="89">
        <f>ROUND(F523*'Actual Load'!$B$23/'Zonal Load'!$N$23,2)</f>
        <v>0</v>
      </c>
      <c r="I523" s="21">
        <f t="shared" si="120"/>
        <v>0</v>
      </c>
      <c r="J523" s="71">
        <f t="shared" si="121"/>
        <v>0</v>
      </c>
      <c r="K523" s="71">
        <f t="shared" si="122"/>
        <v>0</v>
      </c>
      <c r="L523" s="204">
        <f>ROUND(E523*'Interest Over Collect '!$J$15,2)</f>
        <v>0</v>
      </c>
      <c r="M523" s="89">
        <f>+K523+L523</f>
        <v>0</v>
      </c>
    </row>
    <row r="524" spans="1:14">
      <c r="B524" s="24" t="s">
        <v>35</v>
      </c>
      <c r="C524" s="19">
        <v>0</v>
      </c>
      <c r="D524" s="20">
        <v>0</v>
      </c>
      <c r="E524" s="108">
        <v>0</v>
      </c>
      <c r="F524" s="105">
        <f t="shared" si="119"/>
        <v>0</v>
      </c>
      <c r="G524" s="203">
        <f t="shared" si="124"/>
        <v>0</v>
      </c>
      <c r="H524" s="89">
        <f>ROUND(F524*'Actual Load'!$B$20/'Zonal Load'!$N$20,2)</f>
        <v>0</v>
      </c>
      <c r="I524" s="21">
        <f t="shared" si="120"/>
        <v>0</v>
      </c>
      <c r="J524" s="71">
        <f t="shared" si="121"/>
        <v>0</v>
      </c>
      <c r="K524" s="71">
        <f t="shared" si="122"/>
        <v>0</v>
      </c>
      <c r="L524" s="204">
        <f>ROUND(E524*'Interest Over Collect '!$J$15,2)</f>
        <v>0</v>
      </c>
      <c r="M524" s="89">
        <f>+K524+L524</f>
        <v>0</v>
      </c>
    </row>
    <row r="525" spans="1:14">
      <c r="B525" s="25"/>
      <c r="C525" s="26">
        <f>SUM(C501:C524)</f>
        <v>0</v>
      </c>
      <c r="D525" s="27">
        <f>SUM(D501:D524)</f>
        <v>0</v>
      </c>
      <c r="E525" s="107">
        <f>SUM(E501:E524)</f>
        <v>1</v>
      </c>
      <c r="F525" s="101">
        <f>SUM(F501:F524)</f>
        <v>713252.14999999991</v>
      </c>
      <c r="G525" s="84">
        <f t="shared" ref="G525:M525" si="126">SUM(G503:G524)</f>
        <v>55854.38675367611</v>
      </c>
      <c r="H525" s="146">
        <f t="shared" si="126"/>
        <v>722400.84000000008</v>
      </c>
      <c r="I525" s="85">
        <f t="shared" si="126"/>
        <v>740577.72</v>
      </c>
      <c r="J525" s="85">
        <f t="shared" si="126"/>
        <v>27325.57</v>
      </c>
      <c r="K525" s="163">
        <f t="shared" si="126"/>
        <v>83179.956753676131</v>
      </c>
      <c r="L525" s="85">
        <f t="shared" si="126"/>
        <v>9778.74</v>
      </c>
      <c r="M525" s="85">
        <f t="shared" si="126"/>
        <v>92958.696753676122</v>
      </c>
    </row>
    <row r="526" spans="1:14">
      <c r="G526" s="21"/>
      <c r="I526" s="86"/>
      <c r="N526" s="234"/>
    </row>
    <row r="527" spans="1:14">
      <c r="E527" s="102" t="str">
        <f>$E$73</f>
        <v>2013 Estimated Revenue Requirement</v>
      </c>
      <c r="F527" s="201">
        <v>713252.14335367607</v>
      </c>
      <c r="N527" s="234"/>
    </row>
    <row r="528" spans="1:14">
      <c r="E528" s="103" t="str">
        <f>$E$74</f>
        <v>2013 Rev Requirement Act</v>
      </c>
      <c r="F528" s="202">
        <v>657397.75659999996</v>
      </c>
      <c r="H528" s="147"/>
      <c r="I528" s="29"/>
      <c r="L528" s="90"/>
      <c r="N528" s="234"/>
    </row>
    <row r="529" spans="2:14">
      <c r="E529" s="103" t="str">
        <f>$E$75</f>
        <v>Actual Revenue Booked</v>
      </c>
      <c r="F529" s="210">
        <f>I525</f>
        <v>740577.72</v>
      </c>
      <c r="N529" s="234"/>
    </row>
    <row r="530" spans="2:14">
      <c r="B530" s="155"/>
      <c r="C530" s="155"/>
      <c r="D530" s="155"/>
      <c r="E530" s="155"/>
      <c r="F530" s="155"/>
      <c r="G530" s="155"/>
      <c r="H530" s="155"/>
      <c r="I530" s="155"/>
      <c r="J530" s="155"/>
      <c r="K530"/>
      <c r="L530"/>
      <c r="M530"/>
      <c r="N530" s="234"/>
    </row>
    <row r="531" spans="2:14">
      <c r="B531" s="88"/>
      <c r="C531" s="88"/>
      <c r="D531" s="88"/>
      <c r="E531" s="88"/>
      <c r="F531" s="88"/>
      <c r="G531" s="88"/>
      <c r="H531" s="88"/>
      <c r="I531" s="88"/>
      <c r="J531" s="119"/>
      <c r="K531" s="88"/>
      <c r="L531" s="88"/>
      <c r="M531" s="88"/>
      <c r="N531" s="234"/>
    </row>
    <row r="532" spans="2:14">
      <c r="L532" s="87"/>
      <c r="N532" s="234"/>
    </row>
    <row r="533" spans="2:14">
      <c r="B533" s="543" t="s">
        <v>0</v>
      </c>
      <c r="C533" s="521"/>
      <c r="D533" s="537">
        <v>1285</v>
      </c>
      <c r="E533" s="538"/>
      <c r="F533" s="538"/>
      <c r="G533" s="538"/>
      <c r="H533" s="539"/>
      <c r="I533" s="158"/>
      <c r="J533" s="1"/>
      <c r="N533" s="234"/>
    </row>
    <row r="534" spans="2:14" ht="15.75" customHeight="1">
      <c r="B534" s="535" t="s">
        <v>2</v>
      </c>
      <c r="C534" s="524"/>
      <c r="D534" s="540" t="s">
        <v>257</v>
      </c>
      <c r="E534" s="541"/>
      <c r="F534" s="541"/>
      <c r="G534" s="541"/>
      <c r="H534" s="542"/>
      <c r="I534" s="159"/>
      <c r="J534" s="1"/>
      <c r="N534" s="234"/>
    </row>
    <row r="535" spans="2:14">
      <c r="B535" s="535" t="s">
        <v>4</v>
      </c>
      <c r="C535" s="524"/>
      <c r="D535" s="544" t="s">
        <v>258</v>
      </c>
      <c r="E535" s="545"/>
      <c r="F535" s="545"/>
      <c r="G535" s="545"/>
      <c r="H535" s="546"/>
      <c r="I535" s="160"/>
      <c r="J535" s="1"/>
      <c r="N535" s="234"/>
    </row>
    <row r="536" spans="2:14">
      <c r="B536" s="553" t="s">
        <v>6</v>
      </c>
      <c r="C536" s="554"/>
      <c r="D536" s="564" t="s">
        <v>259</v>
      </c>
      <c r="E536" s="565"/>
      <c r="F536" s="565"/>
      <c r="G536" s="565"/>
      <c r="H536" s="566"/>
      <c r="I536" s="161"/>
      <c r="J536" s="1"/>
      <c r="N536" s="234"/>
    </row>
    <row r="537" spans="2:14">
      <c r="B537" s="82"/>
      <c r="C537" s="82"/>
      <c r="D537" s="82"/>
      <c r="E537" s="82"/>
      <c r="F537" s="82"/>
      <c r="J537" s="113" t="s">
        <v>163</v>
      </c>
      <c r="K537" s="3" t="s">
        <v>42</v>
      </c>
      <c r="M537" s="3" t="s">
        <v>56</v>
      </c>
      <c r="N537" s="234"/>
    </row>
    <row r="538" spans="2:14">
      <c r="B538" s="82"/>
      <c r="C538" s="82"/>
      <c r="D538" s="82"/>
      <c r="E538" s="82"/>
      <c r="F538" s="82"/>
      <c r="G538" s="3" t="s">
        <v>39</v>
      </c>
      <c r="H538" s="142" t="s">
        <v>40</v>
      </c>
      <c r="I538" s="104" t="s">
        <v>41</v>
      </c>
      <c r="J538" s="114" t="s">
        <v>164</v>
      </c>
      <c r="K538" s="4" t="s">
        <v>165</v>
      </c>
      <c r="L538" s="4" t="s">
        <v>55</v>
      </c>
      <c r="M538" s="4" t="s">
        <v>166</v>
      </c>
      <c r="N538" s="234"/>
    </row>
    <row r="539" spans="2:14">
      <c r="B539" s="82"/>
      <c r="C539" s="82"/>
      <c r="D539" s="82"/>
      <c r="E539" s="82"/>
      <c r="F539" s="82"/>
      <c r="G539" s="5"/>
      <c r="H539" s="527" t="s">
        <v>43</v>
      </c>
      <c r="I539" s="528"/>
      <c r="J539" s="529"/>
      <c r="K539" s="6" t="s">
        <v>44</v>
      </c>
      <c r="L539" s="5"/>
      <c r="M539" s="6" t="s">
        <v>45</v>
      </c>
      <c r="N539" s="234"/>
    </row>
    <row r="540" spans="2:14">
      <c r="B540" s="83"/>
      <c r="C540" s="7">
        <v>0.2</v>
      </c>
      <c r="D540" s="7">
        <v>0.8</v>
      </c>
      <c r="E540" s="7"/>
      <c r="F540" s="98" t="s">
        <v>162</v>
      </c>
      <c r="G540" s="8" t="s">
        <v>46</v>
      </c>
      <c r="H540" s="143"/>
      <c r="I540" s="5"/>
      <c r="J540" s="115" t="s">
        <v>47</v>
      </c>
      <c r="K540" s="8" t="s">
        <v>48</v>
      </c>
      <c r="L540" s="9"/>
      <c r="M540" s="8" t="s">
        <v>49</v>
      </c>
      <c r="N540" s="234"/>
    </row>
    <row r="541" spans="2:14">
      <c r="B541" s="10"/>
      <c r="C541" s="75" t="s">
        <v>9</v>
      </c>
      <c r="D541" s="75" t="s">
        <v>10</v>
      </c>
      <c r="E541" s="75" t="s">
        <v>11</v>
      </c>
      <c r="F541" s="99" t="s">
        <v>8</v>
      </c>
      <c r="G541" s="11" t="s">
        <v>50</v>
      </c>
      <c r="H541" s="144" t="s">
        <v>51</v>
      </c>
      <c r="I541" s="12" t="s">
        <v>159</v>
      </c>
      <c r="J541" s="116" t="s">
        <v>50</v>
      </c>
      <c r="K541" s="12" t="s">
        <v>50</v>
      </c>
      <c r="L541" s="12" t="s">
        <v>52</v>
      </c>
      <c r="M541" s="12" t="s">
        <v>53</v>
      </c>
      <c r="N541" s="234"/>
    </row>
    <row r="542" spans="2:14" ht="31.5">
      <c r="B542" s="13" t="s">
        <v>13</v>
      </c>
      <c r="C542" s="14" t="s">
        <v>14</v>
      </c>
      <c r="D542" s="14" t="s">
        <v>14</v>
      </c>
      <c r="E542" s="15" t="s">
        <v>14</v>
      </c>
      <c r="F542" s="100" t="s">
        <v>15</v>
      </c>
      <c r="G542" s="16" t="s">
        <v>54</v>
      </c>
      <c r="H542" s="145"/>
      <c r="I542" s="17"/>
      <c r="J542" s="117" t="s">
        <v>54</v>
      </c>
      <c r="K542" s="17"/>
      <c r="L542" s="17"/>
      <c r="M542" s="16" t="s">
        <v>54</v>
      </c>
      <c r="N542" s="234"/>
    </row>
    <row r="543" spans="2:14" s="87" customFormat="1">
      <c r="B543" s="18" t="s">
        <v>16</v>
      </c>
      <c r="C543" s="278">
        <v>0</v>
      </c>
      <c r="D543" s="281">
        <v>0</v>
      </c>
      <c r="E543" s="279">
        <v>0</v>
      </c>
      <c r="F543" s="282">
        <f t="shared" ref="F543:F566" si="127">ROUND(+E543*F$569,2)</f>
        <v>0</v>
      </c>
      <c r="G543" s="203">
        <f t="shared" ref="G543:G566" si="128">(F$569-F$570)*E543</f>
        <v>0</v>
      </c>
      <c r="H543" s="71">
        <f>ROUND(F543*'Actual Load'!$B$8/'Zonal Load'!$N$8,2)</f>
        <v>0</v>
      </c>
      <c r="I543" s="71">
        <f t="shared" ref="I543:I566" si="129">ROUND((H543*$H$708)/$H$706,2)</f>
        <v>0</v>
      </c>
      <c r="J543" s="71">
        <f t="shared" ref="J543:J566" si="130">I543-F543</f>
        <v>0</v>
      </c>
      <c r="K543" s="71">
        <f t="shared" ref="K543:K566" si="131">+G543+J543</f>
        <v>0</v>
      </c>
      <c r="L543" s="204">
        <f>ROUND(E543*'Interest Over Collect '!$J$16,2)</f>
        <v>0</v>
      </c>
      <c r="M543" s="71">
        <f t="shared" ref="M543:M550" si="132">+K543+L543</f>
        <v>0</v>
      </c>
      <c r="N543" s="234"/>
    </row>
    <row r="544" spans="2:14" s="87" customFormat="1">
      <c r="B544" s="23" t="s">
        <v>17</v>
      </c>
      <c r="C544" s="278">
        <v>0</v>
      </c>
      <c r="D544" s="281">
        <v>0</v>
      </c>
      <c r="E544" s="279">
        <v>0</v>
      </c>
      <c r="F544" s="280">
        <f t="shared" si="127"/>
        <v>0</v>
      </c>
      <c r="G544" s="203">
        <f t="shared" si="128"/>
        <v>0</v>
      </c>
      <c r="H544" s="71">
        <f>ROUND(F544*'Actual Load'!$B$14/'Zonal Load'!$N$14,2)</f>
        <v>0</v>
      </c>
      <c r="I544" s="71">
        <f t="shared" si="129"/>
        <v>0</v>
      </c>
      <c r="J544" s="71">
        <f t="shared" si="130"/>
        <v>0</v>
      </c>
      <c r="K544" s="71">
        <f t="shared" si="131"/>
        <v>0</v>
      </c>
      <c r="L544" s="204">
        <f>ROUND(E544*'Interest Over Collect '!$J$16,2)</f>
        <v>0</v>
      </c>
      <c r="M544" s="71">
        <f t="shared" si="132"/>
        <v>0</v>
      </c>
      <c r="N544" s="234"/>
    </row>
    <row r="545" spans="1:14" s="87" customFormat="1">
      <c r="B545" s="23" t="s">
        <v>201</v>
      </c>
      <c r="C545" s="278">
        <f>0%*0.421</f>
        <v>0</v>
      </c>
      <c r="D545" s="281">
        <f>0%*0.421</f>
        <v>0</v>
      </c>
      <c r="E545" s="279">
        <v>0</v>
      </c>
      <c r="F545" s="280">
        <f t="shared" si="127"/>
        <v>0</v>
      </c>
      <c r="G545" s="203">
        <f t="shared" si="128"/>
        <v>0</v>
      </c>
      <c r="H545" s="71">
        <f>ROUND(F545*'Actual Load'!$B$10/'Zonal Load'!$N$10,2)</f>
        <v>0</v>
      </c>
      <c r="I545" s="71">
        <f t="shared" si="129"/>
        <v>0</v>
      </c>
      <c r="J545" s="71">
        <f t="shared" si="130"/>
        <v>0</v>
      </c>
      <c r="K545" s="71">
        <f t="shared" si="131"/>
        <v>0</v>
      </c>
      <c r="L545" s="204">
        <f>ROUND(E545*'Interest Over Collect '!$J$16,2)</f>
        <v>0</v>
      </c>
      <c r="M545" s="71">
        <f t="shared" si="132"/>
        <v>0</v>
      </c>
      <c r="N545" s="234"/>
    </row>
    <row r="546" spans="1:14" s="87" customFormat="1">
      <c r="B546" s="23" t="s">
        <v>260</v>
      </c>
      <c r="C546" s="278">
        <f>0%*0.579</f>
        <v>0</v>
      </c>
      <c r="D546" s="281">
        <f>0%*0.579</f>
        <v>0</v>
      </c>
      <c r="E546" s="279">
        <v>0</v>
      </c>
      <c r="F546" s="280">
        <f t="shared" si="127"/>
        <v>0</v>
      </c>
      <c r="G546" s="203">
        <f>(F$569-F$570)*E546</f>
        <v>0</v>
      </c>
      <c r="H546" s="71">
        <f>ROUND(F546*'Actual Load'!$B$9/'Zonal Load'!$N$9,2)</f>
        <v>0</v>
      </c>
      <c r="I546" s="71">
        <f t="shared" si="129"/>
        <v>0</v>
      </c>
      <c r="J546" s="71">
        <f>I546-F546</f>
        <v>0</v>
      </c>
      <c r="K546" s="71">
        <f>+G546+J546</f>
        <v>0</v>
      </c>
      <c r="L546" s="204">
        <f>ROUND(E546*'Interest Over Collect '!$J$16,2)</f>
        <v>0</v>
      </c>
      <c r="M546" s="71">
        <f>+K546+L546</f>
        <v>0</v>
      </c>
      <c r="N546" s="234"/>
    </row>
    <row r="547" spans="1:14" s="87" customFormat="1">
      <c r="B547" s="23" t="s">
        <v>18</v>
      </c>
      <c r="C547" s="278">
        <v>0</v>
      </c>
      <c r="D547" s="281">
        <v>0</v>
      </c>
      <c r="E547" s="279">
        <v>0</v>
      </c>
      <c r="F547" s="280">
        <f t="shared" si="127"/>
        <v>0</v>
      </c>
      <c r="G547" s="203">
        <f t="shared" si="128"/>
        <v>0</v>
      </c>
      <c r="H547" s="71">
        <f>ROUND(F547*'Actual Load'!$B$26/'Zonal Load'!$N$26,2)</f>
        <v>0</v>
      </c>
      <c r="I547" s="71">
        <f t="shared" si="129"/>
        <v>0</v>
      </c>
      <c r="J547" s="71">
        <f t="shared" si="130"/>
        <v>0</v>
      </c>
      <c r="K547" s="71">
        <f t="shared" si="131"/>
        <v>0</v>
      </c>
      <c r="L547" s="204">
        <f>ROUND(E547*'Interest Over Collect '!$J$16,2)</f>
        <v>0</v>
      </c>
      <c r="M547" s="71">
        <f t="shared" si="132"/>
        <v>0</v>
      </c>
      <c r="N547" s="234"/>
    </row>
    <row r="548" spans="1:14" s="87" customFormat="1">
      <c r="B548" s="23" t="s">
        <v>19</v>
      </c>
      <c r="C548" s="278">
        <v>0</v>
      </c>
      <c r="D548" s="281">
        <v>0</v>
      </c>
      <c r="E548" s="279">
        <v>0</v>
      </c>
      <c r="F548" s="280">
        <f t="shared" si="127"/>
        <v>0</v>
      </c>
      <c r="G548" s="203">
        <f t="shared" si="128"/>
        <v>0</v>
      </c>
      <c r="H548" s="71">
        <f>ROUND(F548*'Actual Load'!$B$16/'Zonal Load'!$N$16,2)</f>
        <v>0</v>
      </c>
      <c r="I548" s="71">
        <f t="shared" si="129"/>
        <v>0</v>
      </c>
      <c r="J548" s="71">
        <f t="shared" si="130"/>
        <v>0</v>
      </c>
      <c r="K548" s="71">
        <f t="shared" si="131"/>
        <v>0</v>
      </c>
      <c r="L548" s="204">
        <f>ROUND(E548*'Interest Over Collect '!$J$16,2)</f>
        <v>0</v>
      </c>
      <c r="M548" s="71">
        <f t="shared" si="132"/>
        <v>0</v>
      </c>
      <c r="N548" s="234"/>
    </row>
    <row r="549" spans="1:14" s="87" customFormat="1">
      <c r="B549" s="23" t="s">
        <v>20</v>
      </c>
      <c r="C549" s="278">
        <v>0</v>
      </c>
      <c r="D549" s="281">
        <v>0</v>
      </c>
      <c r="E549" s="279">
        <v>0</v>
      </c>
      <c r="F549" s="280">
        <f t="shared" si="127"/>
        <v>0</v>
      </c>
      <c r="G549" s="203">
        <f t="shared" si="128"/>
        <v>0</v>
      </c>
      <c r="H549" s="71">
        <f>ROUND(F549*'Actual Load'!$B$22/'Zonal Load'!$N$22,2)</f>
        <v>0</v>
      </c>
      <c r="I549" s="71">
        <f t="shared" si="129"/>
        <v>0</v>
      </c>
      <c r="J549" s="71">
        <f t="shared" si="130"/>
        <v>0</v>
      </c>
      <c r="K549" s="71">
        <f t="shared" si="131"/>
        <v>0</v>
      </c>
      <c r="L549" s="204">
        <f>ROUND(E549*'Interest Over Collect '!$J$16,2)</f>
        <v>0</v>
      </c>
      <c r="M549" s="71">
        <f t="shared" si="132"/>
        <v>0</v>
      </c>
      <c r="N549" s="234"/>
    </row>
    <row r="550" spans="1:14" s="87" customFormat="1">
      <c r="B550" s="23" t="s">
        <v>21</v>
      </c>
      <c r="C550" s="278">
        <v>0</v>
      </c>
      <c r="D550" s="281">
        <v>0</v>
      </c>
      <c r="E550" s="279">
        <v>0</v>
      </c>
      <c r="F550" s="280">
        <f t="shared" si="127"/>
        <v>0</v>
      </c>
      <c r="G550" s="203">
        <f t="shared" si="128"/>
        <v>0</v>
      </c>
      <c r="H550" s="71">
        <f>ROUND(F550*'Actual Load'!$B$17/'Zonal Load'!$N$17,2)</f>
        <v>0</v>
      </c>
      <c r="I550" s="71">
        <f t="shared" si="129"/>
        <v>0</v>
      </c>
      <c r="J550" s="71">
        <f t="shared" si="130"/>
        <v>0</v>
      </c>
      <c r="K550" s="71">
        <f t="shared" si="131"/>
        <v>0</v>
      </c>
      <c r="L550" s="204">
        <f>ROUND(E550*'Interest Over Collect '!$J$16,2)</f>
        <v>0</v>
      </c>
      <c r="M550" s="71">
        <f t="shared" si="132"/>
        <v>0</v>
      </c>
      <c r="N550" s="234"/>
    </row>
    <row r="551" spans="1:14" s="87" customFormat="1">
      <c r="B551" s="23" t="s">
        <v>22</v>
      </c>
      <c r="C551" s="278">
        <v>0</v>
      </c>
      <c r="D551" s="281">
        <v>0</v>
      </c>
      <c r="E551" s="279">
        <v>0</v>
      </c>
      <c r="F551" s="280">
        <f t="shared" si="127"/>
        <v>0</v>
      </c>
      <c r="G551" s="203">
        <f t="shared" si="128"/>
        <v>0</v>
      </c>
      <c r="H551" s="71">
        <f>ROUND(F551*'Actual Load'!$B$15/'Zonal Load'!$N$15,2)</f>
        <v>0</v>
      </c>
      <c r="I551" s="71">
        <f t="shared" si="129"/>
        <v>0</v>
      </c>
      <c r="J551" s="71">
        <f t="shared" si="130"/>
        <v>0</v>
      </c>
      <c r="K551" s="71">
        <f t="shared" si="131"/>
        <v>0</v>
      </c>
      <c r="L551" s="204">
        <f>ROUND(E551*'Interest Over Collect '!$J$16,2)</f>
        <v>0</v>
      </c>
      <c r="M551" s="71">
        <f>+K551+L551</f>
        <v>0</v>
      </c>
      <c r="N551" s="234"/>
    </row>
    <row r="552" spans="1:14" s="87" customFormat="1">
      <c r="B552" s="23" t="s">
        <v>23</v>
      </c>
      <c r="C552" s="278">
        <v>0</v>
      </c>
      <c r="D552" s="281">
        <v>5.1257152533573554E-3</v>
      </c>
      <c r="E552" s="279">
        <v>5.1257152533573554E-3</v>
      </c>
      <c r="F552" s="280">
        <f t="shared" si="127"/>
        <v>8838.6</v>
      </c>
      <c r="G552" s="203">
        <f t="shared" si="128"/>
        <v>2080.3569680361088</v>
      </c>
      <c r="H552" s="71">
        <f>ROUND(F552*'Actual Load'!$B$4/'Zonal Load'!$N$4,2)</f>
        <v>8874.7800000000007</v>
      </c>
      <c r="I552" s="71">
        <f t="shared" si="129"/>
        <v>9098.09</v>
      </c>
      <c r="J552" s="71">
        <f t="shared" si="130"/>
        <v>259.48999999999978</v>
      </c>
      <c r="K552" s="71">
        <f t="shared" si="131"/>
        <v>2339.8469680361086</v>
      </c>
      <c r="L552" s="204">
        <f>ROUND(E552*'Interest Over Collect '!$J$16,2)</f>
        <v>121.18</v>
      </c>
      <c r="M552" s="71">
        <f t="shared" ref="M552:M563" si="133">+K552+L552</f>
        <v>2461.0269680361084</v>
      </c>
      <c r="N552" s="234"/>
    </row>
    <row r="553" spans="1:14" s="87" customFormat="1">
      <c r="B553" s="23" t="s">
        <v>24</v>
      </c>
      <c r="C553" s="278">
        <v>0</v>
      </c>
      <c r="D553" s="281">
        <v>0</v>
      </c>
      <c r="E553" s="279">
        <v>0</v>
      </c>
      <c r="F553" s="280">
        <f t="shared" si="127"/>
        <v>0</v>
      </c>
      <c r="G553" s="203">
        <f t="shared" si="128"/>
        <v>0</v>
      </c>
      <c r="H553" s="71">
        <f>ROUND(F553*'Actual Load'!$B$11/'Zonal Load'!$N$11,2)</f>
        <v>0</v>
      </c>
      <c r="I553" s="71">
        <f t="shared" si="129"/>
        <v>0</v>
      </c>
      <c r="J553" s="71">
        <f t="shared" si="130"/>
        <v>0</v>
      </c>
      <c r="K553" s="71">
        <f t="shared" si="131"/>
        <v>0</v>
      </c>
      <c r="L553" s="204">
        <f>ROUND(E553*'Interest Over Collect '!$J$16,2)</f>
        <v>0</v>
      </c>
      <c r="M553" s="71">
        <f t="shared" si="133"/>
        <v>0</v>
      </c>
      <c r="N553" s="234"/>
    </row>
    <row r="554" spans="1:14" s="87" customFormat="1">
      <c r="B554" s="23" t="s">
        <v>26</v>
      </c>
      <c r="C554" s="278">
        <v>0</v>
      </c>
      <c r="D554" s="281">
        <v>0</v>
      </c>
      <c r="E554" s="279">
        <v>0</v>
      </c>
      <c r="F554" s="280">
        <f t="shared" si="127"/>
        <v>0</v>
      </c>
      <c r="G554" s="203">
        <f t="shared" si="128"/>
        <v>0</v>
      </c>
      <c r="H554" s="71">
        <f>ROUND(F554*'Actual Load'!$B$7/'Zonal Load'!$N$7,2)</f>
        <v>0</v>
      </c>
      <c r="I554" s="71">
        <f t="shared" si="129"/>
        <v>0</v>
      </c>
      <c r="J554" s="71">
        <f t="shared" si="130"/>
        <v>0</v>
      </c>
      <c r="K554" s="71">
        <f t="shared" si="131"/>
        <v>0</v>
      </c>
      <c r="L554" s="204">
        <f>ROUND(E554*'Interest Over Collect '!$J$16,2)</f>
        <v>0</v>
      </c>
      <c r="M554" s="71">
        <f t="shared" si="133"/>
        <v>0</v>
      </c>
      <c r="N554" s="234"/>
    </row>
    <row r="555" spans="1:14" s="87" customFormat="1">
      <c r="B555" s="23" t="s">
        <v>25</v>
      </c>
      <c r="C555" s="278">
        <v>0</v>
      </c>
      <c r="D555" s="281">
        <v>0</v>
      </c>
      <c r="E555" s="279">
        <v>0</v>
      </c>
      <c r="F555" s="280">
        <f t="shared" si="127"/>
        <v>0</v>
      </c>
      <c r="G555" s="203">
        <f t="shared" si="128"/>
        <v>0</v>
      </c>
      <c r="H555" s="71">
        <f>ROUND(F555*'Actual Load'!$B$6/'Zonal Load'!$N$6,2)</f>
        <v>0</v>
      </c>
      <c r="I555" s="71">
        <f t="shared" si="129"/>
        <v>0</v>
      </c>
      <c r="J555" s="71">
        <f t="shared" si="130"/>
        <v>0</v>
      </c>
      <c r="K555" s="71">
        <f t="shared" si="131"/>
        <v>0</v>
      </c>
      <c r="L555" s="204">
        <f>ROUND(E555*'Interest Over Collect '!$J$16,2)</f>
        <v>0</v>
      </c>
      <c r="M555" s="71">
        <f t="shared" si="133"/>
        <v>0</v>
      </c>
      <c r="N555" s="234"/>
    </row>
    <row r="556" spans="1:14" s="87" customFormat="1">
      <c r="B556" s="23" t="s">
        <v>119</v>
      </c>
      <c r="C556" s="278">
        <v>0</v>
      </c>
      <c r="D556" s="281">
        <v>0</v>
      </c>
      <c r="E556" s="279">
        <v>0</v>
      </c>
      <c r="F556" s="280">
        <f t="shared" si="127"/>
        <v>0</v>
      </c>
      <c r="G556" s="203">
        <f t="shared" si="128"/>
        <v>0</v>
      </c>
      <c r="H556" s="71">
        <f>ROUND(F556*'Actual Load'!$B$18/'Zonal Load'!$N$18,2)</f>
        <v>0</v>
      </c>
      <c r="I556" s="71">
        <f t="shared" si="129"/>
        <v>0</v>
      </c>
      <c r="J556" s="71">
        <f t="shared" si="130"/>
        <v>0</v>
      </c>
      <c r="K556" s="71">
        <f t="shared" si="131"/>
        <v>0</v>
      </c>
      <c r="L556" s="204">
        <f>ROUND(E556*'Interest Over Collect '!$J$16,2)</f>
        <v>0</v>
      </c>
      <c r="M556" s="71">
        <f t="shared" si="133"/>
        <v>0</v>
      </c>
      <c r="N556" s="234"/>
    </row>
    <row r="557" spans="1:14" s="87" customFormat="1">
      <c r="B557" s="23" t="s">
        <v>120</v>
      </c>
      <c r="C557" s="278">
        <v>0</v>
      </c>
      <c r="D557" s="281">
        <v>0</v>
      </c>
      <c r="E557" s="279">
        <v>0</v>
      </c>
      <c r="F557" s="280">
        <f t="shared" si="127"/>
        <v>0</v>
      </c>
      <c r="G557" s="203">
        <f t="shared" si="128"/>
        <v>0</v>
      </c>
      <c r="H557" s="71">
        <f>ROUND(F557*'Actual Load'!$B$17/'Zonal Load'!$N$17,2)</f>
        <v>0</v>
      </c>
      <c r="I557" s="71">
        <f t="shared" si="129"/>
        <v>0</v>
      </c>
      <c r="J557" s="71">
        <f t="shared" si="130"/>
        <v>0</v>
      </c>
      <c r="K557" s="71">
        <f t="shared" si="131"/>
        <v>0</v>
      </c>
      <c r="L557" s="204">
        <f>ROUND(E557*'Interest Over Collect '!$J$16,2)</f>
        <v>0</v>
      </c>
      <c r="M557" s="71">
        <f t="shared" si="133"/>
        <v>0</v>
      </c>
      <c r="N557" s="234"/>
    </row>
    <row r="558" spans="1:14" s="87" customFormat="1">
      <c r="A558" s="23"/>
      <c r="B558" s="23" t="s">
        <v>27</v>
      </c>
      <c r="C558" s="278">
        <v>0</v>
      </c>
      <c r="D558" s="281">
        <v>0</v>
      </c>
      <c r="E558" s="279">
        <v>0</v>
      </c>
      <c r="F558" s="280">
        <f t="shared" si="127"/>
        <v>0</v>
      </c>
      <c r="G558" s="203">
        <f t="shared" si="128"/>
        <v>0</v>
      </c>
      <c r="H558" s="71">
        <f>ROUND(F558*'Actual Load'!$B$12/'Zonal Load'!$N$12,2)</f>
        <v>0</v>
      </c>
      <c r="I558" s="71">
        <f t="shared" si="129"/>
        <v>0</v>
      </c>
      <c r="J558" s="71">
        <f t="shared" si="130"/>
        <v>0</v>
      </c>
      <c r="K558" s="71">
        <f t="shared" si="131"/>
        <v>0</v>
      </c>
      <c r="L558" s="204">
        <f>ROUND(E558*'Interest Over Collect '!$J$16,2)</f>
        <v>0</v>
      </c>
      <c r="M558" s="71">
        <f t="shared" si="133"/>
        <v>0</v>
      </c>
      <c r="N558" s="234"/>
    </row>
    <row r="559" spans="1:14" s="87" customFormat="1">
      <c r="A559" s="23"/>
      <c r="B559" s="23" t="s">
        <v>28</v>
      </c>
      <c r="C559" s="278">
        <v>0</v>
      </c>
      <c r="D559" s="281">
        <v>0</v>
      </c>
      <c r="E559" s="279">
        <v>0</v>
      </c>
      <c r="F559" s="280">
        <f t="shared" si="127"/>
        <v>0</v>
      </c>
      <c r="G559" s="203">
        <f t="shared" si="128"/>
        <v>0</v>
      </c>
      <c r="H559" s="71">
        <f>ROUND(F559*'Actual Load'!$B$24/'Zonal Load'!$N$24,2)</f>
        <v>0</v>
      </c>
      <c r="I559" s="71">
        <f t="shared" si="129"/>
        <v>0</v>
      </c>
      <c r="J559" s="71">
        <f t="shared" si="130"/>
        <v>0</v>
      </c>
      <c r="K559" s="71">
        <f t="shared" si="131"/>
        <v>0</v>
      </c>
      <c r="L559" s="204">
        <f>ROUND(E559*'Interest Over Collect '!$J$16,2)</f>
        <v>0</v>
      </c>
      <c r="M559" s="71">
        <f t="shared" si="133"/>
        <v>0</v>
      </c>
      <c r="N559" s="234"/>
    </row>
    <row r="560" spans="1:14">
      <c r="A560" s="23"/>
      <c r="B560" s="23" t="s">
        <v>29</v>
      </c>
      <c r="C560" s="19">
        <v>0</v>
      </c>
      <c r="D560" s="20">
        <v>0</v>
      </c>
      <c r="E560" s="108">
        <v>0</v>
      </c>
      <c r="F560" s="105">
        <f t="shared" si="127"/>
        <v>0</v>
      </c>
      <c r="G560" s="203">
        <f t="shared" si="128"/>
        <v>0</v>
      </c>
      <c r="H560" s="89">
        <f>ROUND(F560*'Actual Load'!$B$5/'Zonal Load'!$N$5,2)</f>
        <v>0</v>
      </c>
      <c r="I560" s="21">
        <f t="shared" si="129"/>
        <v>0</v>
      </c>
      <c r="J560" s="71">
        <f t="shared" si="130"/>
        <v>0</v>
      </c>
      <c r="K560" s="71">
        <f t="shared" si="131"/>
        <v>0</v>
      </c>
      <c r="L560" s="204">
        <f>ROUND(E560*'Interest Over Collect '!$J$16,2)</f>
        <v>0</v>
      </c>
      <c r="M560" s="89">
        <f t="shared" si="133"/>
        <v>0</v>
      </c>
      <c r="N560" s="234"/>
    </row>
    <row r="561" spans="1:14">
      <c r="A561" s="23"/>
      <c r="B561" s="23" t="s">
        <v>30</v>
      </c>
      <c r="C561" s="19">
        <v>0</v>
      </c>
      <c r="D561" s="20">
        <v>0.83820266476707495</v>
      </c>
      <c r="E561" s="108">
        <v>0.83820266476707495</v>
      </c>
      <c r="F561" s="105">
        <f t="shared" si="127"/>
        <v>1445366.2</v>
      </c>
      <c r="G561" s="203">
        <f t="shared" si="128"/>
        <v>340198.52217355452</v>
      </c>
      <c r="H561" s="89">
        <f>ROUND(F561*'Actual Load'!$B$21/'Zonal Load'!$N$21,2)</f>
        <v>1473704.98</v>
      </c>
      <c r="I561" s="21">
        <f t="shared" si="129"/>
        <v>1510786</v>
      </c>
      <c r="J561" s="71">
        <f t="shared" si="130"/>
        <v>65419.800000000047</v>
      </c>
      <c r="K561" s="71">
        <f t="shared" si="131"/>
        <v>405618.32217355457</v>
      </c>
      <c r="L561" s="204">
        <f>ROUND(E561*'Interest Over Collect '!$J$16,2)</f>
        <v>19816.060000000001</v>
      </c>
      <c r="M561" s="89">
        <f t="shared" si="133"/>
        <v>425434.38217355456</v>
      </c>
      <c r="N561" s="234"/>
    </row>
    <row r="562" spans="1:14">
      <c r="A562" s="23"/>
      <c r="B562" s="23" t="s">
        <v>31</v>
      </c>
      <c r="C562" s="19">
        <v>0</v>
      </c>
      <c r="D562" s="20">
        <v>6.0848919729758425E-3</v>
      </c>
      <c r="E562" s="108">
        <v>6.0848919729758425E-3</v>
      </c>
      <c r="F562" s="105">
        <f t="shared" si="127"/>
        <v>10492.57</v>
      </c>
      <c r="G562" s="203">
        <f t="shared" si="128"/>
        <v>2469.6548266967761</v>
      </c>
      <c r="H562" s="89">
        <f>ROUND(F562*'Actual Load'!$B$19/'Zonal Load'!$N$19,2)</f>
        <v>9593.2099999999991</v>
      </c>
      <c r="I562" s="21">
        <f t="shared" si="129"/>
        <v>9834.59</v>
      </c>
      <c r="J562" s="71">
        <f t="shared" si="130"/>
        <v>-657.97999999999956</v>
      </c>
      <c r="K562" s="71">
        <f t="shared" si="131"/>
        <v>1811.6748266967766</v>
      </c>
      <c r="L562" s="204">
        <f>ROUND(E562*'Interest Over Collect '!$J$16,2)</f>
        <v>143.85</v>
      </c>
      <c r="M562" s="89">
        <f t="shared" si="133"/>
        <v>1955.5248266967765</v>
      </c>
      <c r="N562" s="234"/>
    </row>
    <row r="563" spans="1:14">
      <c r="A563" s="23"/>
      <c r="B563" s="23" t="s">
        <v>32</v>
      </c>
      <c r="C563" s="19">
        <v>0</v>
      </c>
      <c r="D563" s="20">
        <v>0</v>
      </c>
      <c r="E563" s="108">
        <v>0</v>
      </c>
      <c r="F563" s="105">
        <f t="shared" si="127"/>
        <v>0</v>
      </c>
      <c r="G563" s="203">
        <f t="shared" si="128"/>
        <v>0</v>
      </c>
      <c r="H563" s="89">
        <f>ROUND(F563*'Actual Load'!$B$25/'Zonal Load'!$N$25,2)</f>
        <v>0</v>
      </c>
      <c r="I563" s="21">
        <f t="shared" si="129"/>
        <v>0</v>
      </c>
      <c r="J563" s="71">
        <f t="shared" si="130"/>
        <v>0</v>
      </c>
      <c r="K563" s="71">
        <f t="shared" si="131"/>
        <v>0</v>
      </c>
      <c r="L563" s="204">
        <f>ROUND(E563*'Interest Over Collect '!$J$16,2)</f>
        <v>0</v>
      </c>
      <c r="M563" s="89">
        <f t="shared" si="133"/>
        <v>0</v>
      </c>
      <c r="N563" s="234"/>
    </row>
    <row r="564" spans="1:14">
      <c r="A564" s="23"/>
      <c r="B564" s="23" t="s">
        <v>33</v>
      </c>
      <c r="C564" s="19">
        <v>0</v>
      </c>
      <c r="D564" s="20">
        <v>0.1349215200531258</v>
      </c>
      <c r="E564" s="108">
        <v>0.1349215200531258</v>
      </c>
      <c r="F564" s="105">
        <f t="shared" si="127"/>
        <v>232653.76</v>
      </c>
      <c r="G564" s="203">
        <f t="shared" si="128"/>
        <v>54760.147707521319</v>
      </c>
      <c r="H564" s="89">
        <f>ROUND(F564*'Actual Load'!$B$13/'Zonal Load'!$N$13,2)</f>
        <v>233268.78</v>
      </c>
      <c r="I564" s="21">
        <f t="shared" si="129"/>
        <v>239138.23</v>
      </c>
      <c r="J564" s="71">
        <f t="shared" si="130"/>
        <v>6484.4700000000012</v>
      </c>
      <c r="K564" s="71">
        <f t="shared" si="131"/>
        <v>61244.61770752132</v>
      </c>
      <c r="L564" s="204">
        <f>ROUND(E564*'Interest Over Collect '!$J$16,2)</f>
        <v>3189.7</v>
      </c>
      <c r="M564" s="89">
        <f>+K564+L564</f>
        <v>64434.317707521317</v>
      </c>
      <c r="N564" s="234"/>
    </row>
    <row r="565" spans="1:14">
      <c r="A565" s="23"/>
      <c r="B565" s="23" t="s">
        <v>34</v>
      </c>
      <c r="C565" s="19">
        <v>0</v>
      </c>
      <c r="D565" s="20">
        <v>1.5665207953466251E-2</v>
      </c>
      <c r="E565" s="108">
        <v>1.5665207953466251E-2</v>
      </c>
      <c r="F565" s="105">
        <f t="shared" si="127"/>
        <v>27012.51</v>
      </c>
      <c r="G565" s="203">
        <f t="shared" si="128"/>
        <v>6357.9857465515997</v>
      </c>
      <c r="H565" s="89">
        <f>ROUND(F565*'Actual Load'!$B$23/'Zonal Load'!$N$23,2)</f>
        <v>28008.47</v>
      </c>
      <c r="I565" s="21">
        <f t="shared" si="129"/>
        <v>28713.21</v>
      </c>
      <c r="J565" s="71">
        <f t="shared" si="130"/>
        <v>1700.7000000000007</v>
      </c>
      <c r="K565" s="71">
        <f t="shared" si="131"/>
        <v>8058.6857465516005</v>
      </c>
      <c r="L565" s="204">
        <f>ROUND(E565*'Interest Over Collect '!$J$16,2)</f>
        <v>370.34</v>
      </c>
      <c r="M565" s="89">
        <f>+K565+L565</f>
        <v>8429.0257465516006</v>
      </c>
      <c r="N565" s="234"/>
    </row>
    <row r="566" spans="1:14">
      <c r="B566" s="24" t="s">
        <v>35</v>
      </c>
      <c r="C566" s="19">
        <v>0</v>
      </c>
      <c r="D566" s="20">
        <v>0</v>
      </c>
      <c r="E566" s="108">
        <v>0</v>
      </c>
      <c r="F566" s="105">
        <f t="shared" si="127"/>
        <v>0</v>
      </c>
      <c r="G566" s="203">
        <f t="shared" si="128"/>
        <v>0</v>
      </c>
      <c r="H566" s="89">
        <f>ROUND(F566*'Actual Load'!$B$20/'Zonal Load'!$N$20,2)</f>
        <v>0</v>
      </c>
      <c r="I566" s="21">
        <f t="shared" si="129"/>
        <v>0</v>
      </c>
      <c r="J566" s="71">
        <f t="shared" si="130"/>
        <v>0</v>
      </c>
      <c r="K566" s="71">
        <f t="shared" si="131"/>
        <v>0</v>
      </c>
      <c r="L566" s="204">
        <f>ROUND(E566*'Interest Over Collect '!$J$16,2)</f>
        <v>0</v>
      </c>
      <c r="M566" s="89">
        <f>+K566+L566</f>
        <v>0</v>
      </c>
      <c r="N566" s="234"/>
    </row>
    <row r="567" spans="1:14">
      <c r="B567" s="25"/>
      <c r="C567" s="26">
        <f>SUM(C543:C566)</f>
        <v>0</v>
      </c>
      <c r="D567" s="27">
        <f>SUM(D543:D566)</f>
        <v>1.0000000000000002</v>
      </c>
      <c r="E567" s="107">
        <f>SUM(E543:E566)</f>
        <v>1.0000000000000002</v>
      </c>
      <c r="F567" s="101">
        <f>SUM(F543:F566)</f>
        <v>1724363.6400000001</v>
      </c>
      <c r="G567" s="84">
        <f t="shared" ref="G567:M567" si="134">SUM(G545:G566)</f>
        <v>405866.66742236033</v>
      </c>
      <c r="H567" s="146">
        <f t="shared" si="134"/>
        <v>1753450.22</v>
      </c>
      <c r="I567" s="85">
        <f t="shared" si="134"/>
        <v>1797570.12</v>
      </c>
      <c r="J567" s="85">
        <f t="shared" si="134"/>
        <v>73206.480000000054</v>
      </c>
      <c r="K567" s="163">
        <f t="shared" si="134"/>
        <v>479073.14742236031</v>
      </c>
      <c r="L567" s="85">
        <f t="shared" si="134"/>
        <v>23641.13</v>
      </c>
      <c r="M567" s="85">
        <f t="shared" si="134"/>
        <v>502714.27742236032</v>
      </c>
      <c r="N567" s="234"/>
    </row>
    <row r="568" spans="1:14">
      <c r="G568" s="21"/>
      <c r="I568" s="86"/>
      <c r="N568" s="234"/>
    </row>
    <row r="569" spans="1:14">
      <c r="E569" s="102" t="str">
        <f>$E$73</f>
        <v>2013 Estimated Revenue Requirement</v>
      </c>
      <c r="F569" s="201">
        <v>1724363.6374223602</v>
      </c>
      <c r="N569" s="234"/>
    </row>
    <row r="570" spans="1:14">
      <c r="E570" s="103" t="str">
        <f>$E$74</f>
        <v>2013 Rev Requirement Act</v>
      </c>
      <c r="F570" s="202">
        <v>1318496.97</v>
      </c>
      <c r="H570" s="147"/>
      <c r="I570" s="29"/>
      <c r="L570" s="90"/>
      <c r="N570" s="234"/>
    </row>
    <row r="571" spans="1:14">
      <c r="E571" s="103" t="str">
        <f>$E$75</f>
        <v>Actual Revenue Booked</v>
      </c>
      <c r="F571" s="210">
        <f>I567</f>
        <v>1797570.12</v>
      </c>
      <c r="N571" s="234"/>
    </row>
    <row r="572" spans="1:14">
      <c r="E572" s="103"/>
      <c r="F572" s="103"/>
      <c r="N572" s="234"/>
    </row>
    <row r="573" spans="1:14">
      <c r="B573" s="88"/>
      <c r="C573" s="88"/>
      <c r="D573" s="88"/>
      <c r="E573" s="88"/>
      <c r="F573" s="88"/>
      <c r="G573" s="88"/>
      <c r="H573" s="88"/>
      <c r="I573" s="88"/>
      <c r="J573" s="119"/>
      <c r="K573" s="88"/>
      <c r="L573" s="88"/>
      <c r="M573" s="88"/>
      <c r="N573" s="234"/>
    </row>
    <row r="574" spans="1:14">
      <c r="L574" s="87"/>
      <c r="N574" s="234"/>
    </row>
    <row r="575" spans="1:14">
      <c r="B575" s="543" t="s">
        <v>0</v>
      </c>
      <c r="C575" s="521"/>
      <c r="D575" s="537">
        <v>2307</v>
      </c>
      <c r="E575" s="538"/>
      <c r="F575" s="538"/>
      <c r="G575" s="538"/>
      <c r="H575" s="539"/>
      <c r="I575" s="158"/>
      <c r="J575" s="1"/>
      <c r="N575" s="234"/>
    </row>
    <row r="576" spans="1:14" ht="15.75" customHeight="1">
      <c r="B576" s="535" t="s">
        <v>2</v>
      </c>
      <c r="C576" s="524"/>
      <c r="D576" s="540" t="s">
        <v>269</v>
      </c>
      <c r="E576" s="541"/>
      <c r="F576" s="541"/>
      <c r="G576" s="541"/>
      <c r="H576" s="542"/>
      <c r="I576" s="159"/>
      <c r="J576" s="1"/>
      <c r="N576" s="234"/>
    </row>
    <row r="577" spans="2:14">
      <c r="B577" s="535" t="s">
        <v>4</v>
      </c>
      <c r="C577" s="524"/>
      <c r="D577" s="544" t="s">
        <v>270</v>
      </c>
      <c r="E577" s="545"/>
      <c r="F577" s="545"/>
      <c r="G577" s="545"/>
      <c r="H577" s="546"/>
      <c r="I577" s="160"/>
      <c r="J577" s="1"/>
      <c r="N577" s="234"/>
    </row>
    <row r="578" spans="2:14">
      <c r="B578" s="553" t="s">
        <v>6</v>
      </c>
      <c r="C578" s="554"/>
      <c r="D578" s="564" t="s">
        <v>30</v>
      </c>
      <c r="E578" s="565"/>
      <c r="F578" s="565"/>
      <c r="G578" s="565"/>
      <c r="H578" s="566"/>
      <c r="I578" s="161"/>
      <c r="J578" s="1"/>
      <c r="N578" s="234"/>
    </row>
    <row r="579" spans="2:14">
      <c r="B579" s="82"/>
      <c r="C579" s="82"/>
      <c r="D579" s="82"/>
      <c r="E579" s="82"/>
      <c r="F579" s="82"/>
      <c r="J579" s="113" t="s">
        <v>163</v>
      </c>
      <c r="K579" s="3" t="s">
        <v>42</v>
      </c>
      <c r="M579" s="3" t="s">
        <v>56</v>
      </c>
      <c r="N579" s="234"/>
    </row>
    <row r="580" spans="2:14">
      <c r="B580" s="82"/>
      <c r="C580" s="82"/>
      <c r="D580" s="82"/>
      <c r="E580" s="82"/>
      <c r="F580" s="82"/>
      <c r="G580" s="3" t="s">
        <v>39</v>
      </c>
      <c r="H580" s="142" t="s">
        <v>40</v>
      </c>
      <c r="I580" s="104" t="s">
        <v>41</v>
      </c>
      <c r="J580" s="114" t="s">
        <v>164</v>
      </c>
      <c r="K580" s="4" t="s">
        <v>165</v>
      </c>
      <c r="L580" s="4" t="s">
        <v>55</v>
      </c>
      <c r="M580" s="4" t="s">
        <v>166</v>
      </c>
      <c r="N580" s="234"/>
    </row>
    <row r="581" spans="2:14">
      <c r="B581" s="82"/>
      <c r="C581" s="82"/>
      <c r="D581" s="82"/>
      <c r="E581" s="82"/>
      <c r="F581" s="82"/>
      <c r="G581" s="5"/>
      <c r="H581" s="527" t="s">
        <v>43</v>
      </c>
      <c r="I581" s="528"/>
      <c r="J581" s="529"/>
      <c r="K581" s="6" t="s">
        <v>44</v>
      </c>
      <c r="L581" s="5"/>
      <c r="M581" s="6" t="s">
        <v>45</v>
      </c>
      <c r="N581" s="234"/>
    </row>
    <row r="582" spans="2:14">
      <c r="B582" s="83"/>
      <c r="C582" s="7">
        <v>0.2</v>
      </c>
      <c r="D582" s="7">
        <v>0.8</v>
      </c>
      <c r="E582" s="7"/>
      <c r="F582" s="98" t="s">
        <v>162</v>
      </c>
      <c r="G582" s="8" t="s">
        <v>46</v>
      </c>
      <c r="H582" s="143"/>
      <c r="I582" s="5"/>
      <c r="J582" s="115" t="s">
        <v>47</v>
      </c>
      <c r="K582" s="8" t="s">
        <v>48</v>
      </c>
      <c r="L582" s="9"/>
      <c r="M582" s="8" t="s">
        <v>49</v>
      </c>
      <c r="N582" s="234"/>
    </row>
    <row r="583" spans="2:14">
      <c r="B583" s="10"/>
      <c r="C583" s="75" t="s">
        <v>9</v>
      </c>
      <c r="D583" s="75" t="s">
        <v>10</v>
      </c>
      <c r="E583" s="75" t="s">
        <v>11</v>
      </c>
      <c r="F583" s="99" t="s">
        <v>8</v>
      </c>
      <c r="G583" s="11" t="s">
        <v>50</v>
      </c>
      <c r="H583" s="144" t="s">
        <v>51</v>
      </c>
      <c r="I583" s="12" t="s">
        <v>159</v>
      </c>
      <c r="J583" s="116" t="s">
        <v>50</v>
      </c>
      <c r="K583" s="12" t="s">
        <v>50</v>
      </c>
      <c r="L583" s="12" t="s">
        <v>52</v>
      </c>
      <c r="M583" s="12" t="s">
        <v>53</v>
      </c>
      <c r="N583" s="234"/>
    </row>
    <row r="584" spans="2:14" ht="31.5">
      <c r="B584" s="13" t="s">
        <v>13</v>
      </c>
      <c r="C584" s="14" t="s">
        <v>14</v>
      </c>
      <c r="D584" s="14" t="s">
        <v>14</v>
      </c>
      <c r="E584" s="15" t="s">
        <v>14</v>
      </c>
      <c r="F584" s="100" t="s">
        <v>15</v>
      </c>
      <c r="G584" s="16" t="s">
        <v>54</v>
      </c>
      <c r="H584" s="145"/>
      <c r="I584" s="17"/>
      <c r="J584" s="117" t="s">
        <v>54</v>
      </c>
      <c r="K584" s="17"/>
      <c r="L584" s="17"/>
      <c r="M584" s="16" t="s">
        <v>54</v>
      </c>
      <c r="N584" s="234"/>
    </row>
    <row r="585" spans="2:14" s="87" customFormat="1">
      <c r="B585" s="18" t="s">
        <v>16</v>
      </c>
      <c r="C585" s="278">
        <v>0</v>
      </c>
      <c r="D585" s="281">
        <v>0</v>
      </c>
      <c r="E585" s="279">
        <v>0</v>
      </c>
      <c r="F585" s="282">
        <f>ROUND(+E585*F$611,2)</f>
        <v>0</v>
      </c>
      <c r="G585" s="203">
        <f>(F$611-F$612)*E585</f>
        <v>0</v>
      </c>
      <c r="H585" s="71">
        <f>ROUND(F585*'Actual Load'!$B$8/'Zonal Load'!$N$8,2)</f>
        <v>0</v>
      </c>
      <c r="I585" s="71">
        <f t="shared" ref="I585:I608" si="135">ROUND((H585*$H$708)/$H$706,2)</f>
        <v>0</v>
      </c>
      <c r="J585" s="71">
        <f>I585-F585</f>
        <v>0</v>
      </c>
      <c r="K585" s="71">
        <f>+G585+J585</f>
        <v>0</v>
      </c>
      <c r="L585" s="204">
        <f>ROUND(E585*'Interest Over Collect '!$J$17,2)</f>
        <v>0</v>
      </c>
      <c r="M585" s="71">
        <f t="shared" ref="M585:M593" si="136">+K585+L585</f>
        <v>0</v>
      </c>
      <c r="N585" s="234"/>
    </row>
    <row r="586" spans="2:14" s="87" customFormat="1">
      <c r="B586" s="23" t="s">
        <v>17</v>
      </c>
      <c r="C586" s="278">
        <v>0</v>
      </c>
      <c r="D586" s="281">
        <v>0</v>
      </c>
      <c r="E586" s="279">
        <v>0</v>
      </c>
      <c r="F586" s="280">
        <f>ROUND(+E586*F$611,2)</f>
        <v>0</v>
      </c>
      <c r="G586" s="203">
        <f t="shared" ref="G586:G607" si="137">(F$611-F$612)*E586</f>
        <v>0</v>
      </c>
      <c r="H586" s="71">
        <f>ROUND(F586*'Actual Load'!$B$14/'Zonal Load'!$N$14,2)</f>
        <v>0</v>
      </c>
      <c r="I586" s="71">
        <f t="shared" si="135"/>
        <v>0</v>
      </c>
      <c r="J586" s="71">
        <f>I586-F586</f>
        <v>0</v>
      </c>
      <c r="K586" s="71">
        <f>+G586+J586</f>
        <v>0</v>
      </c>
      <c r="L586" s="204">
        <f>ROUND(E586*'Interest Over Collect '!$J$17,2)</f>
        <v>0</v>
      </c>
      <c r="M586" s="71">
        <f t="shared" si="136"/>
        <v>0</v>
      </c>
      <c r="N586" s="234"/>
    </row>
    <row r="587" spans="2:14" s="87" customFormat="1">
      <c r="B587" s="23" t="s">
        <v>201</v>
      </c>
      <c r="C587" s="278">
        <f>0%*0.421</f>
        <v>0</v>
      </c>
      <c r="D587" s="281">
        <f>0%*0.421</f>
        <v>0</v>
      </c>
      <c r="E587" s="279">
        <v>0</v>
      </c>
      <c r="F587" s="280">
        <f>ROUND(+E587*F$611,2)</f>
        <v>0</v>
      </c>
      <c r="G587" s="203">
        <f t="shared" si="137"/>
        <v>0</v>
      </c>
      <c r="H587" s="71">
        <f>ROUND(F587*'Actual Load'!$B$10/'Zonal Load'!$N$10,2)</f>
        <v>0</v>
      </c>
      <c r="I587" s="71">
        <f t="shared" si="135"/>
        <v>0</v>
      </c>
      <c r="J587" s="71">
        <f>I587-F587</f>
        <v>0</v>
      </c>
      <c r="K587" s="71">
        <f>+G587+J587</f>
        <v>0</v>
      </c>
      <c r="L587" s="204">
        <f>ROUND(E587*'Interest Over Collect '!$J$17,2)</f>
        <v>0</v>
      </c>
      <c r="M587" s="71">
        <f t="shared" si="136"/>
        <v>0</v>
      </c>
      <c r="N587" s="234"/>
    </row>
    <row r="588" spans="2:14" s="87" customFormat="1">
      <c r="B588" s="140" t="s">
        <v>260</v>
      </c>
      <c r="C588" s="278">
        <f>0%*0.579</f>
        <v>0</v>
      </c>
      <c r="D588" s="281">
        <f>0%*0.579</f>
        <v>0</v>
      </c>
      <c r="E588" s="279">
        <v>0</v>
      </c>
      <c r="F588" s="280">
        <f>ROUND(+E588*F$611,2)</f>
        <v>0</v>
      </c>
      <c r="G588" s="203">
        <f t="shared" si="137"/>
        <v>0</v>
      </c>
      <c r="H588" s="71">
        <f>ROUND(F588*'Actual Load'!$B$9/'Zonal Load'!$N$9,2)</f>
        <v>0</v>
      </c>
      <c r="I588" s="71">
        <f t="shared" si="135"/>
        <v>0</v>
      </c>
      <c r="J588" s="71">
        <f>I588-F588</f>
        <v>0</v>
      </c>
      <c r="K588" s="71">
        <f>+G588+J588</f>
        <v>0</v>
      </c>
      <c r="L588" s="204">
        <f>ROUND(E588*'Interest Over Collect '!$J$17,2)</f>
        <v>0</v>
      </c>
      <c r="M588" s="71">
        <f t="shared" si="136"/>
        <v>0</v>
      </c>
      <c r="N588" s="234"/>
    </row>
    <row r="589" spans="2:14" s="87" customFormat="1">
      <c r="B589" s="23" t="s">
        <v>18</v>
      </c>
      <c r="C589" s="278">
        <v>0</v>
      </c>
      <c r="D589" s="281">
        <v>0</v>
      </c>
      <c r="E589" s="279">
        <v>0</v>
      </c>
      <c r="F589" s="280">
        <f>ROUND(+E589*F$611,2)</f>
        <v>0</v>
      </c>
      <c r="G589" s="203">
        <f t="shared" si="137"/>
        <v>0</v>
      </c>
      <c r="H589" s="71">
        <f>ROUND(F589*'Actual Load'!$B$26/'Zonal Load'!$N$26,2)</f>
        <v>0</v>
      </c>
      <c r="I589" s="71">
        <f t="shared" si="135"/>
        <v>0</v>
      </c>
      <c r="J589" s="71">
        <f t="shared" ref="J589:J608" si="138">I589-F589</f>
        <v>0</v>
      </c>
      <c r="K589" s="71">
        <f t="shared" ref="K589:K608" si="139">+G589+J589</f>
        <v>0</v>
      </c>
      <c r="L589" s="204">
        <f>ROUND(E589*'Interest Over Collect '!$J$17,2)</f>
        <v>0</v>
      </c>
      <c r="M589" s="71">
        <f t="shared" si="136"/>
        <v>0</v>
      </c>
      <c r="N589" s="234"/>
    </row>
    <row r="590" spans="2:14" s="87" customFormat="1">
      <c r="B590" s="23" t="s">
        <v>19</v>
      </c>
      <c r="C590" s="278">
        <v>0</v>
      </c>
      <c r="D590" s="281">
        <v>0</v>
      </c>
      <c r="E590" s="279">
        <v>0</v>
      </c>
      <c r="F590" s="280">
        <f t="shared" ref="F590:F607" si="140">ROUND(+E590*F$611,2)</f>
        <v>0</v>
      </c>
      <c r="G590" s="203">
        <f t="shared" si="137"/>
        <v>0</v>
      </c>
      <c r="H590" s="71">
        <f>ROUND(F590*'Actual Load'!$B$16/'Zonal Load'!$N$16,2)</f>
        <v>0</v>
      </c>
      <c r="I590" s="71">
        <f t="shared" si="135"/>
        <v>0</v>
      </c>
      <c r="J590" s="71">
        <f t="shared" si="138"/>
        <v>0</v>
      </c>
      <c r="K590" s="71">
        <f t="shared" si="139"/>
        <v>0</v>
      </c>
      <c r="L590" s="204">
        <f>ROUND(E590*'Interest Over Collect '!$J$17,2)</f>
        <v>0</v>
      </c>
      <c r="M590" s="71">
        <f t="shared" si="136"/>
        <v>0</v>
      </c>
      <c r="N590" s="234"/>
    </row>
    <row r="591" spans="2:14" s="87" customFormat="1">
      <c r="B591" s="23" t="s">
        <v>20</v>
      </c>
      <c r="C591" s="278">
        <v>0</v>
      </c>
      <c r="D591" s="281">
        <v>0</v>
      </c>
      <c r="E591" s="279">
        <v>0</v>
      </c>
      <c r="F591" s="280">
        <f t="shared" si="140"/>
        <v>0</v>
      </c>
      <c r="G591" s="203">
        <f t="shared" si="137"/>
        <v>0</v>
      </c>
      <c r="H591" s="71">
        <f>ROUND(F591*'Actual Load'!$B$22/'Zonal Load'!$N$22,2)</f>
        <v>0</v>
      </c>
      <c r="I591" s="71">
        <f t="shared" si="135"/>
        <v>0</v>
      </c>
      <c r="J591" s="71">
        <f t="shared" si="138"/>
        <v>0</v>
      </c>
      <c r="K591" s="71">
        <f t="shared" si="139"/>
        <v>0</v>
      </c>
      <c r="L591" s="204">
        <f>ROUND(E591*'Interest Over Collect '!$J$17,2)</f>
        <v>0</v>
      </c>
      <c r="M591" s="71">
        <f t="shared" si="136"/>
        <v>0</v>
      </c>
      <c r="N591" s="234"/>
    </row>
    <row r="592" spans="2:14" s="87" customFormat="1">
      <c r="B592" s="23" t="s">
        <v>21</v>
      </c>
      <c r="C592" s="278">
        <v>0</v>
      </c>
      <c r="D592" s="281">
        <v>0</v>
      </c>
      <c r="E592" s="279">
        <v>0</v>
      </c>
      <c r="F592" s="280">
        <f t="shared" si="140"/>
        <v>0</v>
      </c>
      <c r="G592" s="203">
        <f t="shared" si="137"/>
        <v>0</v>
      </c>
      <c r="H592" s="71">
        <f>ROUND(F592*'Actual Load'!$B$17/'Zonal Load'!$N$17,2)</f>
        <v>0</v>
      </c>
      <c r="I592" s="71">
        <f t="shared" si="135"/>
        <v>0</v>
      </c>
      <c r="J592" s="71">
        <f t="shared" si="138"/>
        <v>0</v>
      </c>
      <c r="K592" s="71">
        <f t="shared" si="139"/>
        <v>0</v>
      </c>
      <c r="L592" s="204">
        <f>ROUND(E592*'Interest Over Collect '!$J$17,2)</f>
        <v>0</v>
      </c>
      <c r="M592" s="71">
        <f t="shared" si="136"/>
        <v>0</v>
      </c>
      <c r="N592" s="234"/>
    </row>
    <row r="593" spans="1:14" s="87" customFormat="1">
      <c r="B593" s="23" t="s">
        <v>22</v>
      </c>
      <c r="C593" s="278">
        <v>0</v>
      </c>
      <c r="D593" s="281">
        <v>0</v>
      </c>
      <c r="E593" s="279">
        <v>0</v>
      </c>
      <c r="F593" s="280">
        <f t="shared" si="140"/>
        <v>0</v>
      </c>
      <c r="G593" s="203">
        <f t="shared" si="137"/>
        <v>0</v>
      </c>
      <c r="H593" s="71">
        <f>ROUND(F593*'Actual Load'!$B$15/'Zonal Load'!$N$15,2)</f>
        <v>0</v>
      </c>
      <c r="I593" s="71">
        <f t="shared" si="135"/>
        <v>0</v>
      </c>
      <c r="J593" s="71">
        <f t="shared" si="138"/>
        <v>0</v>
      </c>
      <c r="K593" s="71">
        <f t="shared" si="139"/>
        <v>0</v>
      </c>
      <c r="L593" s="204">
        <f>ROUND(E593*'Interest Over Collect '!$J$17,2)</f>
        <v>0</v>
      </c>
      <c r="M593" s="71">
        <f t="shared" si="136"/>
        <v>0</v>
      </c>
      <c r="N593" s="234"/>
    </row>
    <row r="594" spans="1:14" s="87" customFormat="1">
      <c r="B594" s="23" t="s">
        <v>23</v>
      </c>
      <c r="C594" s="278">
        <v>0</v>
      </c>
      <c r="D594" s="281">
        <v>0</v>
      </c>
      <c r="E594" s="279">
        <v>1.75114914939136E-3</v>
      </c>
      <c r="F594" s="280">
        <f t="shared" si="140"/>
        <v>1909.39</v>
      </c>
      <c r="G594" s="203">
        <f t="shared" si="137"/>
        <v>1909.3917422761103</v>
      </c>
      <c r="H594" s="71">
        <f>ROUND(F594*'Actual Load'!$B$4/'Zonal Load'!$N$4,2)</f>
        <v>1917.21</v>
      </c>
      <c r="I594" s="71">
        <f t="shared" si="135"/>
        <v>1965.45</v>
      </c>
      <c r="J594" s="71">
        <f t="shared" si="138"/>
        <v>56.059999999999945</v>
      </c>
      <c r="K594" s="71">
        <f t="shared" si="139"/>
        <v>1965.4517422761103</v>
      </c>
      <c r="L594" s="204">
        <f>ROUND(E594*'Interest Over Collect '!$J$17,2)</f>
        <v>26.18</v>
      </c>
      <c r="M594" s="71">
        <f t="shared" ref="M594:M605" si="141">+K594+L594</f>
        <v>1991.6317422761103</v>
      </c>
      <c r="N594" s="234"/>
    </row>
    <row r="595" spans="1:14" s="87" customFormat="1">
      <c r="B595" s="23" t="s">
        <v>24</v>
      </c>
      <c r="C595" s="278">
        <v>0</v>
      </c>
      <c r="D595" s="281">
        <v>0</v>
      </c>
      <c r="E595" s="279">
        <v>0</v>
      </c>
      <c r="F595" s="280">
        <f t="shared" si="140"/>
        <v>0</v>
      </c>
      <c r="G595" s="203">
        <f t="shared" si="137"/>
        <v>0</v>
      </c>
      <c r="H595" s="71">
        <f>ROUND(F595*'Actual Load'!$B$11/'Zonal Load'!$N$11,2)</f>
        <v>0</v>
      </c>
      <c r="I595" s="71">
        <f t="shared" si="135"/>
        <v>0</v>
      </c>
      <c r="J595" s="71">
        <f t="shared" si="138"/>
        <v>0</v>
      </c>
      <c r="K595" s="71">
        <f t="shared" si="139"/>
        <v>0</v>
      </c>
      <c r="L595" s="204">
        <f>ROUND(E595*'Interest Over Collect '!$J$17,2)</f>
        <v>0</v>
      </c>
      <c r="M595" s="71">
        <f t="shared" si="141"/>
        <v>0</v>
      </c>
      <c r="N595" s="234"/>
    </row>
    <row r="596" spans="1:14" s="87" customFormat="1">
      <c r="B596" s="23" t="s">
        <v>26</v>
      </c>
      <c r="C596" s="278">
        <v>0</v>
      </c>
      <c r="D596" s="281">
        <v>0</v>
      </c>
      <c r="E596" s="279">
        <v>0</v>
      </c>
      <c r="F596" s="280">
        <f t="shared" si="140"/>
        <v>0</v>
      </c>
      <c r="G596" s="203">
        <f t="shared" si="137"/>
        <v>0</v>
      </c>
      <c r="H596" s="71">
        <f>ROUND(F596*'Actual Load'!$B$7/'Zonal Load'!$N$7,2)</f>
        <v>0</v>
      </c>
      <c r="I596" s="71">
        <f t="shared" si="135"/>
        <v>0</v>
      </c>
      <c r="J596" s="71">
        <f t="shared" si="138"/>
        <v>0</v>
      </c>
      <c r="K596" s="71">
        <f t="shared" si="139"/>
        <v>0</v>
      </c>
      <c r="L596" s="204">
        <f>ROUND(E596*'Interest Over Collect '!$J$17,2)</f>
        <v>0</v>
      </c>
      <c r="M596" s="71">
        <f t="shared" si="141"/>
        <v>0</v>
      </c>
      <c r="N596" s="234"/>
    </row>
    <row r="597" spans="1:14" s="87" customFormat="1">
      <c r="B597" s="23" t="s">
        <v>25</v>
      </c>
      <c r="C597" s="278">
        <v>0</v>
      </c>
      <c r="D597" s="281">
        <v>0</v>
      </c>
      <c r="E597" s="279">
        <v>0</v>
      </c>
      <c r="F597" s="280">
        <f t="shared" si="140"/>
        <v>0</v>
      </c>
      <c r="G597" s="203">
        <f t="shared" si="137"/>
        <v>0</v>
      </c>
      <c r="H597" s="71">
        <f>ROUND(F597*'Actual Load'!$B$6/'Zonal Load'!$N$6,2)</f>
        <v>0</v>
      </c>
      <c r="I597" s="71">
        <f t="shared" si="135"/>
        <v>0</v>
      </c>
      <c r="J597" s="71">
        <f t="shared" si="138"/>
        <v>0</v>
      </c>
      <c r="K597" s="71">
        <f t="shared" si="139"/>
        <v>0</v>
      </c>
      <c r="L597" s="204">
        <f>ROUND(E597*'Interest Over Collect '!$J$17,2)</f>
        <v>0</v>
      </c>
      <c r="M597" s="71">
        <f t="shared" si="141"/>
        <v>0</v>
      </c>
      <c r="N597" s="234"/>
    </row>
    <row r="598" spans="1:14" s="87" customFormat="1">
      <c r="B598" s="23" t="s">
        <v>119</v>
      </c>
      <c r="C598" s="278">
        <v>0</v>
      </c>
      <c r="D598" s="281">
        <v>0</v>
      </c>
      <c r="E598" s="279">
        <v>0</v>
      </c>
      <c r="F598" s="280">
        <f t="shared" si="140"/>
        <v>0</v>
      </c>
      <c r="G598" s="203">
        <f t="shared" si="137"/>
        <v>0</v>
      </c>
      <c r="H598" s="71">
        <f>ROUND(F598*'Actual Load'!$B$18/'Zonal Load'!$N$18,2)</f>
        <v>0</v>
      </c>
      <c r="I598" s="71">
        <f t="shared" si="135"/>
        <v>0</v>
      </c>
      <c r="J598" s="71">
        <f t="shared" si="138"/>
        <v>0</v>
      </c>
      <c r="K598" s="71">
        <f t="shared" si="139"/>
        <v>0</v>
      </c>
      <c r="L598" s="204">
        <f>ROUND(E598*'Interest Over Collect '!$J$17,2)</f>
        <v>0</v>
      </c>
      <c r="M598" s="71">
        <f t="shared" si="141"/>
        <v>0</v>
      </c>
      <c r="N598" s="234"/>
    </row>
    <row r="599" spans="1:14" s="87" customFormat="1">
      <c r="B599" s="23" t="s">
        <v>120</v>
      </c>
      <c r="C599" s="278">
        <v>0</v>
      </c>
      <c r="D599" s="281">
        <v>0</v>
      </c>
      <c r="E599" s="279">
        <v>0</v>
      </c>
      <c r="F599" s="280">
        <f t="shared" si="140"/>
        <v>0</v>
      </c>
      <c r="G599" s="203">
        <f t="shared" si="137"/>
        <v>0</v>
      </c>
      <c r="H599" s="71">
        <f>ROUND(F599*'Actual Load'!$B$17/'Zonal Load'!$N$17,2)</f>
        <v>0</v>
      </c>
      <c r="I599" s="71">
        <f t="shared" si="135"/>
        <v>0</v>
      </c>
      <c r="J599" s="71">
        <f t="shared" si="138"/>
        <v>0</v>
      </c>
      <c r="K599" s="71">
        <f t="shared" si="139"/>
        <v>0</v>
      </c>
      <c r="L599" s="204">
        <f>ROUND(E599*'Interest Over Collect '!$J$17,2)</f>
        <v>0</v>
      </c>
      <c r="M599" s="71">
        <f t="shared" si="141"/>
        <v>0</v>
      </c>
      <c r="N599" s="234"/>
    </row>
    <row r="600" spans="1:14" s="87" customFormat="1">
      <c r="A600" s="23"/>
      <c r="B600" s="23" t="s">
        <v>27</v>
      </c>
      <c r="C600" s="278">
        <v>0</v>
      </c>
      <c r="D600" s="281">
        <v>0</v>
      </c>
      <c r="E600" s="279">
        <v>0</v>
      </c>
      <c r="F600" s="280">
        <f t="shared" si="140"/>
        <v>0</v>
      </c>
      <c r="G600" s="203">
        <f t="shared" si="137"/>
        <v>0</v>
      </c>
      <c r="H600" s="71">
        <f>ROUND(F600*'Actual Load'!$B$12/'Zonal Load'!$N$12,2)</f>
        <v>0</v>
      </c>
      <c r="I600" s="71">
        <f t="shared" si="135"/>
        <v>0</v>
      </c>
      <c r="J600" s="71">
        <f t="shared" si="138"/>
        <v>0</v>
      </c>
      <c r="K600" s="71">
        <f t="shared" si="139"/>
        <v>0</v>
      </c>
      <c r="L600" s="204">
        <f>ROUND(E600*'Interest Over Collect '!$J$17,2)</f>
        <v>0</v>
      </c>
      <c r="M600" s="71">
        <f t="shared" si="141"/>
        <v>0</v>
      </c>
      <c r="N600" s="234"/>
    </row>
    <row r="601" spans="1:14">
      <c r="A601" s="23"/>
      <c r="B601" s="23" t="s">
        <v>28</v>
      </c>
      <c r="C601" s="19">
        <v>0</v>
      </c>
      <c r="D601" s="20">
        <v>0</v>
      </c>
      <c r="E601" s="108">
        <v>0</v>
      </c>
      <c r="F601" s="105">
        <f t="shared" si="140"/>
        <v>0</v>
      </c>
      <c r="G601" s="203">
        <f t="shared" si="137"/>
        <v>0</v>
      </c>
      <c r="H601" s="89">
        <f>ROUND(F601*'Actual Load'!$B$24/'Zonal Load'!$N$24,2)</f>
        <v>0</v>
      </c>
      <c r="I601" s="21">
        <f t="shared" si="135"/>
        <v>0</v>
      </c>
      <c r="J601" s="71">
        <f t="shared" si="138"/>
        <v>0</v>
      </c>
      <c r="K601" s="71">
        <f t="shared" si="139"/>
        <v>0</v>
      </c>
      <c r="L601" s="204">
        <f>ROUND(E601*'Interest Over Collect '!$J$17,2)</f>
        <v>0</v>
      </c>
      <c r="M601" s="89">
        <f t="shared" si="141"/>
        <v>0</v>
      </c>
      <c r="N601" s="234"/>
    </row>
    <row r="602" spans="1:14">
      <c r="A602" s="23"/>
      <c r="B602" s="23" t="s">
        <v>29</v>
      </c>
      <c r="C602" s="19">
        <v>0</v>
      </c>
      <c r="D602" s="20">
        <v>0</v>
      </c>
      <c r="E602" s="108">
        <v>0</v>
      </c>
      <c r="F602" s="105">
        <f t="shared" si="140"/>
        <v>0</v>
      </c>
      <c r="G602" s="203">
        <f t="shared" si="137"/>
        <v>0</v>
      </c>
      <c r="H602" s="89">
        <f>ROUND(F602*'Actual Load'!$B$5/'Zonal Load'!$N$5,2)</f>
        <v>0</v>
      </c>
      <c r="I602" s="21">
        <f t="shared" si="135"/>
        <v>0</v>
      </c>
      <c r="J602" s="71">
        <f t="shared" si="138"/>
        <v>0</v>
      </c>
      <c r="K602" s="71">
        <f t="shared" si="139"/>
        <v>0</v>
      </c>
      <c r="L602" s="204">
        <f>ROUND(E602*'Interest Over Collect '!$J$17,2)</f>
        <v>0</v>
      </c>
      <c r="M602" s="89">
        <f t="shared" si="141"/>
        <v>0</v>
      </c>
      <c r="N602" s="234"/>
    </row>
    <row r="603" spans="1:14">
      <c r="A603" s="23"/>
      <c r="B603" s="23" t="s">
        <v>30</v>
      </c>
      <c r="C603" s="19">
        <v>0</v>
      </c>
      <c r="D603" s="20">
        <v>0</v>
      </c>
      <c r="E603" s="108">
        <v>0.68200430584373495</v>
      </c>
      <c r="F603" s="105">
        <f t="shared" si="140"/>
        <v>743633.62</v>
      </c>
      <c r="G603" s="203">
        <f t="shared" si="137"/>
        <v>743633.62494130409</v>
      </c>
      <c r="H603" s="89">
        <f>ROUND(F603*'Actual Load'!$B$21/'Zonal Load'!$N$21,2)</f>
        <v>758213.78</v>
      </c>
      <c r="I603" s="21">
        <f t="shared" si="135"/>
        <v>777291.78</v>
      </c>
      <c r="J603" s="71">
        <f t="shared" si="138"/>
        <v>33658.160000000033</v>
      </c>
      <c r="K603" s="71">
        <f t="shared" si="139"/>
        <v>777291.78494130413</v>
      </c>
      <c r="L603" s="204">
        <f>ROUND(E603*'Interest Over Collect '!$J$17,2)</f>
        <v>10195.26</v>
      </c>
      <c r="M603" s="89">
        <f t="shared" si="141"/>
        <v>787487.04494130414</v>
      </c>
      <c r="N603" s="234"/>
    </row>
    <row r="604" spans="1:14">
      <c r="A604" s="23"/>
      <c r="B604" s="23" t="s">
        <v>31</v>
      </c>
      <c r="C604" s="19">
        <v>0</v>
      </c>
      <c r="D604" s="20">
        <v>0</v>
      </c>
      <c r="E604" s="108">
        <v>8.8180891160389685E-2</v>
      </c>
      <c r="F604" s="105">
        <f t="shared" si="140"/>
        <v>96149.36</v>
      </c>
      <c r="G604" s="203">
        <f t="shared" si="137"/>
        <v>96149.357390098303</v>
      </c>
      <c r="H604" s="89">
        <f>ROUND(F604*'Actual Load'!$B$19/'Zonal Load'!$N$19,2)</f>
        <v>87908.04</v>
      </c>
      <c r="I604" s="21">
        <f t="shared" si="135"/>
        <v>90119.96</v>
      </c>
      <c r="J604" s="71">
        <f t="shared" si="138"/>
        <v>-6029.3999999999942</v>
      </c>
      <c r="K604" s="71">
        <f t="shared" si="139"/>
        <v>90119.957390098309</v>
      </c>
      <c r="L604" s="204">
        <f>ROUND(E604*'Interest Over Collect '!$J$17,2)</f>
        <v>1318.21</v>
      </c>
      <c r="M604" s="89">
        <f t="shared" si="141"/>
        <v>91438.167390098315</v>
      </c>
      <c r="N604" s="234"/>
    </row>
    <row r="605" spans="1:14">
      <c r="A605" s="23"/>
      <c r="B605" s="23" t="s">
        <v>32</v>
      </c>
      <c r="C605" s="19">
        <v>0</v>
      </c>
      <c r="D605" s="20">
        <v>0</v>
      </c>
      <c r="E605" s="108">
        <v>0</v>
      </c>
      <c r="F605" s="105">
        <f t="shared" si="140"/>
        <v>0</v>
      </c>
      <c r="G605" s="203">
        <f t="shared" si="137"/>
        <v>0</v>
      </c>
      <c r="H605" s="89">
        <f>ROUND(F605*'Actual Load'!$B$25/'Zonal Load'!$N$25,2)</f>
        <v>0</v>
      </c>
      <c r="I605" s="21">
        <f t="shared" si="135"/>
        <v>0</v>
      </c>
      <c r="J605" s="71">
        <f t="shared" si="138"/>
        <v>0</v>
      </c>
      <c r="K605" s="71">
        <f t="shared" si="139"/>
        <v>0</v>
      </c>
      <c r="L605" s="204">
        <f>ROUND(E605*'Interest Over Collect '!$J$17,2)</f>
        <v>0</v>
      </c>
      <c r="M605" s="89">
        <f t="shared" si="141"/>
        <v>0</v>
      </c>
      <c r="N605" s="234"/>
    </row>
    <row r="606" spans="1:14">
      <c r="A606" s="23"/>
      <c r="B606" s="23" t="s">
        <v>33</v>
      </c>
      <c r="C606" s="19">
        <v>0</v>
      </c>
      <c r="D606" s="20">
        <v>0</v>
      </c>
      <c r="E606" s="108">
        <v>0.20261761168929929</v>
      </c>
      <c r="F606" s="105">
        <f t="shared" si="140"/>
        <v>220927.15</v>
      </c>
      <c r="G606" s="203">
        <f t="shared" si="137"/>
        <v>220927.15216960281</v>
      </c>
      <c r="H606" s="89">
        <f>ROUND(F606*'Actual Load'!$B$13/'Zonal Load'!$N$13,2)</f>
        <v>221511.17</v>
      </c>
      <c r="I606" s="21">
        <f t="shared" si="135"/>
        <v>227084.78</v>
      </c>
      <c r="J606" s="71">
        <f t="shared" si="138"/>
        <v>6157.6300000000047</v>
      </c>
      <c r="K606" s="71">
        <f t="shared" si="139"/>
        <v>227084.78216960281</v>
      </c>
      <c r="L606" s="204">
        <f>ROUND(E606*'Interest Over Collect '!$J$17,2)</f>
        <v>3028.92</v>
      </c>
      <c r="M606" s="89">
        <f>+K606+L606</f>
        <v>230113.70216960282</v>
      </c>
      <c r="N606" s="234"/>
    </row>
    <row r="607" spans="1:14">
      <c r="A607" s="23"/>
      <c r="B607" s="23" t="s">
        <v>34</v>
      </c>
      <c r="C607" s="19">
        <v>0</v>
      </c>
      <c r="D607" s="20">
        <v>0</v>
      </c>
      <c r="E607" s="108">
        <v>2.5446042157184746E-2</v>
      </c>
      <c r="F607" s="105">
        <f t="shared" si="140"/>
        <v>27745.47</v>
      </c>
      <c r="G607" s="203">
        <f t="shared" si="137"/>
        <v>27745.473756718748</v>
      </c>
      <c r="H607" s="89">
        <f>ROUND(F607*'Actual Load'!$B$23/'Zonal Load'!$N$23,2)</f>
        <v>28768.45</v>
      </c>
      <c r="I607" s="21">
        <f t="shared" si="135"/>
        <v>29492.32</v>
      </c>
      <c r="J607" s="71">
        <f t="shared" si="138"/>
        <v>1746.8499999999985</v>
      </c>
      <c r="K607" s="71">
        <f t="shared" si="139"/>
        <v>29492.323756718746</v>
      </c>
      <c r="L607" s="204">
        <f>ROUND(E607*'Interest Over Collect '!$J$17,2)</f>
        <v>380.39</v>
      </c>
      <c r="M607" s="89">
        <f>+K607+L607</f>
        <v>29872.713756718746</v>
      </c>
      <c r="N607" s="234"/>
    </row>
    <row r="608" spans="1:14">
      <c r="B608" s="24" t="s">
        <v>35</v>
      </c>
      <c r="C608" s="19">
        <v>0</v>
      </c>
      <c r="D608" s="20">
        <v>0</v>
      </c>
      <c r="E608" s="108">
        <v>0</v>
      </c>
      <c r="F608" s="105">
        <f>ROUND(+E608*F$611,2)</f>
        <v>0</v>
      </c>
      <c r="G608" s="203">
        <f>(F$611-F$612)*E608</f>
        <v>0</v>
      </c>
      <c r="H608" s="89">
        <f>ROUND(F608*'Actual Load'!$B$20/'Zonal Load'!$N$20,2)</f>
        <v>0</v>
      </c>
      <c r="I608" s="21">
        <f t="shared" si="135"/>
        <v>0</v>
      </c>
      <c r="J608" s="71">
        <f t="shared" si="138"/>
        <v>0</v>
      </c>
      <c r="K608" s="71">
        <f t="shared" si="139"/>
        <v>0</v>
      </c>
      <c r="L608" s="204">
        <f>ROUND(E608*'Interest Over Collect '!$J$17,2)</f>
        <v>0</v>
      </c>
      <c r="M608" s="89">
        <f>+K608+L608</f>
        <v>0</v>
      </c>
      <c r="N608" s="234"/>
    </row>
    <row r="609" spans="2:14">
      <c r="B609" s="25"/>
      <c r="C609" s="26">
        <f>SUM(C585:C608)</f>
        <v>0</v>
      </c>
      <c r="D609" s="27">
        <f>SUM(D585:D608)</f>
        <v>0</v>
      </c>
      <c r="E609" s="107">
        <f>SUM(E585:E608)</f>
        <v>1</v>
      </c>
      <c r="F609" s="101">
        <f>SUM(F585:F608)</f>
        <v>1090364.99</v>
      </c>
      <c r="G609" s="84">
        <f t="shared" ref="G609:M609" si="142">SUM(G587:G608)</f>
        <v>1090365</v>
      </c>
      <c r="H609" s="146">
        <f t="shared" si="142"/>
        <v>1098318.6499999999</v>
      </c>
      <c r="I609" s="85">
        <f t="shared" si="142"/>
        <v>1125954.29</v>
      </c>
      <c r="J609" s="85">
        <f t="shared" si="142"/>
        <v>35589.300000000039</v>
      </c>
      <c r="K609" s="163">
        <f t="shared" si="142"/>
        <v>1125954.3</v>
      </c>
      <c r="L609" s="85">
        <f t="shared" si="142"/>
        <v>14948.960000000001</v>
      </c>
      <c r="M609" s="85">
        <f t="shared" si="142"/>
        <v>1140903.26</v>
      </c>
      <c r="N609" s="234"/>
    </row>
    <row r="610" spans="2:14">
      <c r="G610" s="21"/>
      <c r="I610" s="86"/>
      <c r="N610" s="234"/>
    </row>
    <row r="611" spans="2:14">
      <c r="E611" s="102" t="str">
        <f>$E$73</f>
        <v>2013 Estimated Revenue Requirement</v>
      </c>
      <c r="F611" s="201">
        <v>1090365</v>
      </c>
      <c r="N611" s="234"/>
    </row>
    <row r="612" spans="2:14">
      <c r="E612" s="103" t="str">
        <f>$E$74</f>
        <v>2013 Rev Requirement Act</v>
      </c>
      <c r="F612" s="202">
        <v>0</v>
      </c>
      <c r="H612" s="147"/>
      <c r="I612" s="29"/>
      <c r="L612" s="90"/>
      <c r="N612" s="234"/>
    </row>
    <row r="613" spans="2:14">
      <c r="E613" s="103" t="str">
        <f>$E$75</f>
        <v>Actual Revenue Booked</v>
      </c>
      <c r="F613" s="210">
        <f>I609</f>
        <v>1125954.29</v>
      </c>
      <c r="N613" s="234"/>
    </row>
    <row r="614" spans="2:14">
      <c r="E614" s="103"/>
      <c r="F614" s="103"/>
      <c r="N614" s="234"/>
    </row>
    <row r="615" spans="2:14">
      <c r="B615" s="88"/>
      <c r="C615" s="88"/>
      <c r="D615" s="88"/>
      <c r="E615" s="88"/>
      <c r="F615" s="88"/>
      <c r="G615" s="88"/>
      <c r="H615" s="88"/>
      <c r="I615" s="88"/>
      <c r="J615" s="119"/>
      <c r="K615" s="88"/>
      <c r="L615" s="88"/>
      <c r="M615" s="88"/>
      <c r="N615" s="234"/>
    </row>
    <row r="616" spans="2:14">
      <c r="L616" s="87"/>
      <c r="N616" s="234"/>
    </row>
    <row r="617" spans="2:14">
      <c r="B617" s="543" t="s">
        <v>0</v>
      </c>
      <c r="C617" s="521"/>
      <c r="D617" s="537">
        <v>3104</v>
      </c>
      <c r="E617" s="538"/>
      <c r="F617" s="538"/>
      <c r="G617" s="538"/>
      <c r="H617" s="539"/>
      <c r="I617" s="158"/>
      <c r="J617" s="1"/>
      <c r="N617" s="234"/>
    </row>
    <row r="618" spans="2:14" ht="15.75" customHeight="1">
      <c r="B618" s="535" t="s">
        <v>2</v>
      </c>
      <c r="C618" s="524"/>
      <c r="D618" s="540" t="s">
        <v>271</v>
      </c>
      <c r="E618" s="541"/>
      <c r="F618" s="541"/>
      <c r="G618" s="541"/>
      <c r="H618" s="542"/>
      <c r="I618" s="159"/>
      <c r="J618" s="1"/>
      <c r="N618" s="234"/>
    </row>
    <row r="619" spans="2:14">
      <c r="B619" s="535" t="s">
        <v>4</v>
      </c>
      <c r="C619" s="524"/>
      <c r="D619" s="544"/>
      <c r="E619" s="545"/>
      <c r="F619" s="545"/>
      <c r="G619" s="545"/>
      <c r="H619" s="546"/>
      <c r="I619" s="160"/>
      <c r="J619" s="1"/>
      <c r="N619" s="234"/>
    </row>
    <row r="620" spans="2:14">
      <c r="B620" s="553" t="s">
        <v>6</v>
      </c>
      <c r="C620" s="554"/>
      <c r="D620" s="564" t="s">
        <v>33</v>
      </c>
      <c r="E620" s="565"/>
      <c r="F620" s="565"/>
      <c r="G620" s="565"/>
      <c r="H620" s="566"/>
      <c r="I620" s="161"/>
      <c r="J620" s="1"/>
      <c r="N620" s="234"/>
    </row>
    <row r="621" spans="2:14">
      <c r="B621" s="82"/>
      <c r="C621" s="82"/>
      <c r="D621" s="82"/>
      <c r="E621" s="82"/>
      <c r="F621" s="82"/>
      <c r="J621" s="113" t="s">
        <v>163</v>
      </c>
      <c r="K621" s="3" t="s">
        <v>42</v>
      </c>
      <c r="M621" s="3" t="s">
        <v>56</v>
      </c>
      <c r="N621" s="234"/>
    </row>
    <row r="622" spans="2:14">
      <c r="B622" s="82"/>
      <c r="C622" s="82"/>
      <c r="D622" s="82"/>
      <c r="E622" s="82"/>
      <c r="F622" s="82"/>
      <c r="G622" s="3" t="s">
        <v>39</v>
      </c>
      <c r="H622" s="142" t="s">
        <v>40</v>
      </c>
      <c r="I622" s="104" t="s">
        <v>41</v>
      </c>
      <c r="J622" s="114" t="s">
        <v>164</v>
      </c>
      <c r="K622" s="4" t="s">
        <v>165</v>
      </c>
      <c r="L622" s="4" t="s">
        <v>55</v>
      </c>
      <c r="M622" s="4" t="s">
        <v>166</v>
      </c>
      <c r="N622" s="234"/>
    </row>
    <row r="623" spans="2:14">
      <c r="B623" s="82"/>
      <c r="C623" s="82"/>
      <c r="D623" s="82"/>
      <c r="E623" s="82"/>
      <c r="F623" s="82"/>
      <c r="G623" s="5"/>
      <c r="H623" s="527" t="s">
        <v>43</v>
      </c>
      <c r="I623" s="528"/>
      <c r="J623" s="529"/>
      <c r="K623" s="6" t="s">
        <v>44</v>
      </c>
      <c r="L623" s="5"/>
      <c r="M623" s="6" t="s">
        <v>45</v>
      </c>
      <c r="N623" s="234"/>
    </row>
    <row r="624" spans="2:14">
      <c r="B624" s="83"/>
      <c r="C624" s="7">
        <v>0.2</v>
      </c>
      <c r="D624" s="7">
        <v>0.8</v>
      </c>
      <c r="E624" s="7"/>
      <c r="F624" s="98" t="s">
        <v>162</v>
      </c>
      <c r="G624" s="8" t="s">
        <v>46</v>
      </c>
      <c r="H624" s="143"/>
      <c r="I624" s="5"/>
      <c r="J624" s="115" t="s">
        <v>47</v>
      </c>
      <c r="K624" s="8" t="s">
        <v>48</v>
      </c>
      <c r="L624" s="9"/>
      <c r="M624" s="8" t="s">
        <v>49</v>
      </c>
      <c r="N624" s="234"/>
    </row>
    <row r="625" spans="2:14">
      <c r="B625" s="10"/>
      <c r="C625" s="75" t="s">
        <v>9</v>
      </c>
      <c r="D625" s="75" t="s">
        <v>10</v>
      </c>
      <c r="E625" s="75" t="s">
        <v>11</v>
      </c>
      <c r="F625" s="99" t="s">
        <v>8</v>
      </c>
      <c r="G625" s="11" t="s">
        <v>50</v>
      </c>
      <c r="H625" s="144" t="s">
        <v>51</v>
      </c>
      <c r="I625" s="12" t="s">
        <v>159</v>
      </c>
      <c r="J625" s="116" t="s">
        <v>50</v>
      </c>
      <c r="K625" s="12" t="s">
        <v>50</v>
      </c>
      <c r="L625" s="12" t="s">
        <v>52</v>
      </c>
      <c r="M625" s="12" t="s">
        <v>53</v>
      </c>
      <c r="N625" s="234"/>
    </row>
    <row r="626" spans="2:14" ht="31.5">
      <c r="B626" s="13" t="s">
        <v>13</v>
      </c>
      <c r="C626" s="14" t="s">
        <v>14</v>
      </c>
      <c r="D626" s="14" t="s">
        <v>14</v>
      </c>
      <c r="E626" s="15" t="s">
        <v>14</v>
      </c>
      <c r="F626" s="100" t="s">
        <v>15</v>
      </c>
      <c r="G626" s="16" t="s">
        <v>54</v>
      </c>
      <c r="H626" s="145"/>
      <c r="I626" s="17"/>
      <c r="J626" s="117" t="s">
        <v>54</v>
      </c>
      <c r="K626" s="17"/>
      <c r="L626" s="17"/>
      <c r="M626" s="16" t="s">
        <v>54</v>
      </c>
      <c r="N626" s="234"/>
    </row>
    <row r="627" spans="2:14" s="87" customFormat="1">
      <c r="B627" s="18" t="s">
        <v>16</v>
      </c>
      <c r="C627" s="278">
        <v>0</v>
      </c>
      <c r="D627" s="281">
        <v>0</v>
      </c>
      <c r="E627" s="279">
        <v>2.417634894230071E-2</v>
      </c>
      <c r="F627" s="287">
        <f>ROUND(+E627*F$656,2)</f>
        <v>0</v>
      </c>
      <c r="G627" s="203">
        <f>(F$656-F$657)*E627</f>
        <v>0</v>
      </c>
      <c r="H627" s="71">
        <f>ROUND(F627*'Actual Load'!$B$8/'Zonal Load'!$N$8,2)</f>
        <v>0</v>
      </c>
      <c r="I627" s="71">
        <f t="shared" ref="I627:I653" si="143">ROUND((H627*$H$708)/$H$706,2)</f>
        <v>0</v>
      </c>
      <c r="J627" s="71">
        <f>I627-F627</f>
        <v>0</v>
      </c>
      <c r="K627" s="71">
        <f>+G627+J627</f>
        <v>0</v>
      </c>
      <c r="L627" s="204">
        <f>ROUND(E627*'Interest Under Collect'!$J$7,2)</f>
        <v>0</v>
      </c>
      <c r="M627" s="71">
        <f t="shared" ref="M627:M635" si="144">+K627+L627</f>
        <v>0</v>
      </c>
      <c r="N627" s="234"/>
    </row>
    <row r="628" spans="2:14" s="87" customFormat="1">
      <c r="B628" s="23" t="s">
        <v>17</v>
      </c>
      <c r="C628" s="278">
        <v>0</v>
      </c>
      <c r="D628" s="281">
        <v>0</v>
      </c>
      <c r="E628" s="279">
        <v>1.2876944585364467E-3</v>
      </c>
      <c r="F628" s="239">
        <f>ROUND(+E628*F$656,2)</f>
        <v>0</v>
      </c>
      <c r="G628" s="203">
        <f t="shared" ref="G628:G653" si="145">(F$656-F$657)*E628</f>
        <v>0</v>
      </c>
      <c r="H628" s="71">
        <f>ROUND(F628*'Actual Load'!$B$14/'Zonal Load'!$N$14,2)</f>
        <v>0</v>
      </c>
      <c r="I628" s="71">
        <f t="shared" si="143"/>
        <v>0</v>
      </c>
      <c r="J628" s="71">
        <f>I628-F628</f>
        <v>0</v>
      </c>
      <c r="K628" s="71">
        <f>+G628+J628</f>
        <v>0</v>
      </c>
      <c r="L628" s="204">
        <f>ROUND(E628*'Interest Under Collect'!$J$7,2)</f>
        <v>0</v>
      </c>
      <c r="M628" s="71">
        <f t="shared" si="144"/>
        <v>0</v>
      </c>
      <c r="N628" s="234"/>
    </row>
    <row r="629" spans="2:14" s="87" customFormat="1">
      <c r="B629" s="23" t="s">
        <v>201</v>
      </c>
      <c r="C629" s="278">
        <f>0%*0.421</f>
        <v>0</v>
      </c>
      <c r="D629" s="281">
        <f>0%*0.421</f>
        <v>0</v>
      </c>
      <c r="E629" s="279">
        <f>2.25942878761273%*0.421</f>
        <v>9.5121951958495928E-3</v>
      </c>
      <c r="F629" s="239">
        <f>ROUND(+E629*F$656,2)</f>
        <v>0</v>
      </c>
      <c r="G629" s="203">
        <f t="shared" si="145"/>
        <v>0</v>
      </c>
      <c r="H629" s="71">
        <f>ROUND(F629*'Actual Load'!$B$10/'Zonal Load'!$N$10,2)</f>
        <v>0</v>
      </c>
      <c r="I629" s="71">
        <f t="shared" si="143"/>
        <v>0</v>
      </c>
      <c r="J629" s="71">
        <f>I629-F629</f>
        <v>0</v>
      </c>
      <c r="K629" s="71">
        <f>+G629+J629</f>
        <v>0</v>
      </c>
      <c r="L629" s="204">
        <f>ROUND(E629*'Interest Under Collect'!$J$7,2)</f>
        <v>0</v>
      </c>
      <c r="M629" s="71">
        <f t="shared" si="144"/>
        <v>0</v>
      </c>
      <c r="N629" s="234"/>
    </row>
    <row r="630" spans="2:14" s="87" customFormat="1">
      <c r="B630" s="140" t="s">
        <v>260</v>
      </c>
      <c r="C630" s="278">
        <f>0%*0.579</f>
        <v>0</v>
      </c>
      <c r="D630" s="281">
        <f>0%*0.579</f>
        <v>0</v>
      </c>
      <c r="E630" s="279">
        <f>2.25942878761273%*0.579</f>
        <v>1.3082092680277706E-2</v>
      </c>
      <c r="F630" s="239">
        <f>ROUND(+E630*F$656,2)</f>
        <v>0</v>
      </c>
      <c r="G630" s="203">
        <f t="shared" si="145"/>
        <v>0</v>
      </c>
      <c r="H630" s="71">
        <f>ROUND(F630*'Actual Load'!$B$9/'Zonal Load'!$N$9,2)</f>
        <v>0</v>
      </c>
      <c r="I630" s="71">
        <f t="shared" si="143"/>
        <v>0</v>
      </c>
      <c r="J630" s="71">
        <f>I630-F630</f>
        <v>0</v>
      </c>
      <c r="K630" s="71">
        <f>+G630+J630</f>
        <v>0</v>
      </c>
      <c r="L630" s="204">
        <f>ROUND(E630*'Interest Under Collect'!$J$7,2)</f>
        <v>0</v>
      </c>
      <c r="M630" s="71">
        <f t="shared" si="144"/>
        <v>0</v>
      </c>
      <c r="N630" s="234"/>
    </row>
    <row r="631" spans="2:14" s="87" customFormat="1">
      <c r="B631" s="23" t="s">
        <v>18</v>
      </c>
      <c r="C631" s="278">
        <v>0</v>
      </c>
      <c r="D631" s="281">
        <v>0</v>
      </c>
      <c r="E631" s="279">
        <v>2.2749769753202301E-3</v>
      </c>
      <c r="F631" s="239">
        <f t="shared" ref="F631:F647" si="146">ROUND(+E631*F$656,2)</f>
        <v>0</v>
      </c>
      <c r="G631" s="203">
        <f t="shared" si="145"/>
        <v>0</v>
      </c>
      <c r="H631" s="71">
        <f>ROUND(F631*'Actual Load'!$B$26/'Zonal Load'!$N$26,2)</f>
        <v>0</v>
      </c>
      <c r="I631" s="71">
        <f t="shared" si="143"/>
        <v>0</v>
      </c>
      <c r="J631" s="71">
        <f t="shared" ref="J631:J649" si="147">I631-F631</f>
        <v>0</v>
      </c>
      <c r="K631" s="71">
        <f t="shared" ref="K631:K649" si="148">+G631+J631</f>
        <v>0</v>
      </c>
      <c r="L631" s="204">
        <f>ROUND(E631*'Interest Under Collect'!$J$7,2)</f>
        <v>0</v>
      </c>
      <c r="M631" s="71">
        <f t="shared" si="144"/>
        <v>0</v>
      </c>
      <c r="N631" s="234"/>
    </row>
    <row r="632" spans="2:14" s="87" customFormat="1">
      <c r="B632" s="23" t="s">
        <v>19</v>
      </c>
      <c r="C632" s="278">
        <v>0</v>
      </c>
      <c r="D632" s="281">
        <v>0</v>
      </c>
      <c r="E632" s="279">
        <v>5.8193712054392839E-3</v>
      </c>
      <c r="F632" s="239">
        <f t="shared" si="146"/>
        <v>0</v>
      </c>
      <c r="G632" s="203">
        <f t="shared" si="145"/>
        <v>0</v>
      </c>
      <c r="H632" s="71">
        <f>ROUND(F632*'Actual Load'!$B$16/'Zonal Load'!$N$16,2)</f>
        <v>0</v>
      </c>
      <c r="I632" s="71">
        <f t="shared" si="143"/>
        <v>0</v>
      </c>
      <c r="J632" s="71">
        <f t="shared" si="147"/>
        <v>0</v>
      </c>
      <c r="K632" s="71">
        <f t="shared" si="148"/>
        <v>0</v>
      </c>
      <c r="L632" s="204">
        <f>ROUND(E632*'Interest Under Collect'!$J$7,2)</f>
        <v>0</v>
      </c>
      <c r="M632" s="71">
        <f t="shared" si="144"/>
        <v>0</v>
      </c>
      <c r="N632" s="234"/>
    </row>
    <row r="633" spans="2:14" s="87" customFormat="1">
      <c r="B633" s="23" t="s">
        <v>20</v>
      </c>
      <c r="C633" s="278">
        <v>0</v>
      </c>
      <c r="D633" s="281">
        <v>0</v>
      </c>
      <c r="E633" s="279">
        <v>6.204484835640546E-3</v>
      </c>
      <c r="F633" s="239">
        <f t="shared" si="146"/>
        <v>0</v>
      </c>
      <c r="G633" s="203">
        <f t="shared" si="145"/>
        <v>0</v>
      </c>
      <c r="H633" s="71">
        <f>ROUND(F633*'Actual Load'!$B$22/'Zonal Load'!$N$22,2)</f>
        <v>0</v>
      </c>
      <c r="I633" s="71">
        <f t="shared" si="143"/>
        <v>0</v>
      </c>
      <c r="J633" s="71">
        <f t="shared" si="147"/>
        <v>0</v>
      </c>
      <c r="K633" s="71">
        <f t="shared" si="148"/>
        <v>0</v>
      </c>
      <c r="L633" s="204">
        <f>ROUND(E633*'Interest Under Collect'!$J$7,2)</f>
        <v>0</v>
      </c>
      <c r="M633" s="71">
        <f t="shared" si="144"/>
        <v>0</v>
      </c>
      <c r="N633" s="234"/>
    </row>
    <row r="634" spans="2:14" s="87" customFormat="1">
      <c r="B634" s="23" t="s">
        <v>21</v>
      </c>
      <c r="C634" s="278">
        <v>0</v>
      </c>
      <c r="D634" s="281">
        <v>0</v>
      </c>
      <c r="E634" s="279">
        <v>1.5156413679503017E-2</v>
      </c>
      <c r="F634" s="239">
        <f t="shared" si="146"/>
        <v>0</v>
      </c>
      <c r="G634" s="203">
        <f t="shared" si="145"/>
        <v>0</v>
      </c>
      <c r="H634" s="71">
        <f>ROUND(F634*'Actual Load'!$B$17/'Zonal Load'!$N$17,2)</f>
        <v>0</v>
      </c>
      <c r="I634" s="71">
        <f t="shared" si="143"/>
        <v>0</v>
      </c>
      <c r="J634" s="71">
        <f t="shared" si="147"/>
        <v>0</v>
      </c>
      <c r="K634" s="71">
        <f t="shared" si="148"/>
        <v>0</v>
      </c>
      <c r="L634" s="204">
        <f>ROUND(E634*'Interest Under Collect'!$J$7,2)</f>
        <v>0</v>
      </c>
      <c r="M634" s="71">
        <f t="shared" si="144"/>
        <v>0</v>
      </c>
      <c r="N634" s="234"/>
    </row>
    <row r="635" spans="2:14" s="87" customFormat="1">
      <c r="B635" s="23" t="s">
        <v>22</v>
      </c>
      <c r="C635" s="278">
        <v>0</v>
      </c>
      <c r="D635" s="281">
        <v>0</v>
      </c>
      <c r="E635" s="279">
        <v>1.9023895837418203E-2</v>
      </c>
      <c r="F635" s="239">
        <f t="shared" si="146"/>
        <v>0</v>
      </c>
      <c r="G635" s="203">
        <f t="shared" si="145"/>
        <v>0</v>
      </c>
      <c r="H635" s="71">
        <f>ROUND(F635*'Actual Load'!$B$15/'Zonal Load'!$N$15,2)</f>
        <v>0</v>
      </c>
      <c r="I635" s="71">
        <f t="shared" si="143"/>
        <v>0</v>
      </c>
      <c r="J635" s="71">
        <f t="shared" si="147"/>
        <v>0</v>
      </c>
      <c r="K635" s="71">
        <f t="shared" si="148"/>
        <v>0</v>
      </c>
      <c r="L635" s="204">
        <f>ROUND(E635*'Interest Under Collect'!$J$7,2)</f>
        <v>0</v>
      </c>
      <c r="M635" s="71">
        <f t="shared" si="144"/>
        <v>0</v>
      </c>
      <c r="N635" s="234"/>
    </row>
    <row r="636" spans="2:14" s="87" customFormat="1">
      <c r="B636" s="23" t="s">
        <v>23</v>
      </c>
      <c r="C636" s="278">
        <v>0</v>
      </c>
      <c r="D636" s="281">
        <v>0</v>
      </c>
      <c r="E636" s="279">
        <v>6.8877559718316262E-3</v>
      </c>
      <c r="F636" s="239">
        <f t="shared" si="146"/>
        <v>0</v>
      </c>
      <c r="G636" s="203">
        <f t="shared" si="145"/>
        <v>0</v>
      </c>
      <c r="H636" s="71">
        <f>ROUND(F636*'Actual Load'!$B$4/'Zonal Load'!$N$4,2)</f>
        <v>0</v>
      </c>
      <c r="I636" s="71">
        <f t="shared" si="143"/>
        <v>0</v>
      </c>
      <c r="J636" s="71">
        <f t="shared" si="147"/>
        <v>0</v>
      </c>
      <c r="K636" s="71">
        <f t="shared" si="148"/>
        <v>0</v>
      </c>
      <c r="L636" s="204">
        <f>ROUND(E636*'Interest Under Collect'!$J$7,2)</f>
        <v>0</v>
      </c>
      <c r="M636" s="71">
        <f t="shared" ref="M636:M647" si="149">+K636+L636</f>
        <v>0</v>
      </c>
      <c r="N636" s="234"/>
    </row>
    <row r="637" spans="2:14" s="87" customFormat="1">
      <c r="B637" s="23" t="s">
        <v>24</v>
      </c>
      <c r="C637" s="278">
        <v>0</v>
      </c>
      <c r="D637" s="281">
        <v>0</v>
      </c>
      <c r="E637" s="279">
        <v>5.3847987966022099E-4</v>
      </c>
      <c r="F637" s="239">
        <f t="shared" si="146"/>
        <v>0</v>
      </c>
      <c r="G637" s="203">
        <f t="shared" si="145"/>
        <v>0</v>
      </c>
      <c r="H637" s="71">
        <f>ROUND(F637*'Actual Load'!$B$11/'Zonal Load'!$N$11,2)</f>
        <v>0</v>
      </c>
      <c r="I637" s="71">
        <f t="shared" si="143"/>
        <v>0</v>
      </c>
      <c r="J637" s="71">
        <f t="shared" si="147"/>
        <v>0</v>
      </c>
      <c r="K637" s="71">
        <f t="shared" si="148"/>
        <v>0</v>
      </c>
      <c r="L637" s="204">
        <f>ROUND(E637*'Interest Under Collect'!$J$7,2)</f>
        <v>0</v>
      </c>
      <c r="M637" s="71">
        <f t="shared" si="149"/>
        <v>0</v>
      </c>
      <c r="N637" s="234"/>
    </row>
    <row r="638" spans="2:14" s="87" customFormat="1">
      <c r="B638" s="23" t="s">
        <v>26</v>
      </c>
      <c r="C638" s="278">
        <v>0</v>
      </c>
      <c r="D638" s="281">
        <v>0</v>
      </c>
      <c r="E638" s="279">
        <v>1.5333516122057401E-2</v>
      </c>
      <c r="F638" s="239">
        <f t="shared" si="146"/>
        <v>0</v>
      </c>
      <c r="G638" s="203">
        <f t="shared" si="145"/>
        <v>0</v>
      </c>
      <c r="H638" s="71">
        <f>ROUND(F638*'Actual Load'!$B$7/'Zonal Load'!$N$7,2)</f>
        <v>0</v>
      </c>
      <c r="I638" s="71">
        <f t="shared" si="143"/>
        <v>0</v>
      </c>
      <c r="J638" s="71">
        <f t="shared" si="147"/>
        <v>0</v>
      </c>
      <c r="K638" s="71">
        <f t="shared" si="148"/>
        <v>0</v>
      </c>
      <c r="L638" s="204">
        <f>ROUND(E638*'Interest Under Collect'!$J$7,2)</f>
        <v>0</v>
      </c>
      <c r="M638" s="71">
        <f t="shared" si="149"/>
        <v>0</v>
      </c>
      <c r="N638" s="234"/>
    </row>
    <row r="639" spans="2:14" s="87" customFormat="1">
      <c r="B639" s="23" t="s">
        <v>25</v>
      </c>
      <c r="C639" s="278">
        <v>0</v>
      </c>
      <c r="D639" s="281">
        <v>0</v>
      </c>
      <c r="E639" s="279">
        <v>1.5663582749093932E-2</v>
      </c>
      <c r="F639" s="239">
        <f t="shared" si="146"/>
        <v>0</v>
      </c>
      <c r="G639" s="203">
        <f t="shared" si="145"/>
        <v>0</v>
      </c>
      <c r="H639" s="71">
        <f>ROUND(F639*'Actual Load'!$B$6/'Zonal Load'!$N$6,2)</f>
        <v>0</v>
      </c>
      <c r="I639" s="71">
        <f t="shared" si="143"/>
        <v>0</v>
      </c>
      <c r="J639" s="71">
        <f t="shared" si="147"/>
        <v>0</v>
      </c>
      <c r="K639" s="71">
        <f t="shared" si="148"/>
        <v>0</v>
      </c>
      <c r="L639" s="204">
        <f>ROUND(E639*'Interest Under Collect'!$J$7,2)</f>
        <v>0</v>
      </c>
      <c r="M639" s="71">
        <f t="shared" si="149"/>
        <v>0</v>
      </c>
      <c r="N639" s="234"/>
    </row>
    <row r="640" spans="2:14" s="87" customFormat="1">
      <c r="B640" s="23" t="s">
        <v>119</v>
      </c>
      <c r="C640" s="278">
        <v>0</v>
      </c>
      <c r="D640" s="281">
        <v>0</v>
      </c>
      <c r="E640" s="279">
        <v>1.1552762730182244E-3</v>
      </c>
      <c r="F640" s="239">
        <f t="shared" si="146"/>
        <v>0</v>
      </c>
      <c r="G640" s="203">
        <f t="shared" si="145"/>
        <v>0</v>
      </c>
      <c r="H640" s="71">
        <f>ROUND(F640*'Actual Load'!$B$18/'Zonal Load'!$N$18,2)</f>
        <v>0</v>
      </c>
      <c r="I640" s="71">
        <f t="shared" si="143"/>
        <v>0</v>
      </c>
      <c r="J640" s="71">
        <f t="shared" si="147"/>
        <v>0</v>
      </c>
      <c r="K640" s="71">
        <f t="shared" si="148"/>
        <v>0</v>
      </c>
      <c r="L640" s="204">
        <f>ROUND(E640*'Interest Under Collect'!$J$7,2)</f>
        <v>0</v>
      </c>
      <c r="M640" s="71">
        <f t="shared" si="149"/>
        <v>0</v>
      </c>
      <c r="N640" s="234"/>
    </row>
    <row r="641" spans="1:14" s="87" customFormat="1">
      <c r="B641" s="23" t="s">
        <v>120</v>
      </c>
      <c r="C641" s="278">
        <v>0</v>
      </c>
      <c r="D641" s="281">
        <v>0</v>
      </c>
      <c r="E641" s="279">
        <v>3.0274535456452421E-4</v>
      </c>
      <c r="F641" s="239">
        <f t="shared" si="146"/>
        <v>0</v>
      </c>
      <c r="G641" s="203">
        <f t="shared" si="145"/>
        <v>0</v>
      </c>
      <c r="H641" s="71">
        <f>ROUND(F641*'Actual Load'!$B$17/'Zonal Load'!$N$17,2)</f>
        <v>0</v>
      </c>
      <c r="I641" s="71">
        <f t="shared" si="143"/>
        <v>0</v>
      </c>
      <c r="J641" s="71">
        <f t="shared" si="147"/>
        <v>0</v>
      </c>
      <c r="K641" s="71">
        <f t="shared" si="148"/>
        <v>0</v>
      </c>
      <c r="L641" s="204">
        <f>ROUND(E641*'Interest Under Collect'!$J$7,2)</f>
        <v>0</v>
      </c>
      <c r="M641" s="71">
        <f t="shared" si="149"/>
        <v>0</v>
      </c>
      <c r="N641" s="234"/>
    </row>
    <row r="642" spans="1:14" s="87" customFormat="1">
      <c r="A642" s="23"/>
      <c r="B642" s="23" t="s">
        <v>27</v>
      </c>
      <c r="C642" s="278">
        <v>0</v>
      </c>
      <c r="D642" s="281">
        <v>0</v>
      </c>
      <c r="E642" s="279">
        <v>7.9455697798752601E-4</v>
      </c>
      <c r="F642" s="239">
        <f t="shared" si="146"/>
        <v>0</v>
      </c>
      <c r="G642" s="203">
        <f t="shared" si="145"/>
        <v>0</v>
      </c>
      <c r="H642" s="71">
        <f>ROUND(F642*'Actual Load'!$B$12/'Zonal Load'!$N$12,2)</f>
        <v>0</v>
      </c>
      <c r="I642" s="71">
        <f t="shared" si="143"/>
        <v>0</v>
      </c>
      <c r="J642" s="71">
        <f t="shared" si="147"/>
        <v>0</v>
      </c>
      <c r="K642" s="71">
        <f t="shared" si="148"/>
        <v>0</v>
      </c>
      <c r="L642" s="204">
        <f>ROUND(E642*'Interest Under Collect'!$J$7,2)</f>
        <v>0</v>
      </c>
      <c r="M642" s="71">
        <f t="shared" si="149"/>
        <v>0</v>
      </c>
      <c r="N642" s="234"/>
    </row>
    <row r="643" spans="1:14">
      <c r="A643" s="23"/>
      <c r="B643" s="23" t="s">
        <v>28</v>
      </c>
      <c r="C643" s="19">
        <v>0</v>
      </c>
      <c r="D643" s="20">
        <v>0</v>
      </c>
      <c r="E643" s="108">
        <v>8.6615565603105854E-4</v>
      </c>
      <c r="F643" s="238">
        <f t="shared" si="146"/>
        <v>0</v>
      </c>
      <c r="G643" s="203">
        <f t="shared" si="145"/>
        <v>0</v>
      </c>
      <c r="H643" s="89">
        <f>ROUND(F643*'Actual Load'!$B$24/'Zonal Load'!$N$24,2)</f>
        <v>0</v>
      </c>
      <c r="I643" s="21">
        <f t="shared" si="143"/>
        <v>0</v>
      </c>
      <c r="J643" s="71">
        <f t="shared" si="147"/>
        <v>0</v>
      </c>
      <c r="K643" s="71">
        <f t="shared" si="148"/>
        <v>0</v>
      </c>
      <c r="L643" s="204">
        <f>ROUND(E643*'Interest Under Collect'!$J$7,2)</f>
        <v>0</v>
      </c>
      <c r="M643" s="89">
        <f t="shared" si="149"/>
        <v>0</v>
      </c>
      <c r="N643" s="234"/>
    </row>
    <row r="644" spans="1:14">
      <c r="A644" s="23"/>
      <c r="B644" s="23" t="s">
        <v>29</v>
      </c>
      <c r="C644" s="19">
        <v>0</v>
      </c>
      <c r="D644" s="20">
        <v>0</v>
      </c>
      <c r="E644" s="108">
        <v>2.3414313850310516E-2</v>
      </c>
      <c r="F644" s="238">
        <f t="shared" si="146"/>
        <v>0</v>
      </c>
      <c r="G644" s="203">
        <f t="shared" si="145"/>
        <v>0</v>
      </c>
      <c r="H644" s="89">
        <f>ROUND(F644*'Actual Load'!$B$5/'Zonal Load'!$N$5,2)</f>
        <v>0</v>
      </c>
      <c r="I644" s="21">
        <f t="shared" si="143"/>
        <v>0</v>
      </c>
      <c r="J644" s="71">
        <f t="shared" si="147"/>
        <v>0</v>
      </c>
      <c r="K644" s="71">
        <f t="shared" si="148"/>
        <v>0</v>
      </c>
      <c r="L644" s="204">
        <f>ROUND(E644*'Interest Under Collect'!$J$7,2)</f>
        <v>0</v>
      </c>
      <c r="M644" s="89">
        <f t="shared" si="149"/>
        <v>0</v>
      </c>
      <c r="N644" s="234"/>
    </row>
    <row r="645" spans="1:14">
      <c r="A645" s="23"/>
      <c r="B645" s="23" t="s">
        <v>30</v>
      </c>
      <c r="C645" s="19">
        <v>0</v>
      </c>
      <c r="D645" s="20">
        <v>0</v>
      </c>
      <c r="E645" s="108">
        <v>1.8775323951991409E-2</v>
      </c>
      <c r="F645" s="238">
        <f t="shared" si="146"/>
        <v>0</v>
      </c>
      <c r="G645" s="203">
        <f t="shared" si="145"/>
        <v>0</v>
      </c>
      <c r="H645" s="89">
        <f>ROUND(F645*'Actual Load'!$B$21/'Zonal Load'!$N$21,2)</f>
        <v>0</v>
      </c>
      <c r="I645" s="21">
        <f t="shared" si="143"/>
        <v>0</v>
      </c>
      <c r="J645" s="71">
        <f t="shared" si="147"/>
        <v>0</v>
      </c>
      <c r="K645" s="71">
        <f t="shared" si="148"/>
        <v>0</v>
      </c>
      <c r="L645" s="204">
        <f>ROUND(E645*'Interest Under Collect'!$J$7,2)</f>
        <v>0</v>
      </c>
      <c r="M645" s="89">
        <f t="shared" si="149"/>
        <v>0</v>
      </c>
      <c r="N645" s="234"/>
    </row>
    <row r="646" spans="1:14">
      <c r="A646" s="23"/>
      <c r="B646" s="23" t="s">
        <v>31</v>
      </c>
      <c r="C646" s="19">
        <v>0</v>
      </c>
      <c r="D646" s="20">
        <v>0</v>
      </c>
      <c r="E646" s="108">
        <v>3.9201526698776851E-3</v>
      </c>
      <c r="F646" s="238">
        <f t="shared" si="146"/>
        <v>0</v>
      </c>
      <c r="G646" s="203">
        <f t="shared" si="145"/>
        <v>0</v>
      </c>
      <c r="H646" s="89">
        <f>ROUND(F646*'Actual Load'!$B$19/'Zonal Load'!$N$19,2)</f>
        <v>0</v>
      </c>
      <c r="I646" s="21">
        <f t="shared" si="143"/>
        <v>0</v>
      </c>
      <c r="J646" s="71">
        <f t="shared" si="147"/>
        <v>0</v>
      </c>
      <c r="K646" s="71">
        <f t="shared" si="148"/>
        <v>0</v>
      </c>
      <c r="L646" s="204">
        <f>ROUND(E646*'Interest Under Collect'!$J$7,2)</f>
        <v>0</v>
      </c>
      <c r="M646" s="89">
        <f t="shared" si="149"/>
        <v>0</v>
      </c>
      <c r="N646" s="234"/>
    </row>
    <row r="647" spans="1:14">
      <c r="A647" s="23"/>
      <c r="B647" s="23" t="s">
        <v>32</v>
      </c>
      <c r="C647" s="19">
        <v>0</v>
      </c>
      <c r="D647" s="20">
        <v>0</v>
      </c>
      <c r="E647" s="108">
        <v>5.8079243198196626E-4</v>
      </c>
      <c r="F647" s="238">
        <f t="shared" si="146"/>
        <v>0</v>
      </c>
      <c r="G647" s="203">
        <f t="shared" si="145"/>
        <v>0</v>
      </c>
      <c r="H647" s="89">
        <f>ROUND(F647*'Actual Load'!$B$25/'Zonal Load'!$N$25,2)</f>
        <v>0</v>
      </c>
      <c r="I647" s="21">
        <f t="shared" si="143"/>
        <v>0</v>
      </c>
      <c r="J647" s="71">
        <f t="shared" si="147"/>
        <v>0</v>
      </c>
      <c r="K647" s="71">
        <f t="shared" si="148"/>
        <v>0</v>
      </c>
      <c r="L647" s="204">
        <f>ROUND(E647*'Interest Under Collect'!$J$7,2)</f>
        <v>0</v>
      </c>
      <c r="M647" s="89">
        <f t="shared" si="149"/>
        <v>0</v>
      </c>
      <c r="N647" s="234"/>
    </row>
    <row r="648" spans="1:14">
      <c r="A648" s="23"/>
      <c r="B648" s="23" t="s">
        <v>33</v>
      </c>
      <c r="C648" s="19">
        <v>0</v>
      </c>
      <c r="D648" s="20">
        <v>0</v>
      </c>
      <c r="E648" s="108">
        <v>0.80234267705903506</v>
      </c>
      <c r="F648" s="238">
        <f t="shared" ref="F648:F653" si="150">ROUND(+E648*F$656,2)</f>
        <v>0</v>
      </c>
      <c r="G648" s="203">
        <f t="shared" si="145"/>
        <v>0</v>
      </c>
      <c r="H648" s="89">
        <f>ROUND(F648*'Actual Load'!$B$13/'Zonal Load'!$N$13,2)</f>
        <v>0</v>
      </c>
      <c r="I648" s="21">
        <f t="shared" si="143"/>
        <v>0</v>
      </c>
      <c r="J648" s="71">
        <f t="shared" si="147"/>
        <v>0</v>
      </c>
      <c r="K648" s="71">
        <f t="shared" si="148"/>
        <v>0</v>
      </c>
      <c r="L648" s="204">
        <f>ROUND(E648*'Interest Under Collect'!$J$7,2)</f>
        <v>0</v>
      </c>
      <c r="M648" s="89">
        <f t="shared" ref="M648:M653" si="151">+K648+L648</f>
        <v>0</v>
      </c>
      <c r="N648" s="234"/>
    </row>
    <row r="649" spans="1:14">
      <c r="A649" s="23"/>
      <c r="B649" s="23" t="s">
        <v>34</v>
      </c>
      <c r="C649" s="19">
        <v>0</v>
      </c>
      <c r="D649" s="20">
        <v>0</v>
      </c>
      <c r="E649" s="108">
        <v>2.6058955971885768E-3</v>
      </c>
      <c r="F649" s="239">
        <f t="shared" si="150"/>
        <v>0</v>
      </c>
      <c r="G649" s="203">
        <f t="shared" si="145"/>
        <v>0</v>
      </c>
      <c r="H649" s="71">
        <f>ROUND(F649*'Actual Load'!$B$23/'Zonal Load'!$N$23,2)</f>
        <v>0</v>
      </c>
      <c r="I649" s="71">
        <f t="shared" si="143"/>
        <v>0</v>
      </c>
      <c r="J649" s="71">
        <f t="shared" si="147"/>
        <v>0</v>
      </c>
      <c r="K649" s="71">
        <f t="shared" si="148"/>
        <v>0</v>
      </c>
      <c r="L649" s="204">
        <f>ROUND(E649*'Interest Under Collect'!$J$7,2)</f>
        <v>0</v>
      </c>
      <c r="M649" s="71">
        <f t="shared" si="151"/>
        <v>0</v>
      </c>
      <c r="N649" s="234"/>
    </row>
    <row r="650" spans="1:14">
      <c r="B650" s="236" t="s">
        <v>35</v>
      </c>
      <c r="C650" s="19">
        <v>0</v>
      </c>
      <c r="D650" s="20">
        <v>0</v>
      </c>
      <c r="E650" s="108">
        <v>1.4774069032505166E-3</v>
      </c>
      <c r="F650" s="239">
        <f t="shared" si="150"/>
        <v>0</v>
      </c>
      <c r="G650" s="203">
        <f t="shared" si="145"/>
        <v>0</v>
      </c>
      <c r="H650" s="71">
        <f>ROUND(F650*'Actual Load'!$B$20/'Zonal Load'!$N$20,2)</f>
        <v>0</v>
      </c>
      <c r="I650" s="71">
        <f t="shared" si="143"/>
        <v>0</v>
      </c>
      <c r="J650" s="71">
        <f>I650-F650</f>
        <v>0</v>
      </c>
      <c r="K650" s="71">
        <f>+G650+J650</f>
        <v>0</v>
      </c>
      <c r="L650" s="204">
        <f>ROUND(E650*'Interest Under Collect'!$J$7,2)</f>
        <v>0</v>
      </c>
      <c r="M650" s="71">
        <f t="shared" si="151"/>
        <v>0</v>
      </c>
      <c r="N650" s="234"/>
    </row>
    <row r="651" spans="1:14">
      <c r="B651" s="236" t="s">
        <v>112</v>
      </c>
      <c r="C651" s="19">
        <v>0</v>
      </c>
      <c r="D651" s="20">
        <v>0</v>
      </c>
      <c r="E651" s="108">
        <v>8.5203551696441272E-3</v>
      </c>
      <c r="F651" s="239">
        <f t="shared" si="150"/>
        <v>0</v>
      </c>
      <c r="G651" s="203">
        <f t="shared" si="145"/>
        <v>0</v>
      </c>
      <c r="H651" s="71">
        <f>ROUND(F651*'Actual Load'!$B$27/'Zonal Load'!$N$27,2)</f>
        <v>0</v>
      </c>
      <c r="I651" s="71">
        <f t="shared" si="143"/>
        <v>0</v>
      </c>
      <c r="J651" s="71">
        <f>I651-F651</f>
        <v>0</v>
      </c>
      <c r="K651" s="71">
        <f>+G651+J651</f>
        <v>0</v>
      </c>
      <c r="L651" s="204">
        <f>ROUND(E651*'Interest Under Collect'!$J$7,2)</f>
        <v>0</v>
      </c>
      <c r="M651" s="71">
        <f t="shared" si="151"/>
        <v>0</v>
      </c>
      <c r="N651" s="234"/>
    </row>
    <row r="652" spans="1:14">
      <c r="B652" s="236" t="s">
        <v>113</v>
      </c>
      <c r="C652" s="19">
        <v>0</v>
      </c>
      <c r="D652" s="20">
        <v>0</v>
      </c>
      <c r="E652" s="108">
        <v>2.8353957218997631E-4</v>
      </c>
      <c r="F652" s="239">
        <f t="shared" si="150"/>
        <v>0</v>
      </c>
      <c r="G652" s="203">
        <f t="shared" si="145"/>
        <v>0</v>
      </c>
      <c r="H652" s="71">
        <f>ROUND(F652*'Actual Load'!$B$28/'Zonal Load'!$N$28,2)</f>
        <v>0</v>
      </c>
      <c r="I652" s="71">
        <f t="shared" si="143"/>
        <v>0</v>
      </c>
      <c r="J652" s="71">
        <f>I652-F652</f>
        <v>0</v>
      </c>
      <c r="K652" s="71">
        <f>+G652+J652</f>
        <v>0</v>
      </c>
      <c r="L652" s="204">
        <f>ROUND(E652*'Interest Under Collect'!$J$7,2)</f>
        <v>0</v>
      </c>
      <c r="M652" s="71">
        <f t="shared" si="151"/>
        <v>0</v>
      </c>
      <c r="N652" s="234"/>
    </row>
    <row r="653" spans="1:14">
      <c r="B653" s="24" t="s">
        <v>121</v>
      </c>
      <c r="C653" s="19">
        <v>0</v>
      </c>
      <c r="D653" s="20">
        <v>0</v>
      </c>
      <c r="E653" s="237">
        <v>0</v>
      </c>
      <c r="F653" s="239">
        <f t="shared" si="150"/>
        <v>0</v>
      </c>
      <c r="G653" s="203">
        <f t="shared" si="145"/>
        <v>0</v>
      </c>
      <c r="H653" s="71">
        <f>ROUND(F653*'Actual Load'!$B$29/'Zonal Load'!$N$29,2)</f>
        <v>0</v>
      </c>
      <c r="I653" s="71">
        <f t="shared" si="143"/>
        <v>0</v>
      </c>
      <c r="J653" s="71">
        <f>I653-F653</f>
        <v>0</v>
      </c>
      <c r="K653" s="71">
        <f>+G653+J653</f>
        <v>0</v>
      </c>
      <c r="L653" s="204">
        <f>ROUND(E653*'Interest Under Collect'!$J$7,2)</f>
        <v>0</v>
      </c>
      <c r="M653" s="71">
        <f t="shared" si="151"/>
        <v>0</v>
      </c>
      <c r="N653" s="234"/>
    </row>
    <row r="654" spans="1:14">
      <c r="B654" s="25"/>
      <c r="C654" s="26">
        <f>SUM(C627:C653)</f>
        <v>0</v>
      </c>
      <c r="D654" s="27">
        <f>SUM(D627:D653)</f>
        <v>0</v>
      </c>
      <c r="E654" s="106">
        <f>SUM(E627:E653)</f>
        <v>1.0000000000000002</v>
      </c>
      <c r="F654" s="101">
        <f>SUM(F627:F653)</f>
        <v>0</v>
      </c>
      <c r="G654" s="146">
        <f>SUM(G627:G653)</f>
        <v>0</v>
      </c>
      <c r="H654" s="146">
        <f t="shared" ref="H654:M654" si="152">SUM(H627:H653)</f>
        <v>0</v>
      </c>
      <c r="I654" s="146">
        <f t="shared" si="152"/>
        <v>0</v>
      </c>
      <c r="J654" s="146">
        <f t="shared" si="152"/>
        <v>0</v>
      </c>
      <c r="K654" s="164">
        <f t="shared" si="152"/>
        <v>0</v>
      </c>
      <c r="L654" s="146">
        <f t="shared" si="152"/>
        <v>0</v>
      </c>
      <c r="M654" s="146">
        <f t="shared" si="152"/>
        <v>0</v>
      </c>
      <c r="N654" s="234"/>
    </row>
    <row r="655" spans="1:14">
      <c r="G655" s="21"/>
      <c r="I655" s="86"/>
      <c r="N655" s="234"/>
    </row>
    <row r="656" spans="1:14">
      <c r="E656" s="102" t="str">
        <f>$E$73</f>
        <v>2013 Estimated Revenue Requirement</v>
      </c>
      <c r="F656" s="201">
        <v>0</v>
      </c>
      <c r="G656" s="21"/>
      <c r="N656" s="234"/>
    </row>
    <row r="657" spans="2:14">
      <c r="E657" s="103" t="str">
        <f>$E$74</f>
        <v>2013 Rev Requirement Act</v>
      </c>
      <c r="F657" s="202">
        <v>0</v>
      </c>
      <c r="H657" s="147"/>
      <c r="I657" s="29"/>
      <c r="L657" s="90"/>
      <c r="N657" s="234"/>
    </row>
    <row r="658" spans="2:14">
      <c r="E658" s="103" t="str">
        <f>$E$75</f>
        <v>Actual Revenue Booked</v>
      </c>
      <c r="F658" s="210">
        <f>I654</f>
        <v>0</v>
      </c>
      <c r="H658" s="147"/>
      <c r="I658" s="29"/>
      <c r="L658" s="90"/>
      <c r="N658" s="234"/>
    </row>
    <row r="659" spans="2:14">
      <c r="H659" s="147"/>
      <c r="I659" s="29"/>
      <c r="L659" s="90"/>
      <c r="N659" s="234"/>
    </row>
    <row r="660" spans="2:14">
      <c r="B660" s="88"/>
      <c r="C660" s="88"/>
      <c r="D660" s="88"/>
      <c r="E660" s="88"/>
      <c r="F660" s="88"/>
      <c r="G660" s="88"/>
      <c r="H660" s="88"/>
      <c r="I660" s="88"/>
      <c r="J660" s="119"/>
      <c r="K660" s="88"/>
      <c r="L660" s="88"/>
      <c r="M660" s="88"/>
      <c r="N660" s="234"/>
    </row>
    <row r="661" spans="2:14">
      <c r="E661" s="103"/>
      <c r="F661" s="103"/>
      <c r="H661" s="147"/>
      <c r="I661" s="29"/>
      <c r="L661" s="90"/>
      <c r="N661" s="234"/>
    </row>
    <row r="662" spans="2:14">
      <c r="E662" s="102" t="str">
        <f>$E$73</f>
        <v>2013 Estimated Revenue Requirement</v>
      </c>
      <c r="F662" s="201">
        <f>F73+F113+F153+F195+F235+F277+F319+F359+F401+F443+F485+F527+F569+F611+F656</f>
        <v>38700369.800524034</v>
      </c>
      <c r="N662" s="234"/>
    </row>
    <row r="663" spans="2:14">
      <c r="E663" s="103" t="s">
        <v>272</v>
      </c>
      <c r="F663" s="202">
        <f>F74+F114+F154+F196+F236+F278+F320+F360+F402+F444+F486+F528+F570+F612+F657</f>
        <v>33892604.659583762</v>
      </c>
      <c r="H663" s="89"/>
      <c r="N663" s="234"/>
    </row>
    <row r="664" spans="2:14">
      <c r="E664" s="103" t="s">
        <v>161</v>
      </c>
      <c r="F664" s="210">
        <f>F75+F115+F155+F197+F237+F279+F321+F361+F403+F445+F487+F529+F571+F613+F658</f>
        <v>40064827.229999989</v>
      </c>
      <c r="H664" s="89"/>
      <c r="N664" s="234"/>
    </row>
    <row r="665" spans="2:14">
      <c r="N665" s="234"/>
    </row>
    <row r="666" spans="2:14">
      <c r="F666" s="21"/>
      <c r="N666" s="234"/>
    </row>
    <row r="667" spans="2:14">
      <c r="N667" s="234"/>
    </row>
    <row r="668" spans="2:14">
      <c r="F668" s="166" t="s">
        <v>273</v>
      </c>
      <c r="G668" s="166" t="s">
        <v>168</v>
      </c>
      <c r="H668" s="167" t="s">
        <v>169</v>
      </c>
      <c r="I668" s="166" t="s">
        <v>170</v>
      </c>
      <c r="J668" s="168" t="s">
        <v>171</v>
      </c>
      <c r="K668" s="166" t="s">
        <v>172</v>
      </c>
      <c r="L668" s="166" t="s">
        <v>173</v>
      </c>
      <c r="M668" s="166" t="s">
        <v>174</v>
      </c>
      <c r="N668" s="234"/>
    </row>
    <row r="669" spans="2:14" ht="25.5" customHeight="1">
      <c r="F669" s="97">
        <f>F71+F111+F151+F193+F233+F275+F317+F357+F399+F441+F483+F525+F567+F609+F654</f>
        <v>38700369.780000001</v>
      </c>
      <c r="G669" s="97">
        <f t="shared" ref="G669:M669" si="153">G71+G111+G151+G193+G233+G275+G317+G357+G399+G441+G483+G525+G567+G609+G654</f>
        <v>4807765.137269564</v>
      </c>
      <c r="H669" s="97">
        <f t="shared" si="153"/>
        <v>39081468.43</v>
      </c>
      <c r="I669" s="97">
        <f t="shared" si="153"/>
        <v>40064827.229999989</v>
      </c>
      <c r="J669" s="97">
        <f t="shared" si="153"/>
        <v>1364457.4499999983</v>
      </c>
      <c r="K669" s="97">
        <f t="shared" si="153"/>
        <v>6172222.5872695632</v>
      </c>
      <c r="L669" s="97">
        <f t="shared" si="153"/>
        <v>452798.01999999996</v>
      </c>
      <c r="M669" s="97">
        <f t="shared" si="153"/>
        <v>6625020.6072695628</v>
      </c>
      <c r="N669" s="234"/>
    </row>
    <row r="670" spans="2:14">
      <c r="N670" s="234"/>
    </row>
    <row r="671" spans="2:14">
      <c r="J671" s="103" t="s">
        <v>157</v>
      </c>
      <c r="K671" s="34">
        <f>K71+K111+K151+K193+K233+K275+K357+K399+K441+K483+K525+K567+K609</f>
        <v>6827388.8772625001</v>
      </c>
      <c r="L671" s="34">
        <f>L71+L111+L151+L193+L233+L275+L357+L399+L441+L483+L525+L567+L609</f>
        <v>456607.01999999996</v>
      </c>
    </row>
    <row r="672" spans="2:14">
      <c r="J672" s="103" t="s">
        <v>158</v>
      </c>
      <c r="K672" s="34">
        <f>K317+K654</f>
        <v>-655166.28999293677</v>
      </c>
      <c r="L672" s="34">
        <f>L317+L654</f>
        <v>-3808.9999999999995</v>
      </c>
    </row>
    <row r="673" spans="2:13">
      <c r="K673" s="152">
        <f>K669-K671-K672</f>
        <v>0</v>
      </c>
      <c r="L673" s="152">
        <f>L669-L671-L672</f>
        <v>0</v>
      </c>
    </row>
    <row r="674" spans="2:13">
      <c r="F674" s="97"/>
      <c r="G674" s="97"/>
      <c r="H674" s="243"/>
      <c r="I674" s="97"/>
      <c r="K674" s="97"/>
      <c r="L674" s="97"/>
      <c r="M674" s="97"/>
    </row>
    <row r="675" spans="2:13">
      <c r="F675" s="97"/>
      <c r="G675" s="97"/>
      <c r="H675" s="97"/>
      <c r="I675" s="97"/>
      <c r="K675" s="97"/>
      <c r="L675" s="97"/>
      <c r="M675" s="97"/>
    </row>
    <row r="676" spans="2:13">
      <c r="B676" s="124" t="s">
        <v>179</v>
      </c>
      <c r="C676" s="125"/>
      <c r="D676" s="125"/>
      <c r="E676" s="125"/>
      <c r="F676" s="125"/>
      <c r="G676" s="125"/>
      <c r="H676" s="165"/>
    </row>
    <row r="677" spans="2:13">
      <c r="B677" s="122"/>
      <c r="C677" s="30"/>
      <c r="D677" s="30"/>
      <c r="E677" s="30"/>
      <c r="F677" s="30"/>
      <c r="G677" s="30"/>
      <c r="H677" s="150"/>
    </row>
    <row r="678" spans="2:13">
      <c r="B678" s="123" t="s">
        <v>16</v>
      </c>
      <c r="C678" s="30"/>
      <c r="D678" s="30"/>
      <c r="E678" s="30"/>
      <c r="F678" s="30"/>
      <c r="G678" s="30"/>
      <c r="H678" s="240">
        <f>H49+H89+H129+H169+H211+H251+H293+H335+H375+H417+H459+H501+H543+H585+H627</f>
        <v>645267.41999999993</v>
      </c>
    </row>
    <row r="679" spans="2:13">
      <c r="B679" s="123" t="s">
        <v>17</v>
      </c>
      <c r="C679" s="30"/>
      <c r="D679" s="30"/>
      <c r="E679" s="30"/>
      <c r="F679" s="30"/>
      <c r="G679" s="30"/>
      <c r="H679" s="240">
        <f t="shared" ref="H679:H688" si="154">H50+H90+H130+H170+H212+H252+H294+H336+H376+H418+H460+H502+H544+H586+H628</f>
        <v>31979.759999999998</v>
      </c>
    </row>
    <row r="680" spans="2:13">
      <c r="B680" s="140" t="s">
        <v>201</v>
      </c>
      <c r="C680" s="30"/>
      <c r="D680" s="30"/>
      <c r="E680" s="30"/>
      <c r="F680" s="30"/>
      <c r="G680" s="30"/>
      <c r="H680" s="240">
        <f t="shared" si="154"/>
        <v>247748.68999999997</v>
      </c>
    </row>
    <row r="681" spans="2:13">
      <c r="B681" s="140" t="s">
        <v>260</v>
      </c>
      <c r="C681" s="30"/>
      <c r="D681" s="30"/>
      <c r="E681" s="30"/>
      <c r="F681" s="30"/>
      <c r="G681" s="30"/>
      <c r="H681" s="240">
        <f t="shared" si="154"/>
        <v>349084.92</v>
      </c>
    </row>
    <row r="682" spans="2:13">
      <c r="B682" s="123" t="s">
        <v>18</v>
      </c>
      <c r="C682" s="30"/>
      <c r="D682" s="30"/>
      <c r="E682" s="30"/>
      <c r="F682" s="30"/>
      <c r="G682" s="30"/>
      <c r="H682" s="240">
        <f t="shared" si="154"/>
        <v>56859.9</v>
      </c>
    </row>
    <row r="683" spans="2:13">
      <c r="B683" s="123" t="s">
        <v>19</v>
      </c>
      <c r="C683" s="30"/>
      <c r="D683" s="30"/>
      <c r="E683" s="30"/>
      <c r="F683" s="30"/>
      <c r="G683" s="30"/>
      <c r="H683" s="240">
        <f t="shared" si="154"/>
        <v>148325.36000000002</v>
      </c>
    </row>
    <row r="684" spans="2:13">
      <c r="B684" s="123" t="s">
        <v>20</v>
      </c>
      <c r="C684" s="30"/>
      <c r="D684" s="30"/>
      <c r="E684" s="30"/>
      <c r="F684" s="30"/>
      <c r="G684" s="30"/>
      <c r="H684" s="240">
        <f t="shared" si="154"/>
        <v>173365.59</v>
      </c>
    </row>
    <row r="685" spans="2:13">
      <c r="B685" s="123" t="s">
        <v>21</v>
      </c>
      <c r="C685" s="30"/>
      <c r="D685" s="30"/>
      <c r="E685" s="30"/>
      <c r="F685" s="30"/>
      <c r="G685" s="30"/>
      <c r="H685" s="240">
        <f t="shared" si="154"/>
        <v>396495.05999999994</v>
      </c>
    </row>
    <row r="686" spans="2:13">
      <c r="B686" s="123" t="s">
        <v>22</v>
      </c>
      <c r="C686" s="30"/>
      <c r="D686" s="30"/>
      <c r="E686" s="30"/>
      <c r="F686" s="30"/>
      <c r="G686" s="30"/>
      <c r="H686" s="240">
        <f t="shared" si="154"/>
        <v>521827.82999999996</v>
      </c>
    </row>
    <row r="687" spans="2:13">
      <c r="B687" s="123" t="s">
        <v>23</v>
      </c>
      <c r="C687" s="30"/>
      <c r="D687" s="30"/>
      <c r="E687" s="30"/>
      <c r="F687" s="30"/>
      <c r="G687" s="30"/>
      <c r="H687" s="240">
        <f t="shared" si="154"/>
        <v>1020274.9499999998</v>
      </c>
    </row>
    <row r="688" spans="2:13">
      <c r="B688" s="123" t="s">
        <v>24</v>
      </c>
      <c r="C688" s="30"/>
      <c r="D688" s="30"/>
      <c r="E688" s="30"/>
      <c r="F688" s="30"/>
      <c r="G688" s="30"/>
      <c r="H688" s="240">
        <f t="shared" si="154"/>
        <v>13128.34</v>
      </c>
    </row>
    <row r="689" spans="2:8">
      <c r="B689" s="123" t="s">
        <v>25</v>
      </c>
      <c r="C689" s="30"/>
      <c r="D689" s="30"/>
      <c r="E689" s="30"/>
      <c r="F689" s="30"/>
      <c r="G689" s="30"/>
      <c r="H689" s="240">
        <f>H60+H100+H140+H181+H222+H263+H305+H346+H387+H429+H471+H513+H555+H597+H639</f>
        <v>399822.72000000009</v>
      </c>
    </row>
    <row r="690" spans="2:8">
      <c r="B690" s="123" t="s">
        <v>26</v>
      </c>
      <c r="C690" s="30"/>
      <c r="D690" s="30"/>
      <c r="E690" s="30"/>
      <c r="F690" s="30"/>
      <c r="G690" s="30"/>
      <c r="H690" s="240">
        <f>H61+H101+H141+H180+H223+H262+H304+H347+H386+H428+H470+H512+H554+H596+H638</f>
        <v>400815.1</v>
      </c>
    </row>
    <row r="691" spans="2:8">
      <c r="B691" s="123" t="s">
        <v>119</v>
      </c>
      <c r="C691" s="30"/>
      <c r="D691" s="30"/>
      <c r="E691" s="30"/>
      <c r="F691" s="30"/>
      <c r="G691" s="30"/>
      <c r="H691" s="240">
        <f>H182+H264+H306+H388+H430+H472+H514+H556+H598+H640</f>
        <v>27381.72</v>
      </c>
    </row>
    <row r="692" spans="2:8">
      <c r="B692" s="123" t="s">
        <v>120</v>
      </c>
      <c r="C692" s="30"/>
      <c r="D692" s="30"/>
      <c r="E692" s="30"/>
      <c r="F692" s="30"/>
      <c r="G692" s="30"/>
      <c r="H692" s="240">
        <f>H183+H265+H307+H389+H431+H473+H515+H557+H599+H641</f>
        <v>7108.66</v>
      </c>
    </row>
    <row r="693" spans="2:8">
      <c r="B693" s="123" t="s">
        <v>27</v>
      </c>
      <c r="C693" s="30"/>
      <c r="D693" s="30"/>
      <c r="E693" s="30"/>
      <c r="F693" s="30"/>
      <c r="G693" s="30"/>
      <c r="H693" s="240">
        <f>H62+H102+H142+H184+H224+H266+H308+H348+H390+H432+H474+H516+H558+H600+H642</f>
        <v>19524.27</v>
      </c>
    </row>
    <row r="694" spans="2:8">
      <c r="B694" s="123" t="s">
        <v>28</v>
      </c>
      <c r="C694" s="30"/>
      <c r="D694" s="30"/>
      <c r="E694" s="30"/>
      <c r="F694" s="30"/>
      <c r="G694" s="30"/>
      <c r="H694" s="240">
        <f t="shared" ref="H694:H701" si="155">H63+H103+H143+H185+H225+H267+H309+H349+H391+H433+H475+H517+H559+H601+H643</f>
        <v>24408.589999999997</v>
      </c>
    </row>
    <row r="695" spans="2:8">
      <c r="B695" s="123" t="s">
        <v>29</v>
      </c>
      <c r="C695" s="30"/>
      <c r="D695" s="30"/>
      <c r="E695" s="30"/>
      <c r="F695" s="30"/>
      <c r="G695" s="30"/>
      <c r="H695" s="240">
        <f t="shared" si="155"/>
        <v>1808896.53</v>
      </c>
    </row>
    <row r="696" spans="2:8">
      <c r="B696" s="123" t="s">
        <v>30</v>
      </c>
      <c r="C696" s="30"/>
      <c r="D696" s="30"/>
      <c r="E696" s="30"/>
      <c r="F696" s="30"/>
      <c r="G696" s="30"/>
      <c r="H696" s="240">
        <f t="shared" si="155"/>
        <v>21171703.210000008</v>
      </c>
    </row>
    <row r="697" spans="2:8">
      <c r="B697" s="123" t="s">
        <v>31</v>
      </c>
      <c r="C697" s="30"/>
      <c r="D697" s="30"/>
      <c r="E697" s="30"/>
      <c r="F697" s="30"/>
      <c r="G697" s="30"/>
      <c r="H697" s="240">
        <f t="shared" si="155"/>
        <v>3546819.4200000004</v>
      </c>
    </row>
    <row r="698" spans="2:8">
      <c r="B698" s="123" t="s">
        <v>32</v>
      </c>
      <c r="C698" s="30"/>
      <c r="D698" s="30"/>
      <c r="E698" s="30"/>
      <c r="F698" s="30"/>
      <c r="G698" s="30"/>
      <c r="H698" s="240">
        <f t="shared" si="155"/>
        <v>441467.76</v>
      </c>
    </row>
    <row r="699" spans="2:8">
      <c r="B699" s="123" t="s">
        <v>33</v>
      </c>
      <c r="C699" s="30"/>
      <c r="D699" s="30"/>
      <c r="E699" s="30"/>
      <c r="F699" s="30"/>
      <c r="G699" s="30"/>
      <c r="H699" s="240">
        <f t="shared" si="155"/>
        <v>1387534.1</v>
      </c>
    </row>
    <row r="700" spans="2:8">
      <c r="B700" s="123" t="s">
        <v>34</v>
      </c>
      <c r="C700" s="30"/>
      <c r="D700" s="30"/>
      <c r="E700" s="30"/>
      <c r="F700" s="30"/>
      <c r="G700" s="30"/>
      <c r="H700" s="240">
        <f t="shared" si="155"/>
        <v>6060358.54</v>
      </c>
    </row>
    <row r="701" spans="2:8">
      <c r="B701" s="123" t="s">
        <v>35</v>
      </c>
      <c r="C701" s="30"/>
      <c r="D701" s="30"/>
      <c r="E701" s="30"/>
      <c r="F701" s="30"/>
      <c r="G701" s="30"/>
      <c r="H701" s="240">
        <f t="shared" si="155"/>
        <v>181269.99</v>
      </c>
    </row>
    <row r="702" spans="2:8">
      <c r="B702" s="123" t="s">
        <v>112</v>
      </c>
      <c r="C702" s="30"/>
      <c r="D702" s="30"/>
      <c r="E702" s="30"/>
      <c r="F702" s="30"/>
      <c r="G702" s="30"/>
      <c r="H702" s="240">
        <f>H651</f>
        <v>0</v>
      </c>
    </row>
    <row r="703" spans="2:8">
      <c r="B703" s="123" t="s">
        <v>113</v>
      </c>
      <c r="C703" s="30"/>
      <c r="D703" s="30"/>
      <c r="E703" s="30"/>
      <c r="F703" s="30"/>
      <c r="G703" s="30"/>
      <c r="H703" s="240">
        <f>H652</f>
        <v>0</v>
      </c>
    </row>
    <row r="704" spans="2:8">
      <c r="B704" s="123" t="s">
        <v>121</v>
      </c>
      <c r="C704" s="30"/>
      <c r="D704" s="30"/>
      <c r="E704" s="30"/>
      <c r="F704" s="30"/>
      <c r="G704" s="30"/>
      <c r="H704" s="240">
        <f>H653</f>
        <v>0</v>
      </c>
    </row>
    <row r="705" spans="2:10">
      <c r="B705" s="122"/>
      <c r="C705" s="30"/>
      <c r="D705" s="30"/>
      <c r="E705" s="30"/>
      <c r="F705" s="30"/>
      <c r="G705" s="30"/>
      <c r="H705" s="150"/>
    </row>
    <row r="706" spans="2:10">
      <c r="B706" s="124" t="s">
        <v>179</v>
      </c>
      <c r="C706" s="125"/>
      <c r="D706" s="125"/>
      <c r="E706" s="125"/>
      <c r="F706" s="125"/>
      <c r="G706" s="125"/>
      <c r="H706" s="169">
        <f>SUM(H678:H705)</f>
        <v>39081468.430000015</v>
      </c>
    </row>
    <row r="707" spans="2:10">
      <c r="I707" s="215" t="s">
        <v>256</v>
      </c>
      <c r="J707" s="214">
        <f>H708/H706</f>
        <v>1.0251617659085994</v>
      </c>
    </row>
    <row r="708" spans="2:10">
      <c r="B708" s="126" t="s">
        <v>178</v>
      </c>
      <c r="C708" s="127"/>
      <c r="D708" s="127">
        <v>801699</v>
      </c>
      <c r="E708" s="127">
        <v>517324.10100000002</v>
      </c>
      <c r="F708" s="127"/>
      <c r="G708" s="127"/>
      <c r="H708" s="153">
        <v>40064827.189999998</v>
      </c>
      <c r="I708" s="2" t="s">
        <v>268</v>
      </c>
      <c r="J708" s="235"/>
    </row>
  </sheetData>
  <mergeCells count="100">
    <mergeCell ref="H623:J623"/>
    <mergeCell ref="B619:C619"/>
    <mergeCell ref="D619:H619"/>
    <mergeCell ref="B620:C620"/>
    <mergeCell ref="D620:H620"/>
    <mergeCell ref="B618:C618"/>
    <mergeCell ref="D618:H618"/>
    <mergeCell ref="B575:C575"/>
    <mergeCell ref="D575:H575"/>
    <mergeCell ref="B576:C576"/>
    <mergeCell ref="D576:H576"/>
    <mergeCell ref="B577:C577"/>
    <mergeCell ref="D577:H577"/>
    <mergeCell ref="B578:C578"/>
    <mergeCell ref="D578:H578"/>
    <mergeCell ref="H581:J581"/>
    <mergeCell ref="B617:C617"/>
    <mergeCell ref="D617:H617"/>
    <mergeCell ref="H539:J539"/>
    <mergeCell ref="B535:C535"/>
    <mergeCell ref="D535:H535"/>
    <mergeCell ref="B536:C536"/>
    <mergeCell ref="D536:H536"/>
    <mergeCell ref="H497:J497"/>
    <mergeCell ref="D492:H492"/>
    <mergeCell ref="B533:C533"/>
    <mergeCell ref="D533:H533"/>
    <mergeCell ref="B534:C534"/>
    <mergeCell ref="D534:H534"/>
    <mergeCell ref="B492:C492"/>
    <mergeCell ref="B493:C493"/>
    <mergeCell ref="D493:H493"/>
    <mergeCell ref="B494:C494"/>
    <mergeCell ref="D494:H494"/>
    <mergeCell ref="B491:C491"/>
    <mergeCell ref="D491:H491"/>
    <mergeCell ref="B410:C410"/>
    <mergeCell ref="B450:C450"/>
    <mergeCell ref="B451:C451"/>
    <mergeCell ref="B452:C452"/>
    <mergeCell ref="H413:J413"/>
    <mergeCell ref="H455:J455"/>
    <mergeCell ref="B449:C449"/>
    <mergeCell ref="D452:H452"/>
    <mergeCell ref="D410:H410"/>
    <mergeCell ref="D449:H449"/>
    <mergeCell ref="D450:H450"/>
    <mergeCell ref="D451:H451"/>
    <mergeCell ref="H4:J4"/>
    <mergeCell ref="C368:H368"/>
    <mergeCell ref="H371:J371"/>
    <mergeCell ref="C365:H365"/>
    <mergeCell ref="C367:H367"/>
    <mergeCell ref="C366:H366"/>
    <mergeCell ref="H331:J331"/>
    <mergeCell ref="H247:J247"/>
    <mergeCell ref="H289:J289"/>
    <mergeCell ref="C283:H283"/>
    <mergeCell ref="C284:H284"/>
    <mergeCell ref="C285:H285"/>
    <mergeCell ref="C286:H286"/>
    <mergeCell ref="C204:H204"/>
    <mergeCell ref="C241:H241"/>
    <mergeCell ref="C242:H242"/>
    <mergeCell ref="B409:C409"/>
    <mergeCell ref="C325:H325"/>
    <mergeCell ref="C326:H326"/>
    <mergeCell ref="C327:H327"/>
    <mergeCell ref="C328:H328"/>
    <mergeCell ref="D407:H407"/>
    <mergeCell ref="D408:H408"/>
    <mergeCell ref="B407:C407"/>
    <mergeCell ref="B408:C408"/>
    <mergeCell ref="D409:H409"/>
    <mergeCell ref="C243:H243"/>
    <mergeCell ref="H207:J207"/>
    <mergeCell ref="C244:H244"/>
    <mergeCell ref="C202:H202"/>
    <mergeCell ref="C203:H203"/>
    <mergeCell ref="H165:J165"/>
    <mergeCell ref="C201:H201"/>
    <mergeCell ref="C39:H39"/>
    <mergeCell ref="C40:H40"/>
    <mergeCell ref="C41:H41"/>
    <mergeCell ref="C42:H42"/>
    <mergeCell ref="C79:H79"/>
    <mergeCell ref="C80:H80"/>
    <mergeCell ref="H45:J45"/>
    <mergeCell ref="H85:J85"/>
    <mergeCell ref="C81:H81"/>
    <mergeCell ref="C82:H82"/>
    <mergeCell ref="C119:H119"/>
    <mergeCell ref="C120:H120"/>
    <mergeCell ref="C121:H121"/>
    <mergeCell ref="C122:H122"/>
    <mergeCell ref="C159:H159"/>
    <mergeCell ref="C160:H160"/>
    <mergeCell ref="H125:J125"/>
    <mergeCell ref="C161:H161"/>
    <mergeCell ref="C162:H162"/>
  </mergeCells>
  <phoneticPr fontId="4" type="noConversion"/>
  <conditionalFormatting sqref="D493:D494 D492:I492 D488 D450:D452 D409:D410 C366:C368 C326:C328 C284:C286 C242:C244 D408:I408 D534:D536 I534 D576:D578 I576 D618:D620 I618">
    <cfRule type="cellIs" dxfId="0" priority="1" stopIfTrue="1" operator="equal">
      <formula>0</formula>
    </cfRule>
  </conditionalFormatting>
  <pageMargins left="0.25" right="0.25" top="0.5" bottom="0.5" header="0.5" footer="0.5"/>
  <pageSetup scale="70" fitToHeight="13" orientation="landscape" r:id="rId1"/>
  <headerFooter alignWithMargins="0"/>
  <rowBreaks count="16" manualBreakCount="16">
    <brk id="37" min="1" max="13" man="1"/>
    <brk id="77" min="1" max="13" man="1"/>
    <brk id="117" min="1" max="13" man="1"/>
    <brk id="157" min="1" max="13" man="1"/>
    <brk id="199" min="1" max="13" man="1"/>
    <brk id="239" min="1" max="13" man="1"/>
    <brk id="281" min="1" max="13" man="1"/>
    <brk id="323" min="1" max="13" man="1"/>
    <brk id="363" min="1" max="13" man="1"/>
    <brk id="405" min="1" max="13" man="1"/>
    <brk id="447" min="1" max="13" man="1"/>
    <brk id="489" min="1" max="13" man="1"/>
    <brk id="531" min="1" max="13" man="1"/>
    <brk id="573" min="1" max="13" man="1"/>
    <brk id="615" min="1" max="13" man="1"/>
    <brk id="660" min="1" max="1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sheetPr>
  <dimension ref="A1:BQ307"/>
  <sheetViews>
    <sheetView showGridLines="0" topLeftCell="J47" workbookViewId="0">
      <selection activeCell="N87" sqref="N87"/>
    </sheetView>
  </sheetViews>
  <sheetFormatPr defaultRowHeight="12.75"/>
  <cols>
    <col min="1" max="1" width="6.75" style="404" customWidth="1"/>
    <col min="2" max="2" width="1.625" style="404" customWidth="1"/>
    <col min="3" max="3" width="26.375" style="404" customWidth="1"/>
    <col min="4" max="4" width="11.5" style="404" customWidth="1"/>
    <col min="5" max="5" width="15.25" style="404" bestFit="1" customWidth="1"/>
    <col min="6" max="6" width="14.5" style="404" customWidth="1"/>
    <col min="7" max="7" width="15.25" style="404" customWidth="1"/>
    <col min="8" max="8" width="16.25" style="404" customWidth="1"/>
    <col min="9" max="9" width="13.875" style="404" customWidth="1"/>
    <col min="10" max="10" width="15.875" style="404" customWidth="1"/>
    <col min="11" max="11" width="13.75" style="404" customWidth="1"/>
    <col min="12" max="12" width="17.125" style="404" bestFit="1" customWidth="1"/>
    <col min="13" max="13" width="14.25" style="404" customWidth="1"/>
    <col min="14" max="14" width="14.375" style="404" customWidth="1"/>
    <col min="15" max="15" width="14" style="404" customWidth="1"/>
    <col min="16" max="16" width="18" style="404" customWidth="1"/>
    <col min="17" max="17" width="13.875" style="404" customWidth="1"/>
    <col min="18" max="18" width="15.625" style="404" customWidth="1"/>
    <col min="19" max="19" width="2.125" style="404" customWidth="1"/>
    <col min="20" max="20" width="14.625" style="404" customWidth="1"/>
    <col min="21" max="16384" width="9" style="404"/>
  </cols>
  <sheetData>
    <row r="1" spans="1:69">
      <c r="R1" s="405"/>
    </row>
    <row r="2" spans="1:69">
      <c r="R2" s="405"/>
    </row>
    <row r="4" spans="1:69">
      <c r="R4" s="405" t="s">
        <v>437</v>
      </c>
    </row>
    <row r="5" spans="1:69" ht="15">
      <c r="C5" s="291" t="s">
        <v>309</v>
      </c>
      <c r="D5" s="291"/>
      <c r="E5" s="291"/>
      <c r="F5" s="291"/>
      <c r="G5" s="291"/>
      <c r="H5" s="291"/>
      <c r="I5" s="291"/>
      <c r="J5" s="292" t="s">
        <v>310</v>
      </c>
      <c r="K5" s="292"/>
      <c r="L5" s="291"/>
      <c r="M5" s="291"/>
      <c r="N5" s="291"/>
      <c r="O5" s="293"/>
      <c r="Q5" s="294"/>
      <c r="R5" s="295" t="s">
        <v>438</v>
      </c>
      <c r="S5" s="294"/>
      <c r="T5" s="406"/>
      <c r="U5" s="406"/>
      <c r="V5" s="29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row>
    <row r="6" spans="1:69" ht="15">
      <c r="C6" s="291"/>
      <c r="D6" s="291"/>
      <c r="E6" s="291"/>
      <c r="F6" s="291"/>
      <c r="G6" s="291"/>
      <c r="H6" s="299" t="s">
        <v>312</v>
      </c>
      <c r="I6" s="299"/>
      <c r="J6" s="299" t="s">
        <v>313</v>
      </c>
      <c r="K6" s="299"/>
      <c r="L6" s="299"/>
      <c r="M6" s="299"/>
      <c r="N6" s="299"/>
      <c r="O6" s="293"/>
      <c r="Q6" s="294"/>
      <c r="R6" s="293"/>
      <c r="S6" s="294"/>
      <c r="T6" s="407"/>
      <c r="U6" s="406"/>
      <c r="V6" s="29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row>
    <row r="7" spans="1:69" ht="15">
      <c r="C7" s="294"/>
      <c r="D7" s="294"/>
      <c r="E7" s="294"/>
      <c r="F7" s="294"/>
      <c r="G7" s="294"/>
      <c r="H7" s="294"/>
      <c r="I7" s="294"/>
      <c r="J7" s="294"/>
      <c r="K7" s="294"/>
      <c r="L7" s="294"/>
      <c r="M7" s="294"/>
      <c r="N7" s="294"/>
      <c r="O7" s="294"/>
      <c r="Q7" s="294"/>
      <c r="R7" s="294" t="s">
        <v>314</v>
      </c>
      <c r="S7" s="294"/>
      <c r="T7" s="406"/>
      <c r="U7" s="406"/>
      <c r="V7" s="29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row>
    <row r="8" spans="1:69" ht="15">
      <c r="A8" s="408"/>
      <c r="C8" s="294"/>
      <c r="D8" s="294"/>
      <c r="E8" s="294"/>
      <c r="F8" s="294"/>
      <c r="G8" s="294"/>
      <c r="H8" s="294"/>
      <c r="I8" s="294"/>
      <c r="J8" s="303" t="s">
        <v>439</v>
      </c>
      <c r="K8" s="303"/>
      <c r="L8" s="294"/>
      <c r="M8" s="294"/>
      <c r="N8" s="294"/>
      <c r="O8" s="294"/>
      <c r="P8" s="294"/>
      <c r="Q8" s="294"/>
      <c r="R8" s="294"/>
      <c r="S8" s="294"/>
      <c r="T8" s="406"/>
      <c r="U8" s="406"/>
      <c r="V8" s="29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row>
    <row r="9" spans="1:69" ht="15">
      <c r="A9" s="408"/>
      <c r="C9" s="294"/>
      <c r="D9" s="294"/>
      <c r="E9" s="294"/>
      <c r="F9" s="294"/>
      <c r="G9" s="294"/>
      <c r="H9" s="294"/>
      <c r="I9" s="294"/>
      <c r="J9" s="304"/>
      <c r="K9" s="304"/>
      <c r="L9" s="294"/>
      <c r="M9" s="294"/>
      <c r="N9" s="294"/>
      <c r="O9" s="294"/>
      <c r="P9" s="294"/>
      <c r="Q9" s="294"/>
      <c r="R9" s="294"/>
      <c r="S9" s="294"/>
      <c r="T9" s="406"/>
      <c r="U9" s="406"/>
      <c r="V9" s="29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row>
    <row r="10" spans="1:69" ht="15">
      <c r="A10" s="408"/>
      <c r="C10" s="294" t="s">
        <v>316</v>
      </c>
      <c r="D10" s="294"/>
      <c r="E10" s="294"/>
      <c r="F10" s="294"/>
      <c r="G10" s="294"/>
      <c r="H10" s="294"/>
      <c r="I10" s="294"/>
      <c r="J10" s="304"/>
      <c r="K10" s="304"/>
      <c r="L10" s="294"/>
      <c r="M10" s="294"/>
      <c r="N10" s="294"/>
      <c r="O10" s="294"/>
      <c r="P10" s="294"/>
      <c r="Q10" s="294"/>
      <c r="R10" s="294"/>
      <c r="S10" s="294"/>
      <c r="T10" s="406"/>
      <c r="U10" s="406"/>
      <c r="V10" s="29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row>
    <row r="11" spans="1:69" ht="15">
      <c r="A11" s="408"/>
      <c r="C11" s="294" t="s">
        <v>440</v>
      </c>
      <c r="D11" s="294"/>
      <c r="E11" s="294"/>
      <c r="F11" s="294"/>
      <c r="G11" s="294"/>
      <c r="H11" s="294"/>
      <c r="I11" s="294"/>
      <c r="J11" s="304"/>
      <c r="K11" s="304"/>
      <c r="P11" s="294"/>
      <c r="Q11" s="294"/>
      <c r="R11" s="294"/>
      <c r="S11" s="294"/>
      <c r="T11" s="294"/>
      <c r="U11" s="294"/>
      <c r="V11" s="29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row>
    <row r="12" spans="1:69" ht="15">
      <c r="A12" s="408"/>
      <c r="C12" s="294"/>
      <c r="D12" s="294"/>
      <c r="E12" s="294"/>
      <c r="F12" s="294"/>
      <c r="G12" s="294"/>
      <c r="H12" s="294"/>
      <c r="I12" s="294"/>
      <c r="J12" s="294"/>
      <c r="K12" s="294"/>
      <c r="P12" s="305"/>
      <c r="Q12" s="294"/>
      <c r="R12" s="294"/>
      <c r="S12" s="294"/>
      <c r="T12" s="294"/>
      <c r="U12" s="294"/>
      <c r="V12" s="29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row>
    <row r="13" spans="1:69" ht="15">
      <c r="C13" s="306" t="s">
        <v>317</v>
      </c>
      <c r="D13" s="306"/>
      <c r="E13" s="306"/>
      <c r="F13" s="306"/>
      <c r="G13" s="306"/>
      <c r="H13" s="306" t="s">
        <v>318</v>
      </c>
      <c r="I13" s="306"/>
      <c r="J13" s="306" t="s">
        <v>319</v>
      </c>
      <c r="K13" s="306"/>
      <c r="L13" s="307" t="s">
        <v>320</v>
      </c>
      <c r="Q13" s="299"/>
      <c r="R13" s="307"/>
      <c r="S13" s="299"/>
      <c r="T13" s="307"/>
      <c r="U13" s="299"/>
      <c r="V13" s="310"/>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row>
    <row r="14" spans="1:69" ht="15">
      <c r="C14" s="310"/>
      <c r="D14" s="310"/>
      <c r="E14" s="310"/>
      <c r="F14" s="310"/>
      <c r="G14" s="310"/>
      <c r="H14" s="319" t="s">
        <v>321</v>
      </c>
      <c r="I14" s="319"/>
      <c r="J14" s="299"/>
      <c r="K14" s="299"/>
      <c r="Q14" s="299"/>
      <c r="S14" s="299"/>
      <c r="T14" s="306"/>
      <c r="U14" s="306"/>
      <c r="V14" s="310"/>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row>
    <row r="15" spans="1:69" ht="15">
      <c r="A15" s="408" t="s">
        <v>322</v>
      </c>
      <c r="C15" s="310"/>
      <c r="D15" s="310"/>
      <c r="E15" s="310"/>
      <c r="F15" s="310"/>
      <c r="G15" s="310"/>
      <c r="H15" s="329" t="s">
        <v>323</v>
      </c>
      <c r="I15" s="329"/>
      <c r="J15" s="409" t="s">
        <v>324</v>
      </c>
      <c r="K15" s="409"/>
      <c r="L15" s="409" t="s">
        <v>325</v>
      </c>
      <c r="Q15" s="299"/>
      <c r="S15" s="294"/>
      <c r="T15" s="306"/>
      <c r="U15" s="306"/>
      <c r="V15" s="310"/>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row>
    <row r="16" spans="1:69" ht="15">
      <c r="A16" s="408" t="s">
        <v>326</v>
      </c>
      <c r="C16" s="310"/>
      <c r="D16" s="310"/>
      <c r="E16" s="310"/>
      <c r="F16" s="310"/>
      <c r="G16" s="310"/>
      <c r="H16" s="299"/>
      <c r="I16" s="299"/>
      <c r="J16" s="299"/>
      <c r="K16" s="299"/>
      <c r="L16" s="299"/>
      <c r="Q16" s="299"/>
      <c r="R16" s="299"/>
      <c r="S16" s="294"/>
      <c r="T16" s="299"/>
      <c r="U16" s="299"/>
      <c r="V16" s="310"/>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row>
    <row r="17" spans="1:69" ht="15">
      <c r="A17" s="410"/>
      <c r="C17" s="310"/>
      <c r="D17" s="310"/>
      <c r="E17" s="310"/>
      <c r="F17" s="310"/>
      <c r="G17" s="310"/>
      <c r="H17" s="299"/>
      <c r="I17" s="299"/>
      <c r="J17" s="299"/>
      <c r="K17" s="299"/>
      <c r="L17" s="299"/>
      <c r="Q17" s="299"/>
      <c r="R17" s="299"/>
      <c r="S17" s="294"/>
      <c r="T17" s="299"/>
      <c r="U17" s="299"/>
      <c r="V17" s="310"/>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row>
    <row r="18" spans="1:69" ht="15">
      <c r="A18" s="411">
        <v>1</v>
      </c>
      <c r="C18" s="310" t="s">
        <v>327</v>
      </c>
      <c r="D18" s="310"/>
      <c r="E18" s="310"/>
      <c r="F18" s="310"/>
      <c r="G18" s="310"/>
      <c r="H18" s="319" t="s">
        <v>328</v>
      </c>
      <c r="I18" s="319"/>
      <c r="J18" s="392">
        <v>2996420266.9571095</v>
      </c>
      <c r="K18" s="299"/>
      <c r="Q18" s="299"/>
      <c r="R18" s="299"/>
      <c r="S18" s="294"/>
      <c r="T18" s="299"/>
      <c r="U18" s="299"/>
      <c r="V18" s="310"/>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row>
    <row r="19" spans="1:69" ht="15">
      <c r="A19" s="411" t="s">
        <v>394</v>
      </c>
      <c r="C19" s="310" t="s">
        <v>441</v>
      </c>
      <c r="D19" s="310"/>
      <c r="E19" s="310"/>
      <c r="F19" s="310"/>
      <c r="G19" s="310"/>
      <c r="H19" s="319" t="s">
        <v>442</v>
      </c>
      <c r="I19" s="319"/>
      <c r="J19" s="393">
        <v>841072195.87390745</v>
      </c>
      <c r="K19" s="394"/>
      <c r="Q19" s="299"/>
      <c r="R19" s="299"/>
      <c r="S19" s="294"/>
      <c r="T19" s="299"/>
      <c r="U19" s="299"/>
      <c r="V19" s="310"/>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row>
    <row r="20" spans="1:69" ht="15">
      <c r="A20" s="411">
        <v>2</v>
      </c>
      <c r="C20" s="310" t="s">
        <v>329</v>
      </c>
      <c r="D20" s="310"/>
      <c r="E20" s="310"/>
      <c r="F20" s="310"/>
      <c r="G20" s="310"/>
      <c r="H20" s="319" t="s">
        <v>443</v>
      </c>
      <c r="I20" s="319"/>
      <c r="J20" s="380">
        <f>J18-J19</f>
        <v>2155348071.0832019</v>
      </c>
      <c r="K20" s="395"/>
      <c r="Q20" s="299"/>
      <c r="R20" s="299"/>
      <c r="S20" s="294"/>
      <c r="T20" s="299"/>
      <c r="U20" s="299"/>
      <c r="V20" s="310"/>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row>
    <row r="21" spans="1:69" ht="15">
      <c r="A21" s="411"/>
      <c r="H21" s="319"/>
      <c r="I21" s="319"/>
      <c r="Q21" s="299"/>
      <c r="R21" s="299"/>
      <c r="S21" s="294"/>
      <c r="T21" s="299"/>
      <c r="U21" s="299"/>
      <c r="V21" s="310"/>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row>
    <row r="22" spans="1:69" ht="15">
      <c r="A22" s="411"/>
      <c r="C22" s="310" t="s">
        <v>444</v>
      </c>
      <c r="D22" s="310"/>
      <c r="E22" s="310"/>
      <c r="F22" s="310"/>
      <c r="G22" s="310"/>
      <c r="H22" s="319"/>
      <c r="I22" s="319"/>
      <c r="J22" s="299"/>
      <c r="K22" s="299"/>
      <c r="L22" s="299"/>
      <c r="Q22" s="299"/>
      <c r="R22" s="299"/>
      <c r="S22" s="299"/>
      <c r="T22" s="299"/>
      <c r="U22" s="299"/>
      <c r="V22" s="310"/>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row>
    <row r="23" spans="1:69" ht="15">
      <c r="A23" s="411">
        <v>3</v>
      </c>
      <c r="C23" s="310" t="s">
        <v>332</v>
      </c>
      <c r="D23" s="310"/>
      <c r="E23" s="310"/>
      <c r="F23" s="310"/>
      <c r="G23" s="310"/>
      <c r="H23" s="319" t="s">
        <v>333</v>
      </c>
      <c r="I23" s="319"/>
      <c r="J23" s="392">
        <v>61625468.237831876</v>
      </c>
      <c r="K23" s="299"/>
      <c r="Q23" s="299"/>
      <c r="R23" s="299"/>
      <c r="S23" s="299"/>
      <c r="T23" s="299"/>
      <c r="U23" s="299"/>
      <c r="V23" s="310"/>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row>
    <row r="24" spans="1:69" ht="15">
      <c r="A24" s="411" t="s">
        <v>445</v>
      </c>
      <c r="C24" s="310" t="s">
        <v>446</v>
      </c>
      <c r="D24" s="310"/>
      <c r="E24" s="310"/>
      <c r="F24" s="310"/>
      <c r="G24" s="310"/>
      <c r="H24" s="319" t="s">
        <v>447</v>
      </c>
      <c r="I24" s="319"/>
      <c r="J24" s="392">
        <v>174220146.41079438</v>
      </c>
      <c r="K24" s="299"/>
      <c r="Q24" s="299"/>
      <c r="R24" s="299"/>
      <c r="S24" s="299"/>
      <c r="T24" s="299"/>
      <c r="U24" s="299"/>
      <c r="V24" s="310"/>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row>
    <row r="25" spans="1:69" ht="15">
      <c r="A25" s="411" t="s">
        <v>448</v>
      </c>
      <c r="C25" s="310" t="s">
        <v>449</v>
      </c>
      <c r="D25" s="310"/>
      <c r="E25" s="310"/>
      <c r="F25" s="310"/>
      <c r="G25" s="310"/>
      <c r="H25" s="319" t="s">
        <v>450</v>
      </c>
      <c r="I25" s="319"/>
      <c r="J25" s="392">
        <v>9127442</v>
      </c>
      <c r="K25" s="299"/>
      <c r="Q25" s="299"/>
      <c r="R25" s="299"/>
      <c r="S25" s="299"/>
      <c r="T25" s="299"/>
      <c r="U25" s="299"/>
      <c r="V25" s="310"/>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row>
    <row r="26" spans="1:69" ht="15">
      <c r="A26" s="411" t="s">
        <v>451</v>
      </c>
      <c r="C26" s="310" t="s">
        <v>452</v>
      </c>
      <c r="D26" s="310"/>
      <c r="E26" s="310"/>
      <c r="F26" s="310"/>
      <c r="G26" s="310"/>
      <c r="H26" s="319" t="s">
        <v>453</v>
      </c>
      <c r="I26" s="319"/>
      <c r="J26" s="393">
        <v>117093769.67486912</v>
      </c>
      <c r="K26" s="394"/>
      <c r="Q26" s="299"/>
      <c r="R26" s="299"/>
      <c r="S26" s="299"/>
      <c r="T26" s="299"/>
      <c r="U26" s="299"/>
      <c r="V26" s="310"/>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row>
    <row r="27" spans="1:69" ht="15">
      <c r="A27" s="411" t="s">
        <v>454</v>
      </c>
      <c r="C27" s="310" t="s">
        <v>455</v>
      </c>
      <c r="D27" s="310"/>
      <c r="E27" s="310"/>
      <c r="F27" s="310"/>
      <c r="G27" s="310"/>
      <c r="H27" s="319" t="s">
        <v>456</v>
      </c>
      <c r="I27" s="319"/>
      <c r="J27" s="380">
        <f>J24-(J25+J26)</f>
        <v>47998934.735925257</v>
      </c>
      <c r="K27" s="299"/>
      <c r="Q27" s="299"/>
      <c r="R27" s="299"/>
      <c r="S27" s="299"/>
      <c r="T27" s="299"/>
      <c r="U27" s="299"/>
      <c r="V27" s="310"/>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row>
    <row r="28" spans="1:69" ht="15">
      <c r="A28" s="411"/>
      <c r="C28" s="310"/>
      <c r="D28" s="310"/>
      <c r="E28" s="310"/>
      <c r="F28" s="310"/>
      <c r="G28" s="310"/>
      <c r="H28" s="319"/>
      <c r="I28" s="319"/>
      <c r="J28" s="299"/>
      <c r="K28" s="299"/>
      <c r="Q28" s="299"/>
      <c r="R28" s="299"/>
      <c r="S28" s="299"/>
      <c r="T28" s="299"/>
      <c r="U28" s="299"/>
      <c r="V28" s="310"/>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row>
    <row r="29" spans="1:69" ht="15">
      <c r="A29" s="411">
        <v>4</v>
      </c>
      <c r="C29" s="310" t="s">
        <v>457</v>
      </c>
      <c r="D29" s="310"/>
      <c r="E29" s="310"/>
      <c r="F29" s="310"/>
      <c r="G29" s="310"/>
      <c r="H29" s="319" t="s">
        <v>458</v>
      </c>
      <c r="I29" s="319"/>
      <c r="J29" s="322">
        <f>IF(J27=0,0,J27/J19)</f>
        <v>5.7068745074912927E-2</v>
      </c>
      <c r="K29" s="322"/>
      <c r="L29" s="341">
        <f>J29</f>
        <v>5.7068745074912927E-2</v>
      </c>
      <c r="Q29" s="299"/>
      <c r="R29" s="299"/>
      <c r="S29" s="299"/>
      <c r="T29" s="299"/>
      <c r="U29" s="299"/>
      <c r="V29" s="310"/>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row>
    <row r="30" spans="1:69" ht="15">
      <c r="A30" s="411"/>
      <c r="C30" s="310"/>
      <c r="D30" s="310"/>
      <c r="E30" s="310"/>
      <c r="F30" s="310"/>
      <c r="G30" s="310"/>
      <c r="H30" s="319"/>
      <c r="I30" s="319"/>
      <c r="J30" s="299"/>
      <c r="K30" s="299"/>
      <c r="Q30" s="299"/>
      <c r="R30" s="299"/>
      <c r="S30" s="299"/>
      <c r="T30" s="299"/>
      <c r="U30" s="299"/>
      <c r="V30" s="310"/>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row>
    <row r="31" spans="1:69" ht="15">
      <c r="A31" s="411"/>
      <c r="C31" s="310"/>
      <c r="D31" s="310"/>
      <c r="E31" s="310"/>
      <c r="F31" s="310"/>
      <c r="G31" s="310"/>
      <c r="H31" s="319"/>
      <c r="I31" s="319"/>
      <c r="J31" s="299"/>
      <c r="K31" s="299"/>
      <c r="Q31" s="299"/>
      <c r="R31" s="299"/>
      <c r="S31" s="299"/>
      <c r="T31" s="299"/>
      <c r="U31" s="299"/>
      <c r="V31" s="310"/>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row>
    <row r="32" spans="1:69" ht="15">
      <c r="A32" s="411"/>
      <c r="C32" s="310" t="s">
        <v>459</v>
      </c>
      <c r="D32" s="310"/>
      <c r="E32" s="310"/>
      <c r="F32" s="310"/>
      <c r="G32" s="310"/>
      <c r="H32" s="319"/>
      <c r="I32" s="319"/>
      <c r="J32" s="322"/>
      <c r="K32" s="322"/>
      <c r="L32" s="341"/>
      <c r="Q32" s="299"/>
      <c r="R32" s="322"/>
      <c r="S32" s="299"/>
      <c r="T32" s="412"/>
      <c r="U32" s="299"/>
      <c r="V32" s="310"/>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row>
    <row r="33" spans="1:69" ht="15">
      <c r="A33" s="411" t="s">
        <v>460</v>
      </c>
      <c r="C33" s="310" t="s">
        <v>461</v>
      </c>
      <c r="D33" s="310"/>
      <c r="E33" s="310"/>
      <c r="F33" s="310"/>
      <c r="G33" s="310"/>
      <c r="H33" s="319" t="s">
        <v>462</v>
      </c>
      <c r="I33" s="319"/>
      <c r="J33" s="380">
        <f>J23-J27</f>
        <v>13626533.501906618</v>
      </c>
      <c r="K33" s="322"/>
      <c r="L33" s="341"/>
      <c r="Q33" s="299"/>
      <c r="R33" s="322"/>
      <c r="S33" s="299"/>
      <c r="T33" s="412"/>
      <c r="U33" s="299"/>
      <c r="V33" s="310"/>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row>
    <row r="34" spans="1:69" ht="15">
      <c r="A34" s="411" t="s">
        <v>463</v>
      </c>
      <c r="C34" s="310" t="s">
        <v>464</v>
      </c>
      <c r="D34" s="310"/>
      <c r="E34" s="310"/>
      <c r="F34" s="310"/>
      <c r="G34" s="310"/>
      <c r="H34" s="319" t="s">
        <v>465</v>
      </c>
      <c r="I34" s="319"/>
      <c r="J34" s="322">
        <f>IF(J33=0,0,J33/J18)</f>
        <v>4.547604237019956E-3</v>
      </c>
      <c r="K34" s="322"/>
      <c r="L34" s="341">
        <f>J34</f>
        <v>4.547604237019956E-3</v>
      </c>
      <c r="Q34" s="299"/>
      <c r="R34" s="322"/>
      <c r="S34" s="299"/>
      <c r="T34" s="412"/>
      <c r="U34" s="299"/>
      <c r="V34" s="310"/>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row>
    <row r="35" spans="1:69" ht="15">
      <c r="A35" s="411"/>
      <c r="C35" s="310"/>
      <c r="D35" s="310"/>
      <c r="E35" s="310"/>
      <c r="F35" s="310"/>
      <c r="G35" s="310"/>
      <c r="H35" s="319"/>
      <c r="I35" s="319"/>
      <c r="J35" s="322"/>
      <c r="K35" s="322"/>
      <c r="L35" s="341"/>
      <c r="Q35" s="299"/>
      <c r="R35" s="322"/>
      <c r="S35" s="299"/>
      <c r="T35" s="412"/>
      <c r="U35" s="299"/>
      <c r="V35" s="310"/>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row>
    <row r="36" spans="1:69" ht="15">
      <c r="A36" s="307"/>
      <c r="B36" s="344"/>
      <c r="C36" s="310" t="s">
        <v>336</v>
      </c>
      <c r="D36" s="310"/>
      <c r="E36" s="310"/>
      <c r="F36" s="310"/>
      <c r="G36" s="310"/>
      <c r="H36" s="329"/>
      <c r="I36" s="329"/>
      <c r="J36" s="299"/>
      <c r="K36" s="299"/>
      <c r="L36" s="299"/>
      <c r="N36" s="344"/>
      <c r="O36" s="344"/>
      <c r="Q36" s="299"/>
      <c r="R36" s="322"/>
      <c r="S36" s="299"/>
      <c r="T36" s="412"/>
      <c r="U36" s="299"/>
      <c r="V36" s="310"/>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row>
    <row r="37" spans="1:69" ht="15">
      <c r="A37" s="307" t="s">
        <v>337</v>
      </c>
      <c r="B37" s="344"/>
      <c r="C37" s="310" t="s">
        <v>338</v>
      </c>
      <c r="D37" s="310"/>
      <c r="E37" s="310"/>
      <c r="F37" s="310"/>
      <c r="G37" s="310"/>
      <c r="H37" s="319" t="s">
        <v>339</v>
      </c>
      <c r="I37" s="319"/>
      <c r="J37" s="392">
        <v>2853914.3205961036</v>
      </c>
      <c r="K37" s="299"/>
      <c r="L37" s="344"/>
      <c r="N37" s="344"/>
      <c r="O37" s="344"/>
      <c r="Q37" s="299"/>
      <c r="R37" s="322"/>
      <c r="S37" s="299"/>
      <c r="T37" s="412"/>
      <c r="U37" s="299"/>
      <c r="V37" s="310"/>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row>
    <row r="38" spans="1:69" ht="15">
      <c r="A38" s="307" t="s">
        <v>340</v>
      </c>
      <c r="B38" s="344"/>
      <c r="C38" s="310" t="s">
        <v>341</v>
      </c>
      <c r="D38" s="310"/>
      <c r="E38" s="310"/>
      <c r="F38" s="310"/>
      <c r="G38" s="310"/>
      <c r="H38" s="319" t="s">
        <v>342</v>
      </c>
      <c r="I38" s="319"/>
      <c r="J38" s="322">
        <f>IF(J37=0,0,J37/J18)</f>
        <v>9.5244126869235141E-4</v>
      </c>
      <c r="K38" s="322"/>
      <c r="L38" s="341">
        <f>J38</f>
        <v>9.5244126869235141E-4</v>
      </c>
      <c r="N38" s="344"/>
      <c r="O38" s="344"/>
      <c r="Q38" s="299"/>
      <c r="R38" s="322"/>
      <c r="S38" s="299"/>
      <c r="T38" s="412"/>
      <c r="U38" s="299"/>
      <c r="V38" s="310"/>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row>
    <row r="39" spans="1:69" ht="15">
      <c r="A39" s="411"/>
      <c r="C39" s="310"/>
      <c r="D39" s="310"/>
      <c r="E39" s="310"/>
      <c r="F39" s="310"/>
      <c r="G39" s="310"/>
      <c r="H39" s="319"/>
      <c r="I39" s="319"/>
      <c r="J39" s="322"/>
      <c r="K39" s="322"/>
      <c r="L39" s="341"/>
      <c r="Q39" s="299"/>
      <c r="R39" s="322"/>
      <c r="S39" s="299"/>
      <c r="T39" s="412"/>
      <c r="U39" s="299"/>
      <c r="V39" s="310"/>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row>
    <row r="40" spans="1:69" ht="15">
      <c r="A40" s="413"/>
      <c r="C40" s="310" t="s">
        <v>343</v>
      </c>
      <c r="D40" s="310"/>
      <c r="E40" s="310"/>
      <c r="F40" s="310"/>
      <c r="G40" s="310"/>
      <c r="H40" s="329"/>
      <c r="I40" s="329"/>
      <c r="J40" s="299"/>
      <c r="K40" s="299"/>
      <c r="L40" s="299"/>
      <c r="Q40" s="299"/>
      <c r="R40" s="299"/>
      <c r="S40" s="299"/>
      <c r="T40" s="299"/>
      <c r="U40" s="299"/>
      <c r="V40" s="310"/>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row>
    <row r="41" spans="1:69" ht="15">
      <c r="A41" s="413" t="s">
        <v>344</v>
      </c>
      <c r="C41" s="310" t="s">
        <v>345</v>
      </c>
      <c r="D41" s="310"/>
      <c r="E41" s="310"/>
      <c r="F41" s="310"/>
      <c r="G41" s="310"/>
      <c r="H41" s="319" t="s">
        <v>346</v>
      </c>
      <c r="I41" s="319"/>
      <c r="J41" s="392">
        <v>30103846.675272793</v>
      </c>
      <c r="K41" s="299"/>
      <c r="Q41" s="299"/>
      <c r="R41" s="306"/>
      <c r="S41" s="299"/>
      <c r="T41" s="319"/>
      <c r="U41" s="306"/>
      <c r="V41" s="310"/>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row>
    <row r="42" spans="1:69" ht="15">
      <c r="A42" s="413" t="s">
        <v>347</v>
      </c>
      <c r="C42" s="310" t="s">
        <v>348</v>
      </c>
      <c r="D42" s="310"/>
      <c r="E42" s="310"/>
      <c r="F42" s="310"/>
      <c r="G42" s="310"/>
      <c r="H42" s="319" t="s">
        <v>349</v>
      </c>
      <c r="I42" s="319"/>
      <c r="J42" s="322">
        <f>IF(J41=0,0,J41/J18)</f>
        <v>1.0046603611396443E-2</v>
      </c>
      <c r="K42" s="322"/>
      <c r="L42" s="341">
        <f>J42</f>
        <v>1.0046603611396443E-2</v>
      </c>
      <c r="Q42" s="299"/>
      <c r="R42" s="322"/>
      <c r="S42" s="299"/>
      <c r="T42" s="412"/>
      <c r="U42" s="306"/>
      <c r="V42" s="310"/>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row>
    <row r="43" spans="1:69" ht="15">
      <c r="A43" s="413"/>
      <c r="C43" s="310"/>
      <c r="D43" s="310"/>
      <c r="E43" s="310"/>
      <c r="F43" s="310"/>
      <c r="G43" s="310"/>
      <c r="H43" s="319"/>
      <c r="I43" s="319"/>
      <c r="J43" s="299"/>
      <c r="K43" s="299"/>
      <c r="L43" s="299"/>
      <c r="Q43" s="299"/>
      <c r="U43" s="299"/>
      <c r="V43" s="310"/>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row>
    <row r="44" spans="1:69" ht="15">
      <c r="A44" s="307" t="s">
        <v>350</v>
      </c>
      <c r="B44" s="344"/>
      <c r="C44" s="310" t="s">
        <v>466</v>
      </c>
      <c r="D44" s="310"/>
      <c r="E44" s="310"/>
      <c r="F44" s="310"/>
      <c r="G44" s="310"/>
      <c r="H44" s="319" t="s">
        <v>467</v>
      </c>
      <c r="I44" s="319"/>
      <c r="J44" s="341">
        <f>J34+J38+J42</f>
        <v>1.5546649117108751E-2</v>
      </c>
      <c r="K44" s="341"/>
      <c r="L44" s="341">
        <f>L34+L38+L42</f>
        <v>1.5546649117108751E-2</v>
      </c>
      <c r="Q44" s="299"/>
      <c r="U44" s="299"/>
      <c r="V44" s="310"/>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row>
    <row r="45" spans="1:69" ht="15">
      <c r="A45" s="413"/>
      <c r="C45" s="310"/>
      <c r="D45" s="310"/>
      <c r="E45" s="310"/>
      <c r="F45" s="310"/>
      <c r="G45" s="310"/>
      <c r="H45" s="319"/>
      <c r="I45" s="319"/>
      <c r="J45" s="299"/>
      <c r="K45" s="299"/>
      <c r="L45" s="299"/>
      <c r="Q45" s="299"/>
      <c r="R45" s="299"/>
      <c r="S45" s="299"/>
      <c r="T45" s="414"/>
      <c r="U45" s="299"/>
      <c r="V45" s="310"/>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row>
    <row r="46" spans="1:69" ht="15">
      <c r="A46" s="307"/>
      <c r="B46" s="415"/>
      <c r="C46" s="299" t="s">
        <v>353</v>
      </c>
      <c r="D46" s="299"/>
      <c r="E46" s="299"/>
      <c r="F46" s="299"/>
      <c r="G46" s="299"/>
      <c r="H46" s="319"/>
      <c r="I46" s="319"/>
      <c r="J46" s="299"/>
      <c r="K46" s="299"/>
      <c r="L46" s="299"/>
      <c r="Q46" s="339"/>
      <c r="R46" s="415"/>
      <c r="U46" s="306"/>
      <c r="V46" s="299" t="s">
        <v>312</v>
      </c>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row>
    <row r="47" spans="1:69" ht="15">
      <c r="A47" s="413" t="s">
        <v>354</v>
      </c>
      <c r="B47" s="415"/>
      <c r="C47" s="299" t="s">
        <v>355</v>
      </c>
      <c r="D47" s="299"/>
      <c r="E47" s="299"/>
      <c r="F47" s="299"/>
      <c r="G47" s="299"/>
      <c r="H47" s="319" t="s">
        <v>356</v>
      </c>
      <c r="I47" s="319"/>
      <c r="J47" s="392">
        <v>80552156.144771695</v>
      </c>
      <c r="K47" s="299"/>
      <c r="L47" s="299"/>
      <c r="Q47" s="339"/>
      <c r="R47" s="415"/>
      <c r="U47" s="306"/>
      <c r="V47" s="299"/>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row>
    <row r="48" spans="1:69" ht="15">
      <c r="A48" s="413" t="s">
        <v>357</v>
      </c>
      <c r="B48" s="415"/>
      <c r="C48" s="299" t="s">
        <v>358</v>
      </c>
      <c r="D48" s="299"/>
      <c r="E48" s="299"/>
      <c r="F48" s="299"/>
      <c r="G48" s="299"/>
      <c r="H48" s="319" t="s">
        <v>359</v>
      </c>
      <c r="I48" s="319"/>
      <c r="J48" s="322">
        <f>IF(J47=0,0,J47/J20)</f>
        <v>3.7373154352878614E-2</v>
      </c>
      <c r="K48" s="322"/>
      <c r="L48" s="341">
        <f>J48</f>
        <v>3.7373154352878614E-2</v>
      </c>
      <c r="Q48" s="339"/>
      <c r="R48" s="415"/>
      <c r="S48" s="299"/>
      <c r="T48" s="299"/>
      <c r="U48" s="306"/>
      <c r="V48" s="299"/>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row>
    <row r="49" spans="1:69" ht="15">
      <c r="A49" s="413"/>
      <c r="C49" s="299"/>
      <c r="D49" s="299"/>
      <c r="E49" s="299"/>
      <c r="F49" s="299"/>
      <c r="G49" s="299"/>
      <c r="H49" s="319"/>
      <c r="I49" s="319"/>
      <c r="J49" s="299"/>
      <c r="K49" s="299"/>
      <c r="L49" s="299"/>
      <c r="Q49" s="299"/>
      <c r="S49" s="294"/>
      <c r="T49" s="299"/>
      <c r="U49" s="294"/>
      <c r="V49" s="310"/>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row>
    <row r="50" spans="1:69" ht="15">
      <c r="A50" s="413"/>
      <c r="C50" s="310" t="s">
        <v>360</v>
      </c>
      <c r="D50" s="310"/>
      <c r="E50" s="310"/>
      <c r="F50" s="310"/>
      <c r="G50" s="310"/>
      <c r="H50" s="340"/>
      <c r="I50" s="340"/>
      <c r="Q50" s="299"/>
      <c r="S50" s="299"/>
      <c r="T50" s="299"/>
      <c r="U50" s="299"/>
      <c r="V50" s="310"/>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row>
    <row r="51" spans="1:69" ht="15">
      <c r="A51" s="413" t="s">
        <v>361</v>
      </c>
      <c r="C51" s="310" t="s">
        <v>362</v>
      </c>
      <c r="D51" s="310"/>
      <c r="E51" s="310"/>
      <c r="F51" s="310"/>
      <c r="G51" s="310"/>
      <c r="H51" s="319" t="s">
        <v>363</v>
      </c>
      <c r="I51" s="319"/>
      <c r="J51" s="392">
        <v>156985487.41421127</v>
      </c>
      <c r="K51" s="299"/>
      <c r="L51" s="299"/>
      <c r="Q51" s="299"/>
      <c r="S51" s="299"/>
      <c r="T51" s="299"/>
      <c r="U51" s="299"/>
      <c r="V51" s="310"/>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row>
    <row r="52" spans="1:69" ht="15">
      <c r="A52" s="413" t="s">
        <v>364</v>
      </c>
      <c r="B52" s="415"/>
      <c r="C52" s="299" t="s">
        <v>365</v>
      </c>
      <c r="D52" s="299"/>
      <c r="E52" s="299"/>
      <c r="F52" s="299"/>
      <c r="G52" s="299"/>
      <c r="H52" s="319" t="s">
        <v>366</v>
      </c>
      <c r="I52" s="319"/>
      <c r="J52" s="341">
        <f>IF(J51=0,0,J51/J20)</f>
        <v>7.2835329717912289E-2</v>
      </c>
      <c r="K52" s="341"/>
      <c r="L52" s="341">
        <f>J52</f>
        <v>7.2835329717912289E-2</v>
      </c>
      <c r="Q52" s="299"/>
      <c r="T52" s="416"/>
      <c r="U52" s="306"/>
      <c r="V52" s="299"/>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row>
    <row r="53" spans="1:69" ht="15">
      <c r="A53" s="413"/>
      <c r="C53" s="310"/>
      <c r="D53" s="310"/>
      <c r="E53" s="310"/>
      <c r="F53" s="310"/>
      <c r="G53" s="310"/>
      <c r="H53" s="319"/>
      <c r="I53" s="319"/>
      <c r="J53" s="299"/>
      <c r="K53" s="299"/>
      <c r="L53" s="299"/>
      <c r="Q53" s="299"/>
      <c r="R53" s="340"/>
      <c r="S53" s="299"/>
      <c r="T53" s="299"/>
      <c r="U53" s="299"/>
      <c r="V53" s="310"/>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row>
    <row r="54" spans="1:69" ht="15">
      <c r="A54" s="307" t="s">
        <v>367</v>
      </c>
      <c r="B54" s="344"/>
      <c r="C54" s="310" t="s">
        <v>368</v>
      </c>
      <c r="D54" s="310"/>
      <c r="E54" s="310"/>
      <c r="F54" s="310"/>
      <c r="G54" s="310"/>
      <c r="H54" s="319" t="s">
        <v>369</v>
      </c>
      <c r="I54" s="319"/>
      <c r="J54" s="299"/>
      <c r="K54" s="299"/>
      <c r="L54" s="341">
        <f>L48+L52</f>
        <v>0.1102084840707909</v>
      </c>
      <c r="Q54" s="299"/>
      <c r="R54" s="340"/>
      <c r="S54" s="299"/>
      <c r="T54" s="299"/>
      <c r="U54" s="299"/>
      <c r="V54" s="310"/>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row>
    <row r="55" spans="1:69" ht="15">
      <c r="Q55" s="343"/>
      <c r="R55" s="343"/>
      <c r="S55" s="299"/>
      <c r="T55" s="299"/>
      <c r="U55" s="299"/>
      <c r="V55" s="310"/>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row>
    <row r="56" spans="1:69" ht="15">
      <c r="A56" s="408"/>
      <c r="C56" s="344"/>
      <c r="D56" s="344"/>
      <c r="E56" s="344"/>
      <c r="F56" s="344"/>
      <c r="G56" s="344"/>
      <c r="H56" s="344"/>
      <c r="I56" s="344"/>
      <c r="J56" s="299"/>
      <c r="K56" s="299"/>
      <c r="L56" s="344"/>
      <c r="M56" s="344"/>
      <c r="N56" s="344"/>
      <c r="O56" s="344"/>
      <c r="Q56" s="299"/>
      <c r="R56" s="299"/>
      <c r="S56" s="299"/>
      <c r="T56" s="299"/>
      <c r="U56" s="306"/>
      <c r="V56" s="299" t="s">
        <v>312</v>
      </c>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4"/>
    </row>
    <row r="57" spans="1:69" hidden="1">
      <c r="R57" s="405"/>
    </row>
    <row r="58" spans="1:69" hidden="1">
      <c r="R58" s="405"/>
    </row>
    <row r="60" spans="1:69" ht="15">
      <c r="A60" s="408"/>
      <c r="C60" s="344"/>
      <c r="D60" s="344"/>
      <c r="E60" s="344"/>
      <c r="F60" s="344"/>
      <c r="G60" s="344"/>
      <c r="H60" s="344"/>
      <c r="I60" s="344"/>
      <c r="J60" s="299"/>
      <c r="K60" s="299"/>
      <c r="L60" s="344"/>
      <c r="M60" s="344"/>
      <c r="N60" s="344"/>
      <c r="O60" s="344"/>
      <c r="Q60" s="299"/>
      <c r="R60" s="405" t="s">
        <v>437</v>
      </c>
      <c r="S60" s="299"/>
      <c r="T60" s="294"/>
      <c r="U60" s="299"/>
      <c r="V60" s="310"/>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row>
    <row r="61" spans="1:69" ht="15">
      <c r="A61" s="408"/>
      <c r="C61" s="310" t="str">
        <f>C5</f>
        <v>Formula Rate calculation</v>
      </c>
      <c r="D61" s="310"/>
      <c r="E61" s="310"/>
      <c r="F61" s="310"/>
      <c r="G61" s="310"/>
      <c r="H61" s="344"/>
      <c r="I61" s="344"/>
      <c r="J61" s="344" t="str">
        <f>J5</f>
        <v xml:space="preserve">     Rate Formula Template</v>
      </c>
      <c r="K61" s="344"/>
      <c r="L61" s="344"/>
      <c r="M61" s="344"/>
      <c r="N61" s="344"/>
      <c r="O61" s="344"/>
      <c r="Q61" s="299"/>
      <c r="R61" s="349" t="str">
        <f>R5</f>
        <v>For  the 12 months ended 12/31/2013</v>
      </c>
      <c r="S61" s="299"/>
      <c r="T61" s="294"/>
      <c r="U61" s="299"/>
      <c r="V61" s="310"/>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row>
    <row r="62" spans="1:69" ht="15">
      <c r="A62" s="408"/>
      <c r="C62" s="310"/>
      <c r="D62" s="310"/>
      <c r="E62" s="310"/>
      <c r="F62" s="310"/>
      <c r="G62" s="310"/>
      <c r="H62" s="344"/>
      <c r="I62" s="344"/>
      <c r="J62" s="344" t="str">
        <f>J6</f>
        <v xml:space="preserve"> Utilizing Attachment O Data</v>
      </c>
      <c r="K62" s="344"/>
      <c r="L62" s="344"/>
      <c r="M62" s="344"/>
      <c r="N62" s="344"/>
      <c r="O62" s="344"/>
      <c r="P62" s="299"/>
      <c r="Q62" s="299"/>
      <c r="S62" s="299"/>
      <c r="T62" s="294"/>
      <c r="U62" s="299"/>
      <c r="V62" s="310"/>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row>
    <row r="63" spans="1:69" ht="14.25" customHeight="1">
      <c r="A63" s="408"/>
      <c r="C63" s="344"/>
      <c r="D63" s="344"/>
      <c r="E63" s="344"/>
      <c r="F63" s="344"/>
      <c r="G63" s="344"/>
      <c r="H63" s="344"/>
      <c r="I63" s="344"/>
      <c r="J63" s="344"/>
      <c r="K63" s="344"/>
      <c r="L63" s="344"/>
      <c r="M63" s="344"/>
      <c r="N63" s="344"/>
      <c r="O63" s="344"/>
      <c r="Q63" s="299"/>
      <c r="R63" s="344" t="s">
        <v>370</v>
      </c>
      <c r="S63" s="299"/>
      <c r="T63" s="294"/>
      <c r="U63" s="299"/>
      <c r="V63" s="310"/>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row>
    <row r="64" spans="1:69" ht="15">
      <c r="A64" s="408"/>
      <c r="H64" s="344"/>
      <c r="I64" s="344"/>
      <c r="J64" s="344" t="str">
        <f>J8</f>
        <v>NSP Companies</v>
      </c>
      <c r="K64" s="344"/>
      <c r="L64" s="344"/>
      <c r="M64" s="344"/>
      <c r="N64" s="344"/>
      <c r="O64" s="344"/>
      <c r="P64" s="344"/>
      <c r="Q64" s="299"/>
      <c r="R64" s="299"/>
      <c r="S64" s="299"/>
      <c r="T64" s="294"/>
      <c r="U64" s="299"/>
      <c r="V64" s="310"/>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row>
    <row r="65" spans="1:69" ht="15">
      <c r="A65" s="408"/>
      <c r="H65" s="310"/>
      <c r="I65" s="310"/>
      <c r="J65" s="310"/>
      <c r="K65" s="310"/>
      <c r="L65" s="310"/>
      <c r="M65" s="310"/>
      <c r="N65" s="310"/>
      <c r="O65" s="310"/>
      <c r="P65" s="310"/>
      <c r="Q65" s="310"/>
      <c r="R65" s="310"/>
      <c r="S65" s="299"/>
      <c r="T65" s="294"/>
      <c r="U65" s="299"/>
      <c r="V65" s="310"/>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row>
    <row r="66" spans="1:69" ht="15">
      <c r="A66" s="408"/>
      <c r="C66" s="344"/>
      <c r="D66" s="344"/>
      <c r="E66" s="344"/>
      <c r="F66" s="344"/>
      <c r="G66" s="344"/>
      <c r="H66" s="310" t="s">
        <v>468</v>
      </c>
      <c r="I66" s="310"/>
      <c r="L66" s="294"/>
      <c r="M66" s="294"/>
      <c r="N66" s="294"/>
      <c r="O66" s="294"/>
      <c r="P66" s="294"/>
      <c r="Q66" s="299"/>
      <c r="R66" s="299"/>
      <c r="S66" s="299"/>
      <c r="T66" s="294"/>
      <c r="U66" s="299"/>
      <c r="V66" s="310"/>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row>
    <row r="67" spans="1:69" ht="15">
      <c r="A67" s="408"/>
      <c r="C67" s="344"/>
      <c r="D67" s="344"/>
      <c r="E67" s="344"/>
      <c r="F67" s="344"/>
      <c r="G67" s="344"/>
      <c r="H67" s="310"/>
      <c r="I67" s="310"/>
      <c r="L67" s="294"/>
      <c r="M67" s="294"/>
      <c r="N67" s="294"/>
      <c r="O67" s="294"/>
      <c r="P67" s="294"/>
      <c r="Q67" s="299"/>
      <c r="R67" s="299"/>
      <c r="S67" s="299"/>
      <c r="T67" s="294"/>
      <c r="U67" s="299"/>
      <c r="V67" s="310"/>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row>
    <row r="68" spans="1:69" ht="15">
      <c r="A68" s="417"/>
      <c r="C68" s="418" t="s">
        <v>317</v>
      </c>
      <c r="D68" s="418" t="s">
        <v>318</v>
      </c>
      <c r="E68" s="418" t="s">
        <v>319</v>
      </c>
      <c r="F68" s="418" t="s">
        <v>320</v>
      </c>
      <c r="G68" s="418" t="s">
        <v>469</v>
      </c>
      <c r="H68" s="418" t="s">
        <v>470</v>
      </c>
      <c r="I68" s="418" t="s">
        <v>471</v>
      </c>
      <c r="J68" s="418" t="s">
        <v>472</v>
      </c>
      <c r="K68" s="418" t="s">
        <v>473</v>
      </c>
      <c r="L68" s="418" t="s">
        <v>474</v>
      </c>
      <c r="M68" s="418" t="s">
        <v>475</v>
      </c>
      <c r="N68" s="418" t="s">
        <v>476</v>
      </c>
      <c r="O68" s="418" t="s">
        <v>477</v>
      </c>
      <c r="P68" s="418" t="s">
        <v>478</v>
      </c>
      <c r="Q68" s="418" t="s">
        <v>479</v>
      </c>
      <c r="R68" s="418" t="s">
        <v>480</v>
      </c>
      <c r="S68" s="299"/>
      <c r="T68" s="294"/>
      <c r="U68" s="299"/>
      <c r="V68" s="310"/>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row>
    <row r="69" spans="1:69" ht="65.25" customHeight="1">
      <c r="A69" s="419" t="s">
        <v>372</v>
      </c>
      <c r="B69" s="420"/>
      <c r="C69" s="421" t="s">
        <v>373</v>
      </c>
      <c r="D69" s="421" t="s">
        <v>374</v>
      </c>
      <c r="E69" s="421" t="s">
        <v>481</v>
      </c>
      <c r="F69" s="421" t="s">
        <v>482</v>
      </c>
      <c r="G69" s="421" t="s">
        <v>483</v>
      </c>
      <c r="H69" s="422" t="s">
        <v>484</v>
      </c>
      <c r="I69" s="422" t="s">
        <v>485</v>
      </c>
      <c r="J69" s="423" t="s">
        <v>486</v>
      </c>
      <c r="K69" s="424" t="s">
        <v>376</v>
      </c>
      <c r="L69" s="422" t="s">
        <v>377</v>
      </c>
      <c r="M69" s="422" t="s">
        <v>368</v>
      </c>
      <c r="N69" s="424" t="s">
        <v>378</v>
      </c>
      <c r="O69" s="422" t="s">
        <v>379</v>
      </c>
      <c r="P69" s="363" t="s">
        <v>380</v>
      </c>
      <c r="Q69" s="425" t="s">
        <v>381</v>
      </c>
      <c r="R69" s="363" t="s">
        <v>487</v>
      </c>
      <c r="S69" s="299"/>
      <c r="T69" s="364" t="s">
        <v>511</v>
      </c>
      <c r="U69" s="299"/>
      <c r="V69" s="310"/>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row>
    <row r="70" spans="1:69" s="429" customFormat="1" ht="46.5" customHeight="1">
      <c r="A70" s="396"/>
      <c r="B70" s="397"/>
      <c r="C70" s="397"/>
      <c r="D70" s="397"/>
      <c r="E70" s="398" t="s">
        <v>383</v>
      </c>
      <c r="F70" s="397"/>
      <c r="G70" s="397" t="s">
        <v>488</v>
      </c>
      <c r="H70" s="398" t="s">
        <v>489</v>
      </c>
      <c r="I70" s="399" t="s">
        <v>490</v>
      </c>
      <c r="J70" s="398" t="s">
        <v>491</v>
      </c>
      <c r="K70" s="400" t="s">
        <v>492</v>
      </c>
      <c r="L70" s="398" t="s">
        <v>493</v>
      </c>
      <c r="M70" s="399" t="s">
        <v>494</v>
      </c>
      <c r="N70" s="401" t="s">
        <v>495</v>
      </c>
      <c r="O70" s="399" t="s">
        <v>389</v>
      </c>
      <c r="P70" s="401" t="s">
        <v>496</v>
      </c>
      <c r="Q70" s="402" t="s">
        <v>391</v>
      </c>
      <c r="R70" s="403" t="s">
        <v>497</v>
      </c>
      <c r="S70" s="426"/>
      <c r="T70" s="427"/>
      <c r="U70" s="426"/>
      <c r="V70" s="428"/>
    </row>
    <row r="71" spans="1:69" s="496" customFormat="1" ht="14.25">
      <c r="A71" s="508" t="s">
        <v>498</v>
      </c>
      <c r="B71" s="507"/>
      <c r="C71" s="507"/>
      <c r="D71" s="507"/>
      <c r="E71" s="507"/>
      <c r="F71" s="507"/>
      <c r="G71" s="507"/>
      <c r="H71" s="507"/>
      <c r="I71" s="507"/>
      <c r="J71" s="507"/>
      <c r="K71" s="509"/>
      <c r="L71" s="507"/>
      <c r="M71" s="507"/>
      <c r="N71" s="509"/>
      <c r="O71" s="507"/>
      <c r="P71" s="509"/>
      <c r="Q71" s="510"/>
      <c r="R71" s="511"/>
      <c r="S71" s="510"/>
      <c r="T71" s="507"/>
      <c r="U71" s="510"/>
      <c r="V71" s="506"/>
      <c r="W71" s="503"/>
      <c r="X71" s="503"/>
      <c r="Y71" s="503"/>
      <c r="Z71" s="503"/>
      <c r="AA71" s="503"/>
      <c r="AB71" s="503"/>
      <c r="AC71" s="503"/>
      <c r="AD71" s="503"/>
      <c r="AE71" s="503"/>
      <c r="AF71" s="503"/>
      <c r="AG71" s="503"/>
      <c r="AH71" s="503"/>
      <c r="AI71" s="503"/>
      <c r="AJ71" s="503"/>
      <c r="AK71" s="503"/>
      <c r="AL71" s="503"/>
      <c r="AM71" s="503"/>
      <c r="AN71" s="503"/>
      <c r="AO71" s="503"/>
      <c r="AP71" s="503"/>
      <c r="AQ71" s="503"/>
      <c r="AR71" s="503"/>
      <c r="AS71" s="503"/>
      <c r="AT71" s="503"/>
      <c r="AU71" s="503"/>
      <c r="AV71" s="503"/>
      <c r="AW71" s="503"/>
      <c r="AX71" s="503"/>
      <c r="AY71" s="503"/>
      <c r="AZ71" s="503"/>
      <c r="BA71" s="503"/>
      <c r="BB71" s="503"/>
      <c r="BC71" s="503"/>
      <c r="BD71" s="503"/>
      <c r="BE71" s="503"/>
      <c r="BF71" s="503"/>
      <c r="BG71" s="503"/>
      <c r="BH71" s="503"/>
      <c r="BI71" s="503"/>
      <c r="BJ71" s="503"/>
      <c r="BK71" s="503"/>
      <c r="BL71" s="503"/>
      <c r="BM71" s="503"/>
      <c r="BN71" s="503"/>
      <c r="BO71" s="503"/>
      <c r="BP71" s="503"/>
      <c r="BQ71" s="503"/>
    </row>
    <row r="72" spans="1:69" s="496" customFormat="1" ht="14.25">
      <c r="A72" s="495" t="s">
        <v>394</v>
      </c>
      <c r="C72" s="512" t="s">
        <v>499</v>
      </c>
      <c r="D72" s="513">
        <v>1203</v>
      </c>
      <c r="E72" s="498">
        <v>193100520.1674082</v>
      </c>
      <c r="F72" s="498">
        <v>0</v>
      </c>
      <c r="G72" s="499">
        <f>ROUND($L$29,4)</f>
        <v>5.7099999999999998E-2</v>
      </c>
      <c r="H72" s="514">
        <f>F72*G72</f>
        <v>0</v>
      </c>
      <c r="I72" s="499">
        <f>ROUND($L$44,4)</f>
        <v>1.55E-2</v>
      </c>
      <c r="J72" s="515">
        <f>E72*I72</f>
        <v>2993058.0625948273</v>
      </c>
      <c r="K72" s="500">
        <f>H72+J72</f>
        <v>2993058.0625948273</v>
      </c>
      <c r="L72" s="514">
        <f>E72-F72</f>
        <v>193100520.1674082</v>
      </c>
      <c r="M72" s="499">
        <f>ROUND($L$54,4)</f>
        <v>0.11020000000000001</v>
      </c>
      <c r="N72" s="516">
        <f>L72*M72</f>
        <v>21279677.322448384</v>
      </c>
      <c r="O72" s="498">
        <v>0</v>
      </c>
      <c r="P72" s="516">
        <f>K72+N72+O72</f>
        <v>24272735.385043211</v>
      </c>
      <c r="Q72" s="498">
        <v>0</v>
      </c>
      <c r="R72" s="516">
        <f>P72+Q72</f>
        <v>24272735.385043211</v>
      </c>
      <c r="S72" s="503"/>
      <c r="T72" s="517">
        <v>31379692</v>
      </c>
      <c r="U72" s="503"/>
      <c r="V72" s="503"/>
      <c r="W72" s="503"/>
      <c r="X72" s="503"/>
      <c r="Y72" s="503"/>
    </row>
    <row r="73" spans="1:69" s="496" customFormat="1" ht="14.25">
      <c r="A73" s="495" t="s">
        <v>396</v>
      </c>
      <c r="C73" s="512" t="s">
        <v>500</v>
      </c>
      <c r="D73" s="513">
        <v>1203</v>
      </c>
      <c r="E73" s="498">
        <v>25670345.401053384</v>
      </c>
      <c r="F73" s="498">
        <v>41577.630858424091</v>
      </c>
      <c r="G73" s="499">
        <f>ROUND($L$29,4)</f>
        <v>5.7099999999999998E-2</v>
      </c>
      <c r="H73" s="514">
        <f>F73*G73</f>
        <v>2374.0827220160154</v>
      </c>
      <c r="I73" s="499">
        <f>ROUND($L$44,4)</f>
        <v>1.55E-2</v>
      </c>
      <c r="J73" s="515">
        <f>E73*I73</f>
        <v>397890.35371632746</v>
      </c>
      <c r="K73" s="500">
        <f>H73+J73</f>
        <v>400264.43643834349</v>
      </c>
      <c r="L73" s="514">
        <f>E73-F73</f>
        <v>25628767.770194959</v>
      </c>
      <c r="M73" s="499">
        <f>ROUND($L$54,4)</f>
        <v>0.11020000000000001</v>
      </c>
      <c r="N73" s="516">
        <f>L73*M73</f>
        <v>2824290.2082754849</v>
      </c>
      <c r="O73" s="498">
        <v>115658.76799202988</v>
      </c>
      <c r="P73" s="516">
        <f>K73+N73+O73</f>
        <v>3340213.4127058582</v>
      </c>
      <c r="Q73" s="498">
        <v>0</v>
      </c>
      <c r="R73" s="516">
        <f>P73+Q73</f>
        <v>3340213.4127058582</v>
      </c>
      <c r="S73" s="503"/>
      <c r="T73" s="507"/>
      <c r="U73" s="503"/>
      <c r="V73" s="503"/>
      <c r="W73" s="503"/>
      <c r="X73" s="503"/>
      <c r="Y73" s="503"/>
    </row>
    <row r="74" spans="1:69" s="496" customFormat="1" ht="14.25">
      <c r="A74" s="495"/>
      <c r="D74" s="513"/>
      <c r="E74" s="514"/>
      <c r="F74" s="514"/>
      <c r="G74" s="499"/>
      <c r="H74" s="514"/>
      <c r="I74" s="499"/>
      <c r="K74" s="518"/>
      <c r="L74" s="514"/>
      <c r="M74" s="499"/>
      <c r="N74" s="516"/>
      <c r="O74" s="514"/>
      <c r="P74" s="516"/>
      <c r="Q74" s="514"/>
      <c r="R74" s="516"/>
      <c r="S74" s="503"/>
      <c r="T74" s="507"/>
      <c r="U74" s="503"/>
      <c r="V74" s="503"/>
      <c r="W74" s="503"/>
      <c r="X74" s="503"/>
      <c r="Y74" s="503"/>
    </row>
    <row r="75" spans="1:69" s="496" customFormat="1" ht="14.25">
      <c r="A75" s="495"/>
      <c r="D75" s="513"/>
      <c r="E75" s="519">
        <f>E72+E73</f>
        <v>218770865.5684616</v>
      </c>
      <c r="K75" s="518"/>
      <c r="L75" s="519">
        <f>L72+L73</f>
        <v>218729287.93760315</v>
      </c>
      <c r="N75" s="518"/>
      <c r="P75" s="518"/>
      <c r="R75" s="518"/>
      <c r="S75" s="503"/>
      <c r="T75" s="507"/>
      <c r="U75" s="503"/>
      <c r="V75" s="503"/>
      <c r="W75" s="503"/>
      <c r="X75" s="503"/>
      <c r="Y75" s="503"/>
    </row>
    <row r="76" spans="1:69" ht="14.25">
      <c r="A76" s="430"/>
      <c r="D76" s="431"/>
      <c r="K76" s="432"/>
      <c r="N76" s="432"/>
      <c r="P76" s="432"/>
      <c r="R76" s="432"/>
      <c r="S76" s="383"/>
      <c r="T76" s="427"/>
      <c r="U76" s="383"/>
      <c r="V76" s="383"/>
      <c r="W76" s="383"/>
      <c r="X76" s="383"/>
      <c r="Y76" s="383"/>
    </row>
    <row r="77" spans="1:69" ht="14.25">
      <c r="A77" s="430"/>
      <c r="D77" s="431"/>
      <c r="K77" s="432"/>
      <c r="N77" s="432"/>
      <c r="P77" s="432"/>
      <c r="R77" s="432"/>
      <c r="S77" s="383"/>
      <c r="T77" s="427"/>
      <c r="U77" s="383"/>
      <c r="V77" s="383"/>
      <c r="W77" s="383"/>
      <c r="X77" s="383"/>
      <c r="Y77" s="383"/>
    </row>
    <row r="78" spans="1:69" ht="14.25">
      <c r="A78" s="430"/>
      <c r="D78" s="431"/>
      <c r="K78" s="432"/>
      <c r="N78" s="432"/>
      <c r="P78" s="432"/>
      <c r="R78" s="432"/>
      <c r="S78" s="383"/>
      <c r="T78" s="427"/>
      <c r="U78" s="383"/>
      <c r="V78" s="383"/>
      <c r="W78" s="383"/>
      <c r="X78" s="383"/>
      <c r="Y78" s="383"/>
    </row>
    <row r="79" spans="1:69" ht="14.25">
      <c r="A79" s="430"/>
      <c r="D79" s="431"/>
      <c r="K79" s="432"/>
      <c r="N79" s="432"/>
      <c r="P79" s="432"/>
      <c r="R79" s="432"/>
      <c r="S79" s="383"/>
      <c r="T79" s="427"/>
      <c r="U79" s="383"/>
      <c r="V79" s="383"/>
      <c r="W79" s="383"/>
      <c r="X79" s="383"/>
      <c r="Y79" s="383"/>
    </row>
    <row r="80" spans="1:69" ht="14.25">
      <c r="A80" s="430"/>
      <c r="C80" s="383"/>
      <c r="D80" s="433"/>
      <c r="E80" s="383"/>
      <c r="F80" s="383"/>
      <c r="G80" s="383"/>
      <c r="H80" s="383"/>
      <c r="I80" s="383"/>
      <c r="J80" s="383"/>
      <c r="K80" s="434"/>
      <c r="L80" s="383"/>
      <c r="M80" s="383"/>
      <c r="N80" s="434"/>
      <c r="O80" s="383"/>
      <c r="P80" s="434"/>
      <c r="Q80" s="383"/>
      <c r="R80" s="434"/>
      <c r="S80" s="383"/>
      <c r="T80" s="427"/>
      <c r="U80" s="383"/>
      <c r="V80" s="383"/>
      <c r="W80" s="383"/>
      <c r="X80" s="383"/>
      <c r="Y80" s="383"/>
    </row>
    <row r="81" spans="1:25" ht="14.25">
      <c r="A81" s="430"/>
      <c r="C81" s="383"/>
      <c r="D81" s="433"/>
      <c r="E81" s="383"/>
      <c r="F81" s="383"/>
      <c r="G81" s="383"/>
      <c r="H81" s="383"/>
      <c r="I81" s="383"/>
      <c r="J81" s="383"/>
      <c r="K81" s="434"/>
      <c r="L81" s="383"/>
      <c r="M81" s="383"/>
      <c r="N81" s="434"/>
      <c r="O81" s="383"/>
      <c r="P81" s="434"/>
      <c r="Q81" s="383"/>
      <c r="R81" s="434"/>
      <c r="S81" s="383"/>
      <c r="T81" s="427"/>
      <c r="U81" s="383"/>
      <c r="V81" s="383"/>
      <c r="W81" s="383"/>
      <c r="X81" s="383"/>
      <c r="Y81" s="383"/>
    </row>
    <row r="82" spans="1:25" ht="14.25">
      <c r="A82" s="430"/>
      <c r="C82" s="383"/>
      <c r="D82" s="433"/>
      <c r="E82" s="383"/>
      <c r="F82" s="383"/>
      <c r="G82" s="383"/>
      <c r="H82" s="383"/>
      <c r="I82" s="383"/>
      <c r="J82" s="383"/>
      <c r="K82" s="434"/>
      <c r="L82" s="383"/>
      <c r="M82" s="383"/>
      <c r="N82" s="434"/>
      <c r="O82" s="383"/>
      <c r="P82" s="434"/>
      <c r="Q82" s="383"/>
      <c r="R82" s="434"/>
      <c r="S82" s="383"/>
      <c r="T82" s="427"/>
      <c r="U82" s="383"/>
      <c r="V82" s="383"/>
      <c r="W82" s="383"/>
      <c r="X82" s="383"/>
      <c r="Y82" s="383"/>
    </row>
    <row r="83" spans="1:25" ht="14.25">
      <c r="A83" s="430"/>
      <c r="C83" s="383"/>
      <c r="D83" s="433"/>
      <c r="E83" s="383"/>
      <c r="F83" s="383"/>
      <c r="G83" s="383"/>
      <c r="H83" s="383"/>
      <c r="I83" s="383"/>
      <c r="J83" s="383"/>
      <c r="K83" s="434"/>
      <c r="L83" s="383"/>
      <c r="M83" s="383"/>
      <c r="N83" s="434"/>
      <c r="O83" s="383"/>
      <c r="P83" s="434"/>
      <c r="Q83" s="383"/>
      <c r="R83" s="434"/>
      <c r="S83" s="383"/>
      <c r="T83" s="427"/>
      <c r="U83" s="383"/>
      <c r="V83" s="383"/>
      <c r="W83" s="383"/>
      <c r="X83" s="383"/>
      <c r="Y83" s="383"/>
    </row>
    <row r="84" spans="1:25" ht="14.25">
      <c r="A84" s="430"/>
      <c r="C84" s="383"/>
      <c r="D84" s="433"/>
      <c r="E84" s="383"/>
      <c r="F84" s="383"/>
      <c r="G84" s="383"/>
      <c r="H84" s="383"/>
      <c r="I84" s="383"/>
      <c r="J84" s="383"/>
      <c r="K84" s="434"/>
      <c r="L84" s="383"/>
      <c r="M84" s="383"/>
      <c r="N84" s="434"/>
      <c r="O84" s="383"/>
      <c r="P84" s="434"/>
      <c r="Q84" s="383"/>
      <c r="R84" s="434"/>
      <c r="S84" s="383"/>
      <c r="T84" s="427"/>
      <c r="U84" s="383"/>
      <c r="V84" s="383"/>
      <c r="W84" s="383"/>
      <c r="X84" s="383"/>
      <c r="Y84" s="383"/>
    </row>
    <row r="85" spans="1:25" ht="14.25">
      <c r="A85" s="430"/>
      <c r="C85" s="383"/>
      <c r="D85" s="433"/>
      <c r="E85" s="383"/>
      <c r="F85" s="383"/>
      <c r="G85" s="383"/>
      <c r="H85" s="383"/>
      <c r="I85" s="383"/>
      <c r="J85" s="383"/>
      <c r="K85" s="434"/>
      <c r="L85" s="383"/>
      <c r="M85" s="383"/>
      <c r="N85" s="434"/>
      <c r="O85" s="383"/>
      <c r="P85" s="434"/>
      <c r="Q85" s="383"/>
      <c r="R85" s="434"/>
      <c r="S85" s="383"/>
      <c r="T85" s="427"/>
      <c r="U85" s="383"/>
      <c r="V85" s="383"/>
      <c r="W85" s="383"/>
      <c r="X85" s="383"/>
      <c r="Y85" s="383"/>
    </row>
    <row r="86" spans="1:25" ht="14.25">
      <c r="A86" s="430"/>
      <c r="C86" s="383"/>
      <c r="D86" s="433"/>
      <c r="E86" s="383"/>
      <c r="F86" s="383"/>
      <c r="G86" s="383"/>
      <c r="H86" s="383"/>
      <c r="I86" s="383"/>
      <c r="J86" s="383"/>
      <c r="K86" s="434"/>
      <c r="L86" s="383"/>
      <c r="M86" s="383"/>
      <c r="N86" s="434"/>
      <c r="O86" s="383"/>
      <c r="P86" s="434"/>
      <c r="Q86" s="383"/>
      <c r="R86" s="434"/>
      <c r="S86" s="383"/>
      <c r="T86" s="427"/>
      <c r="U86" s="383"/>
      <c r="V86" s="383"/>
      <c r="W86" s="383"/>
      <c r="X86" s="383"/>
      <c r="Y86" s="383"/>
    </row>
    <row r="87" spans="1:25" ht="14.25">
      <c r="A87" s="430"/>
      <c r="C87" s="383"/>
      <c r="D87" s="433"/>
      <c r="E87" s="383"/>
      <c r="F87" s="383"/>
      <c r="G87" s="383"/>
      <c r="H87" s="383"/>
      <c r="I87" s="383"/>
      <c r="J87" s="383"/>
      <c r="K87" s="434"/>
      <c r="L87" s="383"/>
      <c r="M87" s="383"/>
      <c r="N87" s="434"/>
      <c r="O87" s="383"/>
      <c r="P87" s="434"/>
      <c r="Q87" s="383"/>
      <c r="R87" s="434"/>
      <c r="S87" s="383"/>
      <c r="T87" s="427"/>
      <c r="U87" s="383"/>
      <c r="V87" s="383"/>
      <c r="W87" s="383"/>
      <c r="X87" s="383"/>
      <c r="Y87" s="383"/>
    </row>
    <row r="88" spans="1:25" ht="14.25">
      <c r="A88" s="430"/>
      <c r="C88" s="383"/>
      <c r="D88" s="433"/>
      <c r="E88" s="383"/>
      <c r="F88" s="383"/>
      <c r="G88" s="383"/>
      <c r="H88" s="383"/>
      <c r="I88" s="383"/>
      <c r="J88" s="383"/>
      <c r="K88" s="434"/>
      <c r="L88" s="383"/>
      <c r="M88" s="383"/>
      <c r="N88" s="434"/>
      <c r="O88" s="383"/>
      <c r="P88" s="434"/>
      <c r="Q88" s="383"/>
      <c r="R88" s="434"/>
      <c r="S88" s="383"/>
      <c r="T88" s="427"/>
      <c r="U88" s="383"/>
      <c r="V88" s="383"/>
      <c r="W88" s="383"/>
      <c r="X88" s="383"/>
      <c r="Y88" s="383"/>
    </row>
    <row r="89" spans="1:25" ht="14.25">
      <c r="A89" s="430"/>
      <c r="C89" s="383"/>
      <c r="D89" s="433"/>
      <c r="E89" s="383"/>
      <c r="F89" s="383"/>
      <c r="G89" s="383"/>
      <c r="H89" s="383"/>
      <c r="I89" s="383"/>
      <c r="J89" s="383"/>
      <c r="K89" s="434"/>
      <c r="L89" s="383"/>
      <c r="M89" s="383"/>
      <c r="N89" s="434"/>
      <c r="O89" s="383"/>
      <c r="P89" s="434"/>
      <c r="Q89" s="383"/>
      <c r="R89" s="434"/>
      <c r="S89" s="383"/>
      <c r="T89" s="427"/>
      <c r="U89" s="383"/>
      <c r="V89" s="383"/>
      <c r="W89" s="383"/>
      <c r="X89" s="383"/>
      <c r="Y89" s="383"/>
    </row>
    <row r="90" spans="1:25" ht="14.25">
      <c r="A90" s="430"/>
      <c r="C90" s="383"/>
      <c r="D90" s="433"/>
      <c r="E90" s="383"/>
      <c r="F90" s="383"/>
      <c r="G90" s="383"/>
      <c r="H90" s="383"/>
      <c r="I90" s="383"/>
      <c r="J90" s="383"/>
      <c r="K90" s="434"/>
      <c r="L90" s="383"/>
      <c r="M90" s="383"/>
      <c r="N90" s="434"/>
      <c r="O90" s="383"/>
      <c r="P90" s="434"/>
      <c r="Q90" s="383"/>
      <c r="R90" s="434"/>
      <c r="S90" s="383"/>
      <c r="T90" s="427"/>
      <c r="U90" s="383"/>
      <c r="V90" s="383"/>
      <c r="W90" s="383"/>
      <c r="X90" s="383"/>
      <c r="Y90" s="383"/>
    </row>
    <row r="91" spans="1:25" ht="14.25">
      <c r="A91" s="435"/>
      <c r="B91" s="436"/>
      <c r="C91" s="437"/>
      <c r="D91" s="437"/>
      <c r="E91" s="437"/>
      <c r="F91" s="437"/>
      <c r="G91" s="437"/>
      <c r="H91" s="437"/>
      <c r="I91" s="437"/>
      <c r="J91" s="437"/>
      <c r="K91" s="438"/>
      <c r="L91" s="437"/>
      <c r="M91" s="437"/>
      <c r="N91" s="438"/>
      <c r="O91" s="437"/>
      <c r="P91" s="438"/>
      <c r="Q91" s="437"/>
      <c r="R91" s="438"/>
      <c r="S91" s="383"/>
      <c r="T91" s="427"/>
      <c r="U91" s="383"/>
      <c r="V91" s="383"/>
      <c r="W91" s="383"/>
      <c r="X91" s="383"/>
      <c r="Y91" s="383"/>
    </row>
    <row r="92" spans="1:25" ht="15">
      <c r="A92" s="307" t="s">
        <v>421</v>
      </c>
      <c r="B92" s="415"/>
      <c r="C92" s="310" t="s">
        <v>501</v>
      </c>
      <c r="D92" s="310"/>
      <c r="E92" s="310"/>
      <c r="F92" s="310"/>
      <c r="G92" s="310"/>
      <c r="H92" s="329"/>
      <c r="I92" s="329"/>
      <c r="J92" s="299"/>
      <c r="K92" s="299"/>
      <c r="L92" s="299"/>
      <c r="M92" s="299"/>
      <c r="N92" s="299"/>
      <c r="O92" s="299"/>
      <c r="P92" s="386">
        <f>SUM(P72:P91)</f>
        <v>27612948.797749069</v>
      </c>
      <c r="Q92" s="386">
        <f>SUM(Q72:Q91)</f>
        <v>0</v>
      </c>
      <c r="R92" s="386">
        <f>SUM(R72:R91)</f>
        <v>27612948.797749069</v>
      </c>
      <c r="S92" s="383"/>
      <c r="T92" s="446">
        <v>31379692</v>
      </c>
      <c r="U92" s="383"/>
      <c r="V92" s="383"/>
      <c r="W92" s="383"/>
      <c r="X92" s="383"/>
      <c r="Y92" s="383"/>
    </row>
    <row r="93" spans="1:25" ht="14.25">
      <c r="A93" s="383"/>
      <c r="B93" s="383"/>
      <c r="C93" s="383"/>
      <c r="D93" s="383"/>
      <c r="E93" s="383"/>
      <c r="F93" s="383"/>
      <c r="G93" s="383"/>
      <c r="H93" s="383"/>
      <c r="I93" s="383"/>
      <c r="J93" s="383"/>
      <c r="K93" s="383"/>
      <c r="L93" s="383"/>
      <c r="M93" s="383"/>
      <c r="N93" s="383"/>
      <c r="O93" s="383"/>
      <c r="P93" s="383"/>
      <c r="Q93" s="383"/>
      <c r="R93" s="383"/>
      <c r="S93" s="383"/>
      <c r="T93" s="427"/>
      <c r="U93" s="383"/>
      <c r="V93" s="383"/>
      <c r="W93" s="383"/>
      <c r="X93" s="383"/>
      <c r="Y93" s="383"/>
    </row>
    <row r="94" spans="1:25" ht="15">
      <c r="A94" s="385">
        <v>3</v>
      </c>
      <c r="B94" s="383"/>
      <c r="C94" s="344" t="s">
        <v>423</v>
      </c>
      <c r="D94" s="344"/>
      <c r="E94" s="344"/>
      <c r="F94" s="344"/>
      <c r="G94" s="383"/>
      <c r="H94" s="383"/>
      <c r="I94" s="383"/>
      <c r="J94" s="383"/>
      <c r="K94" s="383"/>
      <c r="L94" s="383"/>
      <c r="M94" s="383"/>
      <c r="N94" s="383"/>
      <c r="O94" s="383"/>
      <c r="P94" s="386">
        <f>P92</f>
        <v>27612948.797749069</v>
      </c>
      <c r="Q94" s="383"/>
      <c r="R94" s="387" t="s">
        <v>424</v>
      </c>
      <c r="S94" s="383"/>
      <c r="T94" s="427"/>
      <c r="U94" s="383"/>
      <c r="V94" s="383"/>
      <c r="W94" s="383"/>
      <c r="X94" s="383"/>
      <c r="Y94" s="383"/>
    </row>
    <row r="95" spans="1:25" ht="14.25" hidden="1">
      <c r="A95" s="383"/>
      <c r="B95" s="383"/>
      <c r="C95" s="383"/>
      <c r="D95" s="383"/>
      <c r="E95" s="383"/>
      <c r="F95" s="383"/>
      <c r="G95" s="383"/>
      <c r="H95" s="383"/>
      <c r="I95" s="383"/>
      <c r="J95" s="383"/>
      <c r="K95" s="383"/>
      <c r="L95" s="383"/>
      <c r="M95" s="383"/>
      <c r="N95" s="383"/>
      <c r="O95" s="383"/>
      <c r="P95" s="383"/>
      <c r="Q95" s="383"/>
      <c r="R95" s="383"/>
      <c r="S95" s="383"/>
      <c r="T95" s="427"/>
      <c r="U95" s="383"/>
      <c r="V95" s="383"/>
      <c r="W95" s="383"/>
      <c r="X95" s="383"/>
      <c r="Y95" s="383"/>
    </row>
    <row r="96" spans="1:25" ht="14.25" hidden="1">
      <c r="A96" s="383"/>
      <c r="B96" s="383"/>
      <c r="C96" s="383"/>
      <c r="D96" s="383"/>
      <c r="E96" s="383"/>
      <c r="F96" s="383"/>
      <c r="G96" s="383"/>
      <c r="H96" s="383"/>
      <c r="I96" s="383"/>
      <c r="J96" s="383"/>
      <c r="K96" s="383"/>
      <c r="L96" s="383"/>
      <c r="M96" s="383"/>
      <c r="N96" s="383"/>
      <c r="O96" s="383"/>
      <c r="P96" s="383"/>
      <c r="Q96" s="383"/>
      <c r="R96" s="383"/>
      <c r="S96" s="383"/>
      <c r="T96" s="427"/>
      <c r="U96" s="383"/>
      <c r="V96" s="383"/>
      <c r="W96" s="383"/>
      <c r="X96" s="383"/>
      <c r="Y96" s="383"/>
    </row>
    <row r="97" spans="1:25" ht="15">
      <c r="A97" s="344" t="s">
        <v>425</v>
      </c>
      <c r="B97" s="383"/>
      <c r="C97" s="383"/>
      <c r="D97" s="383"/>
      <c r="E97" s="383"/>
      <c r="F97" s="383"/>
      <c r="G97" s="383"/>
      <c r="H97" s="383"/>
      <c r="I97" s="383"/>
      <c r="J97" s="383"/>
      <c r="K97" s="383"/>
      <c r="L97" s="383"/>
      <c r="M97" s="383"/>
      <c r="N97" s="383"/>
      <c r="O97" s="383"/>
      <c r="P97" s="383"/>
      <c r="Q97" s="383"/>
      <c r="R97" s="383"/>
      <c r="S97" s="383"/>
      <c r="T97" s="427"/>
      <c r="U97" s="383"/>
      <c r="V97" s="383"/>
      <c r="W97" s="383"/>
      <c r="X97" s="383"/>
      <c r="Y97" s="383"/>
    </row>
    <row r="98" spans="1:25" ht="15.75" thickBot="1">
      <c r="A98" s="388" t="s">
        <v>426</v>
      </c>
      <c r="B98" s="383"/>
      <c r="C98" s="383"/>
      <c r="D98" s="383"/>
      <c r="E98" s="383"/>
      <c r="F98" s="383"/>
      <c r="G98" s="383"/>
      <c r="H98" s="383"/>
      <c r="I98" s="383"/>
      <c r="J98" s="383"/>
      <c r="K98" s="383"/>
      <c r="L98" s="383"/>
      <c r="M98" s="383"/>
      <c r="N98" s="383"/>
      <c r="O98" s="383"/>
      <c r="P98" s="383"/>
      <c r="Q98" s="383"/>
      <c r="R98" s="383"/>
      <c r="S98" s="383"/>
      <c r="T98" s="427"/>
      <c r="U98" s="383"/>
      <c r="V98" s="383"/>
      <c r="W98" s="383"/>
      <c r="X98" s="383"/>
      <c r="Y98" s="383"/>
    </row>
    <row r="99" spans="1:25" s="429" customFormat="1" ht="17.100000000000001" customHeight="1">
      <c r="A99" s="439" t="s">
        <v>39</v>
      </c>
      <c r="C99" s="583" t="s">
        <v>502</v>
      </c>
      <c r="D99" s="583"/>
      <c r="E99" s="583"/>
      <c r="F99" s="583"/>
      <c r="G99" s="583"/>
      <c r="H99" s="583"/>
      <c r="I99" s="583"/>
      <c r="J99" s="583"/>
      <c r="K99" s="583"/>
      <c r="L99" s="583"/>
      <c r="M99" s="583"/>
      <c r="N99" s="583"/>
      <c r="O99" s="583"/>
      <c r="P99" s="583"/>
      <c r="Q99" s="583"/>
      <c r="R99" s="583"/>
      <c r="T99" s="427"/>
    </row>
    <row r="100" spans="1:25" s="429" customFormat="1" ht="17.100000000000001" customHeight="1">
      <c r="A100" s="439"/>
      <c r="C100" s="441" t="s">
        <v>503</v>
      </c>
      <c r="D100" s="440"/>
      <c r="E100" s="440"/>
      <c r="F100" s="440"/>
      <c r="G100" s="440"/>
      <c r="H100" s="440"/>
      <c r="I100" s="440"/>
      <c r="J100" s="440"/>
      <c r="K100" s="440"/>
      <c r="L100" s="440"/>
      <c r="M100" s="440"/>
      <c r="N100" s="440"/>
      <c r="O100" s="440"/>
      <c r="P100" s="440"/>
      <c r="Q100" s="440"/>
      <c r="R100" s="440"/>
      <c r="T100" s="427"/>
    </row>
    <row r="101" spans="1:25" s="429" customFormat="1" ht="17.100000000000001" customHeight="1">
      <c r="A101" s="439" t="s">
        <v>40</v>
      </c>
      <c r="C101" s="583" t="s">
        <v>504</v>
      </c>
      <c r="D101" s="583"/>
      <c r="E101" s="583"/>
      <c r="F101" s="583"/>
      <c r="G101" s="583"/>
      <c r="H101" s="583"/>
      <c r="I101" s="583"/>
      <c r="J101" s="583"/>
      <c r="K101" s="583"/>
      <c r="L101" s="583"/>
      <c r="M101" s="583"/>
      <c r="N101" s="583"/>
      <c r="O101" s="583"/>
      <c r="P101" s="583"/>
      <c r="Q101" s="583"/>
      <c r="R101" s="583"/>
      <c r="T101" s="427"/>
    </row>
    <row r="102" spans="1:25" s="429" customFormat="1" ht="17.100000000000001" customHeight="1">
      <c r="A102" s="439" t="s">
        <v>41</v>
      </c>
      <c r="C102" s="583" t="s">
        <v>505</v>
      </c>
      <c r="D102" s="583"/>
      <c r="E102" s="583"/>
      <c r="F102" s="583"/>
      <c r="G102" s="583"/>
      <c r="H102" s="583"/>
      <c r="I102" s="583"/>
      <c r="J102" s="583"/>
      <c r="K102" s="583"/>
      <c r="L102" s="583"/>
      <c r="M102" s="583"/>
      <c r="N102" s="583"/>
      <c r="O102" s="583"/>
      <c r="P102" s="583"/>
      <c r="Q102" s="583"/>
      <c r="R102" s="583"/>
      <c r="T102" s="427"/>
    </row>
    <row r="103" spans="1:25" s="429" customFormat="1" ht="17.100000000000001" customHeight="1">
      <c r="A103" s="439"/>
      <c r="C103" s="583" t="s">
        <v>506</v>
      </c>
      <c r="D103" s="583"/>
      <c r="E103" s="583"/>
      <c r="F103" s="583"/>
      <c r="G103" s="583"/>
      <c r="H103" s="583"/>
      <c r="I103" s="583"/>
      <c r="J103" s="583"/>
      <c r="K103" s="583"/>
      <c r="L103" s="583"/>
      <c r="M103" s="583"/>
      <c r="N103" s="583"/>
      <c r="O103" s="583"/>
      <c r="P103" s="583"/>
      <c r="Q103" s="583"/>
      <c r="R103" s="583"/>
      <c r="T103" s="427"/>
    </row>
    <row r="104" spans="1:25" s="429" customFormat="1" ht="17.100000000000001" customHeight="1">
      <c r="A104" s="439" t="s">
        <v>430</v>
      </c>
      <c r="C104" s="583" t="s">
        <v>507</v>
      </c>
      <c r="D104" s="583"/>
      <c r="E104" s="583"/>
      <c r="F104" s="583"/>
      <c r="G104" s="583"/>
      <c r="H104" s="583"/>
      <c r="I104" s="583"/>
      <c r="J104" s="583"/>
      <c r="K104" s="583"/>
      <c r="L104" s="583"/>
      <c r="M104" s="583"/>
      <c r="N104" s="583"/>
      <c r="O104" s="583"/>
      <c r="P104" s="583"/>
      <c r="Q104" s="583"/>
      <c r="R104" s="583"/>
    </row>
    <row r="105" spans="1:25" s="429" customFormat="1" ht="17.100000000000001" customHeight="1">
      <c r="A105" s="442" t="s">
        <v>42</v>
      </c>
      <c r="C105" s="583" t="s">
        <v>432</v>
      </c>
      <c r="D105" s="583"/>
      <c r="E105" s="583"/>
      <c r="F105" s="583"/>
      <c r="G105" s="583"/>
      <c r="H105" s="583"/>
      <c r="I105" s="583"/>
      <c r="J105" s="583"/>
      <c r="K105" s="583"/>
      <c r="L105" s="583"/>
      <c r="M105" s="583"/>
      <c r="N105" s="583"/>
      <c r="O105" s="583"/>
      <c r="P105" s="583"/>
      <c r="Q105" s="583"/>
      <c r="R105" s="583"/>
    </row>
    <row r="106" spans="1:25" s="429" customFormat="1" ht="17.100000000000001" customHeight="1">
      <c r="A106" s="442" t="s">
        <v>55</v>
      </c>
      <c r="C106" s="583" t="s">
        <v>508</v>
      </c>
      <c r="D106" s="583"/>
      <c r="E106" s="583"/>
      <c r="F106" s="583"/>
      <c r="G106" s="583"/>
      <c r="H106" s="583"/>
      <c r="I106" s="583"/>
      <c r="J106" s="583"/>
      <c r="K106" s="583"/>
      <c r="L106" s="583"/>
      <c r="M106" s="583"/>
      <c r="N106" s="583"/>
      <c r="O106" s="583"/>
      <c r="P106" s="583"/>
      <c r="Q106" s="583"/>
      <c r="R106" s="583"/>
    </row>
    <row r="107" spans="1:25" s="429" customFormat="1" ht="17.100000000000001" customHeight="1">
      <c r="A107" s="442" t="s">
        <v>56</v>
      </c>
      <c r="C107" s="583" t="s">
        <v>509</v>
      </c>
      <c r="D107" s="583"/>
      <c r="E107" s="583"/>
      <c r="F107" s="583"/>
      <c r="G107" s="583"/>
      <c r="H107" s="583"/>
      <c r="I107" s="583"/>
      <c r="J107" s="583"/>
      <c r="K107" s="583"/>
      <c r="L107" s="583"/>
      <c r="M107" s="583"/>
      <c r="N107" s="583"/>
      <c r="O107" s="583"/>
      <c r="P107" s="583"/>
      <c r="Q107" s="583"/>
      <c r="R107" s="583"/>
    </row>
    <row r="108" spans="1:25" s="429" customFormat="1" ht="17.100000000000001" customHeight="1">
      <c r="A108" s="442" t="s">
        <v>435</v>
      </c>
      <c r="C108" s="583" t="s">
        <v>510</v>
      </c>
      <c r="D108" s="583"/>
      <c r="E108" s="583"/>
      <c r="F108" s="583"/>
      <c r="G108" s="583"/>
      <c r="H108" s="583"/>
      <c r="I108" s="583"/>
      <c r="J108" s="583"/>
      <c r="K108" s="583"/>
      <c r="L108" s="583"/>
      <c r="M108" s="583"/>
      <c r="N108" s="583"/>
      <c r="O108" s="583"/>
      <c r="P108" s="583"/>
      <c r="Q108" s="583"/>
      <c r="R108" s="583"/>
    </row>
    <row r="109" spans="1:25" ht="17.100000000000001" customHeight="1">
      <c r="A109" s="443"/>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row>
    <row r="110" spans="1:25" ht="17.100000000000001" customHeight="1">
      <c r="A110" s="444"/>
      <c r="B110" s="344"/>
      <c r="C110" s="307"/>
      <c r="D110" s="307"/>
      <c r="E110" s="307"/>
      <c r="F110" s="307"/>
      <c r="G110" s="307"/>
      <c r="H110" s="329"/>
      <c r="I110" s="329"/>
      <c r="J110" s="299"/>
      <c r="K110" s="299"/>
      <c r="L110" s="344"/>
      <c r="M110" s="344"/>
      <c r="N110" s="322"/>
      <c r="O110" s="344"/>
      <c r="Q110" s="299"/>
      <c r="R110" s="445"/>
      <c r="S110" s="383"/>
      <c r="T110" s="383"/>
      <c r="U110" s="383"/>
      <c r="V110" s="383"/>
      <c r="W110" s="383"/>
      <c r="X110" s="383"/>
      <c r="Y110" s="383"/>
    </row>
    <row r="111" spans="1:25" ht="15">
      <c r="A111" s="444"/>
      <c r="B111" s="344"/>
      <c r="C111" s="307"/>
      <c r="D111" s="307"/>
      <c r="E111" s="307"/>
      <c r="F111" s="307"/>
      <c r="G111" s="307"/>
      <c r="H111" s="329"/>
      <c r="I111" s="329"/>
      <c r="J111" s="299"/>
      <c r="K111" s="299"/>
      <c r="L111" s="344"/>
      <c r="M111" s="344"/>
      <c r="N111" s="322"/>
      <c r="O111" s="344"/>
      <c r="Q111" s="299"/>
      <c r="R111" s="322"/>
      <c r="S111" s="383"/>
      <c r="T111" s="383"/>
      <c r="U111" s="383"/>
      <c r="V111" s="383"/>
      <c r="W111" s="383"/>
      <c r="X111" s="383"/>
      <c r="Y111" s="383"/>
    </row>
    <row r="112" spans="1:25">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row>
    <row r="113" spans="3:25">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row>
    <row r="114" spans="3:25">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row>
    <row r="115" spans="3:25">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row>
    <row r="116" spans="3:25">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row>
    <row r="117" spans="3:25">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row>
    <row r="118" spans="3:25">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row>
    <row r="119" spans="3:25">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row>
    <row r="120" spans="3:25">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row>
    <row r="121" spans="3:25">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row>
    <row r="122" spans="3:25">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row>
    <row r="123" spans="3:25">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row>
    <row r="124" spans="3:25">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row>
    <row r="125" spans="3:25">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row>
    <row r="126" spans="3:25">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row>
    <row r="127" spans="3:25">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row>
    <row r="128" spans="3:25">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row>
    <row r="129" spans="3:25">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row>
    <row r="130" spans="3:25">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row>
    <row r="131" spans="3:25">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row>
    <row r="132" spans="3:25">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row>
    <row r="133" spans="3:25">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row>
    <row r="134" spans="3:25">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row>
    <row r="135" spans="3:25">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row>
    <row r="136" spans="3:25">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row>
    <row r="137" spans="3:25">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row>
    <row r="138" spans="3:25">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row>
    <row r="139" spans="3:25">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row>
    <row r="140" spans="3:25">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row>
    <row r="141" spans="3:25">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row>
    <row r="142" spans="3:25">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row>
    <row r="143" spans="3:25">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row>
    <row r="144" spans="3:25">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row>
    <row r="145" spans="3:25">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row>
    <row r="146" spans="3:25">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row>
    <row r="147" spans="3:25">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row>
    <row r="148" spans="3:25">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row>
    <row r="149" spans="3:25">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row>
    <row r="150" spans="3:25">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row>
    <row r="151" spans="3:25">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row>
    <row r="152" spans="3:25">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row>
    <row r="153" spans="3:25">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row>
    <row r="154" spans="3:25">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row>
    <row r="155" spans="3:25">
      <c r="C155" s="383"/>
      <c r="D155" s="383"/>
      <c r="E155" s="383"/>
      <c r="F155" s="383"/>
      <c r="G155" s="383"/>
      <c r="H155" s="383"/>
      <c r="I155" s="383"/>
      <c r="J155" s="383"/>
      <c r="K155" s="383"/>
      <c r="L155" s="383"/>
      <c r="M155" s="383"/>
      <c r="N155" s="383"/>
      <c r="O155" s="383"/>
      <c r="P155" s="383"/>
      <c r="Q155" s="383"/>
      <c r="R155" s="383"/>
      <c r="S155" s="383"/>
      <c r="T155" s="383"/>
      <c r="U155" s="383"/>
      <c r="V155" s="383"/>
      <c r="W155" s="383"/>
      <c r="X155" s="383"/>
      <c r="Y155" s="383"/>
    </row>
    <row r="156" spans="3:25">
      <c r="C156" s="383"/>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row>
    <row r="157" spans="3:25">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row>
    <row r="158" spans="3:25">
      <c r="C158" s="383"/>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row>
    <row r="159" spans="3:25">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row>
    <row r="160" spans="3:25">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row>
    <row r="161" spans="3:25">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row>
    <row r="162" spans="3:25">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row>
    <row r="163" spans="3:25">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row>
    <row r="164" spans="3:25">
      <c r="C164" s="383"/>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row>
    <row r="165" spans="3:25">
      <c r="C165" s="383"/>
      <c r="D165" s="383"/>
      <c r="E165" s="383"/>
      <c r="F165" s="383"/>
      <c r="G165" s="383"/>
      <c r="H165" s="383"/>
      <c r="I165" s="383"/>
      <c r="J165" s="383"/>
      <c r="K165" s="383"/>
      <c r="L165" s="383"/>
      <c r="M165" s="383"/>
      <c r="N165" s="383"/>
      <c r="O165" s="383"/>
      <c r="P165" s="383"/>
      <c r="Q165" s="383"/>
      <c r="R165" s="383"/>
      <c r="S165" s="383"/>
      <c r="T165" s="383"/>
      <c r="U165" s="383"/>
      <c r="V165" s="383"/>
      <c r="W165" s="383"/>
      <c r="X165" s="383"/>
      <c r="Y165" s="383"/>
    </row>
    <row r="166" spans="3:25">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row>
    <row r="167" spans="3:25">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row>
    <row r="168" spans="3:25">
      <c r="C168" s="383"/>
      <c r="D168" s="383"/>
      <c r="E168" s="383"/>
      <c r="F168" s="383"/>
      <c r="G168" s="383"/>
      <c r="H168" s="383"/>
      <c r="I168" s="383"/>
      <c r="J168" s="383"/>
      <c r="K168" s="383"/>
      <c r="L168" s="383"/>
      <c r="M168" s="383"/>
      <c r="N168" s="383"/>
      <c r="O168" s="383"/>
      <c r="P168" s="383"/>
      <c r="Q168" s="383"/>
      <c r="R168" s="383"/>
      <c r="S168" s="383"/>
      <c r="T168" s="383"/>
      <c r="U168" s="383"/>
      <c r="V168" s="383"/>
      <c r="W168" s="383"/>
      <c r="X168" s="383"/>
      <c r="Y168" s="383"/>
    </row>
    <row r="169" spans="3:25">
      <c r="C169" s="383"/>
      <c r="D169" s="383"/>
      <c r="E169" s="383"/>
      <c r="F169" s="383"/>
      <c r="G169" s="383"/>
      <c r="H169" s="383"/>
      <c r="I169" s="383"/>
      <c r="J169" s="383"/>
      <c r="K169" s="383"/>
      <c r="L169" s="383"/>
      <c r="M169" s="383"/>
      <c r="N169" s="383"/>
      <c r="O169" s="383"/>
      <c r="P169" s="383"/>
      <c r="Q169" s="383"/>
      <c r="R169" s="383"/>
      <c r="S169" s="383"/>
      <c r="T169" s="383"/>
      <c r="U169" s="383"/>
      <c r="V169" s="383"/>
      <c r="W169" s="383"/>
      <c r="X169" s="383"/>
      <c r="Y169" s="383"/>
    </row>
    <row r="170" spans="3:25">
      <c r="C170" s="383"/>
      <c r="D170" s="383"/>
      <c r="E170" s="383"/>
      <c r="F170" s="383"/>
      <c r="G170" s="383"/>
      <c r="H170" s="383"/>
      <c r="I170" s="383"/>
      <c r="J170" s="383"/>
      <c r="K170" s="383"/>
      <c r="L170" s="383"/>
      <c r="M170" s="383"/>
      <c r="N170" s="383"/>
      <c r="O170" s="383"/>
      <c r="P170" s="383"/>
      <c r="Q170" s="383"/>
      <c r="R170" s="383"/>
      <c r="S170" s="383"/>
      <c r="T170" s="383"/>
      <c r="U170" s="383"/>
      <c r="V170" s="383"/>
      <c r="W170" s="383"/>
      <c r="X170" s="383"/>
      <c r="Y170" s="383"/>
    </row>
    <row r="171" spans="3:25">
      <c r="C171" s="383"/>
      <c r="D171" s="383"/>
      <c r="E171" s="383"/>
      <c r="F171" s="383"/>
      <c r="G171" s="383"/>
      <c r="H171" s="383"/>
      <c r="I171" s="383"/>
      <c r="J171" s="383"/>
      <c r="K171" s="383"/>
      <c r="L171" s="383"/>
      <c r="M171" s="383"/>
      <c r="N171" s="383"/>
      <c r="O171" s="383"/>
      <c r="P171" s="383"/>
      <c r="Q171" s="383"/>
      <c r="R171" s="383"/>
      <c r="S171" s="383"/>
      <c r="T171" s="383"/>
      <c r="U171" s="383"/>
      <c r="V171" s="383"/>
      <c r="W171" s="383"/>
      <c r="X171" s="383"/>
      <c r="Y171" s="383"/>
    </row>
    <row r="172" spans="3:25">
      <c r="C172" s="383"/>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row>
    <row r="173" spans="3:25">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row>
    <row r="174" spans="3:25">
      <c r="C174" s="383"/>
      <c r="D174" s="383"/>
      <c r="E174" s="383"/>
      <c r="F174" s="383"/>
      <c r="G174" s="383"/>
      <c r="H174" s="383"/>
      <c r="I174" s="383"/>
      <c r="J174" s="383"/>
      <c r="K174" s="383"/>
      <c r="L174" s="383"/>
      <c r="M174" s="383"/>
      <c r="N174" s="383"/>
      <c r="O174" s="383"/>
      <c r="P174" s="383"/>
      <c r="Q174" s="383"/>
      <c r="R174" s="383"/>
      <c r="S174" s="383"/>
      <c r="T174" s="383"/>
      <c r="U174" s="383"/>
      <c r="V174" s="383"/>
      <c r="W174" s="383"/>
      <c r="X174" s="383"/>
      <c r="Y174" s="383"/>
    </row>
    <row r="175" spans="3:25">
      <c r="C175" s="383"/>
      <c r="D175" s="383"/>
      <c r="E175" s="383"/>
      <c r="F175" s="383"/>
      <c r="G175" s="383"/>
      <c r="H175" s="383"/>
      <c r="I175" s="383"/>
      <c r="J175" s="383"/>
      <c r="K175" s="383"/>
      <c r="L175" s="383"/>
      <c r="M175" s="383"/>
      <c r="N175" s="383"/>
      <c r="O175" s="383"/>
      <c r="P175" s="383"/>
      <c r="Q175" s="383"/>
      <c r="R175" s="383"/>
      <c r="S175" s="383"/>
      <c r="T175" s="383"/>
      <c r="U175" s="383"/>
      <c r="V175" s="383"/>
      <c r="W175" s="383"/>
      <c r="X175" s="383"/>
      <c r="Y175" s="383"/>
    </row>
    <row r="176" spans="3:25">
      <c r="C176" s="383"/>
      <c r="D176" s="383"/>
      <c r="E176" s="383"/>
      <c r="F176" s="383"/>
      <c r="G176" s="383"/>
      <c r="H176" s="383"/>
      <c r="I176" s="383"/>
      <c r="J176" s="383"/>
      <c r="K176" s="383"/>
      <c r="L176" s="383"/>
      <c r="M176" s="383"/>
      <c r="N176" s="383"/>
      <c r="O176" s="383"/>
      <c r="P176" s="383"/>
      <c r="Q176" s="383"/>
      <c r="R176" s="383"/>
      <c r="S176" s="383"/>
      <c r="T176" s="383"/>
      <c r="U176" s="383"/>
      <c r="V176" s="383"/>
      <c r="W176" s="383"/>
      <c r="X176" s="383"/>
      <c r="Y176" s="383"/>
    </row>
    <row r="177" spans="3:25">
      <c r="C177" s="383"/>
      <c r="D177" s="383"/>
      <c r="E177" s="383"/>
      <c r="F177" s="383"/>
      <c r="G177" s="383"/>
      <c r="H177" s="383"/>
      <c r="I177" s="383"/>
      <c r="J177" s="383"/>
      <c r="K177" s="383"/>
      <c r="L177" s="383"/>
      <c r="M177" s="383"/>
      <c r="N177" s="383"/>
      <c r="O177" s="383"/>
      <c r="P177" s="383"/>
      <c r="Q177" s="383"/>
      <c r="R177" s="383"/>
      <c r="S177" s="383"/>
      <c r="T177" s="383"/>
      <c r="U177" s="383"/>
      <c r="V177" s="383"/>
      <c r="W177" s="383"/>
      <c r="X177" s="383"/>
      <c r="Y177" s="383"/>
    </row>
    <row r="178" spans="3:25">
      <c r="C178" s="383"/>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row>
    <row r="179" spans="3:25">
      <c r="C179" s="383"/>
      <c r="D179" s="383"/>
      <c r="E179" s="383"/>
      <c r="F179" s="383"/>
      <c r="G179" s="383"/>
      <c r="H179" s="383"/>
      <c r="I179" s="383"/>
      <c r="J179" s="383"/>
      <c r="K179" s="383"/>
      <c r="L179" s="383"/>
      <c r="M179" s="383"/>
      <c r="N179" s="383"/>
      <c r="O179" s="383"/>
      <c r="P179" s="383"/>
      <c r="Q179" s="383"/>
      <c r="R179" s="383"/>
      <c r="S179" s="383"/>
      <c r="T179" s="383"/>
      <c r="U179" s="383"/>
      <c r="V179" s="383"/>
      <c r="W179" s="383"/>
      <c r="X179" s="383"/>
      <c r="Y179" s="383"/>
    </row>
    <row r="180" spans="3:25">
      <c r="C180" s="383"/>
      <c r="D180" s="383"/>
      <c r="E180" s="383"/>
      <c r="F180" s="383"/>
      <c r="G180" s="383"/>
      <c r="H180" s="383"/>
      <c r="I180" s="383"/>
      <c r="J180" s="383"/>
      <c r="K180" s="383"/>
      <c r="L180" s="383"/>
      <c r="M180" s="383"/>
      <c r="N180" s="383"/>
      <c r="O180" s="383"/>
      <c r="P180" s="383"/>
      <c r="Q180" s="383"/>
      <c r="R180" s="383"/>
      <c r="S180" s="383"/>
      <c r="T180" s="383"/>
      <c r="U180" s="383"/>
      <c r="V180" s="383"/>
      <c r="W180" s="383"/>
      <c r="X180" s="383"/>
      <c r="Y180" s="383"/>
    </row>
    <row r="181" spans="3:25">
      <c r="C181" s="383"/>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row>
    <row r="182" spans="3:25">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row>
    <row r="183" spans="3:25">
      <c r="C183" s="383"/>
      <c r="D183" s="383"/>
      <c r="E183" s="383"/>
      <c r="F183" s="383"/>
      <c r="G183" s="383"/>
      <c r="H183" s="383"/>
      <c r="I183" s="383"/>
      <c r="J183" s="383"/>
      <c r="K183" s="383"/>
      <c r="L183" s="383"/>
      <c r="M183" s="383"/>
      <c r="N183" s="383"/>
      <c r="O183" s="383"/>
      <c r="P183" s="383"/>
      <c r="Q183" s="383"/>
      <c r="R183" s="383"/>
      <c r="S183" s="383"/>
      <c r="T183" s="383"/>
      <c r="U183" s="383"/>
      <c r="V183" s="383"/>
      <c r="W183" s="383"/>
      <c r="X183" s="383"/>
      <c r="Y183" s="383"/>
    </row>
    <row r="184" spans="3:25">
      <c r="C184" s="383"/>
      <c r="D184" s="383"/>
      <c r="E184" s="383"/>
      <c r="F184" s="383"/>
      <c r="G184" s="383"/>
      <c r="H184" s="383"/>
      <c r="I184" s="383"/>
      <c r="J184" s="383"/>
      <c r="K184" s="383"/>
      <c r="L184" s="383"/>
      <c r="M184" s="383"/>
      <c r="N184" s="383"/>
      <c r="O184" s="383"/>
      <c r="P184" s="383"/>
      <c r="Q184" s="383"/>
      <c r="R184" s="383"/>
      <c r="S184" s="383"/>
      <c r="T184" s="383"/>
      <c r="U184" s="383"/>
      <c r="V184" s="383"/>
      <c r="W184" s="383"/>
      <c r="X184" s="383"/>
      <c r="Y184" s="383"/>
    </row>
    <row r="185" spans="3:25">
      <c r="C185" s="383"/>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row>
    <row r="186" spans="3:25">
      <c r="C186" s="383"/>
      <c r="D186" s="383"/>
      <c r="E186" s="383"/>
      <c r="F186" s="383"/>
      <c r="G186" s="383"/>
      <c r="H186" s="383"/>
      <c r="I186" s="383"/>
      <c r="J186" s="383"/>
      <c r="K186" s="383"/>
      <c r="L186" s="383"/>
      <c r="M186" s="383"/>
      <c r="N186" s="383"/>
      <c r="O186" s="383"/>
      <c r="P186" s="383"/>
      <c r="Q186" s="383"/>
      <c r="R186" s="383"/>
      <c r="S186" s="383"/>
      <c r="T186" s="383"/>
      <c r="U186" s="383"/>
      <c r="V186" s="383"/>
      <c r="W186" s="383"/>
      <c r="X186" s="383"/>
      <c r="Y186" s="383"/>
    </row>
    <row r="187" spans="3:25">
      <c r="C187" s="383"/>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row>
    <row r="188" spans="3:25">
      <c r="C188" s="383"/>
      <c r="D188" s="383"/>
      <c r="E188" s="383"/>
      <c r="F188" s="383"/>
      <c r="G188" s="383"/>
      <c r="H188" s="383"/>
      <c r="I188" s="383"/>
      <c r="J188" s="383"/>
      <c r="K188" s="383"/>
      <c r="L188" s="383"/>
      <c r="M188" s="383"/>
      <c r="N188" s="383"/>
      <c r="O188" s="383"/>
      <c r="P188" s="383"/>
      <c r="Q188" s="383"/>
      <c r="R188" s="383"/>
      <c r="S188" s="383"/>
      <c r="T188" s="383"/>
      <c r="U188" s="383"/>
      <c r="V188" s="383"/>
      <c r="W188" s="383"/>
      <c r="X188" s="383"/>
      <c r="Y188" s="383"/>
    </row>
    <row r="189" spans="3:25">
      <c r="C189" s="383"/>
      <c r="D189" s="383"/>
      <c r="E189" s="383"/>
      <c r="F189" s="383"/>
      <c r="G189" s="383"/>
      <c r="H189" s="383"/>
      <c r="I189" s="383"/>
      <c r="J189" s="383"/>
      <c r="K189" s="383"/>
      <c r="L189" s="383"/>
      <c r="M189" s="383"/>
      <c r="N189" s="383"/>
      <c r="O189" s="383"/>
      <c r="P189" s="383"/>
      <c r="Q189" s="383"/>
      <c r="R189" s="383"/>
      <c r="S189" s="383"/>
      <c r="T189" s="383"/>
      <c r="U189" s="383"/>
      <c r="V189" s="383"/>
      <c r="W189" s="383"/>
      <c r="X189" s="383"/>
      <c r="Y189" s="383"/>
    </row>
    <row r="190" spans="3:25">
      <c r="C190" s="383"/>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row>
    <row r="191" spans="3:25">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row>
    <row r="192" spans="3:25">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row>
    <row r="193" spans="3:25">
      <c r="C193" s="383"/>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row>
    <row r="194" spans="3:25">
      <c r="C194" s="383"/>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row>
    <row r="195" spans="3:25">
      <c r="C195" s="383"/>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row>
    <row r="196" spans="3:25">
      <c r="C196" s="383"/>
      <c r="D196" s="383"/>
      <c r="E196" s="383"/>
      <c r="F196" s="383"/>
      <c r="G196" s="383"/>
      <c r="H196" s="383"/>
      <c r="I196" s="383"/>
      <c r="J196" s="383"/>
      <c r="K196" s="383"/>
      <c r="L196" s="383"/>
      <c r="M196" s="383"/>
      <c r="N196" s="383"/>
      <c r="O196" s="383"/>
      <c r="P196" s="383"/>
      <c r="Q196" s="383"/>
      <c r="R196" s="383"/>
      <c r="S196" s="383"/>
      <c r="T196" s="383"/>
      <c r="U196" s="383"/>
      <c r="V196" s="383"/>
      <c r="W196" s="383"/>
      <c r="X196" s="383"/>
      <c r="Y196" s="383"/>
    </row>
    <row r="197" spans="3:25">
      <c r="C197" s="383"/>
      <c r="D197" s="383"/>
      <c r="E197" s="383"/>
      <c r="F197" s="383"/>
      <c r="G197" s="383"/>
      <c r="H197" s="383"/>
      <c r="I197" s="383"/>
      <c r="J197" s="383"/>
      <c r="K197" s="383"/>
      <c r="L197" s="383"/>
      <c r="M197" s="383"/>
      <c r="N197" s="383"/>
      <c r="O197" s="383"/>
      <c r="P197" s="383"/>
      <c r="Q197" s="383"/>
      <c r="R197" s="383"/>
      <c r="S197" s="383"/>
      <c r="T197" s="383"/>
      <c r="U197" s="383"/>
      <c r="V197" s="383"/>
      <c r="W197" s="383"/>
      <c r="X197" s="383"/>
      <c r="Y197" s="383"/>
    </row>
    <row r="198" spans="3:25">
      <c r="C198" s="383"/>
      <c r="D198" s="383"/>
      <c r="E198" s="383"/>
      <c r="F198" s="383"/>
      <c r="G198" s="383"/>
      <c r="H198" s="383"/>
      <c r="I198" s="383"/>
      <c r="J198" s="383"/>
      <c r="K198" s="383"/>
      <c r="L198" s="383"/>
      <c r="M198" s="383"/>
      <c r="N198" s="383"/>
      <c r="O198" s="383"/>
      <c r="P198" s="383"/>
      <c r="Q198" s="383"/>
      <c r="R198" s="383"/>
      <c r="S198" s="383"/>
      <c r="T198" s="383"/>
      <c r="U198" s="383"/>
      <c r="V198" s="383"/>
      <c r="W198" s="383"/>
      <c r="X198" s="383"/>
      <c r="Y198" s="383"/>
    </row>
    <row r="199" spans="3:25">
      <c r="C199" s="383"/>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row>
    <row r="200" spans="3:25">
      <c r="C200" s="383"/>
      <c r="D200" s="383"/>
      <c r="E200" s="383"/>
      <c r="F200" s="383"/>
      <c r="G200" s="383"/>
      <c r="H200" s="383"/>
      <c r="I200" s="383"/>
      <c r="J200" s="383"/>
      <c r="K200" s="383"/>
      <c r="L200" s="383"/>
      <c r="M200" s="383"/>
      <c r="N200" s="383"/>
      <c r="O200" s="383"/>
      <c r="P200" s="383"/>
      <c r="Q200" s="383"/>
      <c r="R200" s="383"/>
      <c r="S200" s="383"/>
      <c r="T200" s="383"/>
      <c r="U200" s="383"/>
      <c r="V200" s="383"/>
      <c r="W200" s="383"/>
      <c r="X200" s="383"/>
      <c r="Y200" s="383"/>
    </row>
    <row r="201" spans="3:25">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row>
    <row r="202" spans="3:25">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row>
    <row r="203" spans="3:25">
      <c r="C203" s="383"/>
      <c r="D203" s="383"/>
      <c r="E203" s="383"/>
      <c r="F203" s="383"/>
      <c r="G203" s="383"/>
      <c r="H203" s="383"/>
      <c r="I203" s="383"/>
      <c r="J203" s="383"/>
      <c r="K203" s="383"/>
      <c r="L203" s="383"/>
      <c r="M203" s="383"/>
      <c r="N203" s="383"/>
      <c r="O203" s="383"/>
      <c r="P203" s="383"/>
      <c r="Q203" s="383"/>
      <c r="R203" s="383"/>
      <c r="S203" s="383"/>
      <c r="T203" s="383"/>
      <c r="U203" s="383"/>
      <c r="V203" s="383"/>
      <c r="W203" s="383"/>
      <c r="X203" s="383"/>
      <c r="Y203" s="383"/>
    </row>
    <row r="204" spans="3:25">
      <c r="C204" s="383"/>
      <c r="D204" s="383"/>
      <c r="E204" s="383"/>
      <c r="F204" s="383"/>
      <c r="G204" s="383"/>
      <c r="H204" s="383"/>
      <c r="I204" s="383"/>
      <c r="J204" s="383"/>
      <c r="K204" s="383"/>
      <c r="L204" s="383"/>
      <c r="M204" s="383"/>
      <c r="N204" s="383"/>
      <c r="O204" s="383"/>
      <c r="P204" s="383"/>
      <c r="Q204" s="383"/>
      <c r="R204" s="383"/>
      <c r="S204" s="383"/>
      <c r="T204" s="383"/>
      <c r="U204" s="383"/>
      <c r="V204" s="383"/>
      <c r="W204" s="383"/>
      <c r="X204" s="383"/>
      <c r="Y204" s="383"/>
    </row>
    <row r="205" spans="3:25">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row>
    <row r="206" spans="3:25">
      <c r="C206" s="383"/>
      <c r="D206" s="383"/>
      <c r="E206" s="383"/>
      <c r="F206" s="383"/>
      <c r="G206" s="383"/>
      <c r="H206" s="383"/>
      <c r="I206" s="383"/>
      <c r="J206" s="383"/>
      <c r="K206" s="383"/>
      <c r="L206" s="383"/>
      <c r="M206" s="383"/>
      <c r="N206" s="383"/>
      <c r="O206" s="383"/>
      <c r="P206" s="383"/>
      <c r="Q206" s="383"/>
      <c r="R206" s="383"/>
      <c r="S206" s="383"/>
      <c r="T206" s="383"/>
      <c r="U206" s="383"/>
      <c r="V206" s="383"/>
      <c r="W206" s="383"/>
      <c r="X206" s="383"/>
      <c r="Y206" s="383"/>
    </row>
    <row r="207" spans="3:25">
      <c r="C207" s="383"/>
      <c r="D207" s="383"/>
      <c r="E207" s="383"/>
      <c r="F207" s="383"/>
      <c r="G207" s="383"/>
      <c r="H207" s="383"/>
      <c r="I207" s="383"/>
      <c r="J207" s="383"/>
      <c r="K207" s="383"/>
      <c r="L207" s="383"/>
      <c r="M207" s="383"/>
      <c r="N207" s="383"/>
      <c r="O207" s="383"/>
      <c r="P207" s="383"/>
      <c r="Q207" s="383"/>
      <c r="R207" s="383"/>
      <c r="S207" s="383"/>
      <c r="T207" s="383"/>
      <c r="U207" s="383"/>
      <c r="V207" s="383"/>
      <c r="W207" s="383"/>
      <c r="X207" s="383"/>
      <c r="Y207" s="383"/>
    </row>
    <row r="208" spans="3:25">
      <c r="C208" s="383"/>
      <c r="D208" s="383"/>
      <c r="E208" s="383"/>
      <c r="F208" s="383"/>
      <c r="G208" s="383"/>
      <c r="H208" s="383"/>
      <c r="I208" s="383"/>
      <c r="J208" s="383"/>
      <c r="K208" s="383"/>
      <c r="L208" s="383"/>
      <c r="M208" s="383"/>
      <c r="N208" s="383"/>
      <c r="O208" s="383"/>
      <c r="P208" s="383"/>
      <c r="Q208" s="383"/>
      <c r="R208" s="383"/>
      <c r="S208" s="383"/>
      <c r="T208" s="383"/>
      <c r="U208" s="383"/>
      <c r="V208" s="383"/>
      <c r="W208" s="383"/>
      <c r="X208" s="383"/>
      <c r="Y208" s="383"/>
    </row>
    <row r="209" spans="3:25">
      <c r="C209" s="383"/>
      <c r="D209" s="383"/>
      <c r="E209" s="383"/>
      <c r="F209" s="383"/>
      <c r="G209" s="383"/>
      <c r="H209" s="383"/>
      <c r="I209" s="383"/>
      <c r="J209" s="383"/>
      <c r="K209" s="383"/>
      <c r="L209" s="383"/>
      <c r="M209" s="383"/>
      <c r="N209" s="383"/>
      <c r="O209" s="383"/>
      <c r="P209" s="383"/>
      <c r="Q209" s="383"/>
      <c r="R209" s="383"/>
      <c r="S209" s="383"/>
      <c r="T209" s="383"/>
      <c r="U209" s="383"/>
      <c r="V209" s="383"/>
      <c r="W209" s="383"/>
      <c r="X209" s="383"/>
      <c r="Y209" s="383"/>
    </row>
    <row r="210" spans="3:25">
      <c r="C210" s="383"/>
      <c r="D210" s="383"/>
      <c r="E210" s="383"/>
      <c r="F210" s="383"/>
      <c r="G210" s="383"/>
      <c r="H210" s="383"/>
      <c r="I210" s="383"/>
      <c r="J210" s="383"/>
      <c r="K210" s="383"/>
      <c r="L210" s="383"/>
      <c r="M210" s="383"/>
      <c r="N210" s="383"/>
      <c r="O210" s="383"/>
      <c r="P210" s="383"/>
      <c r="Q210" s="383"/>
      <c r="R210" s="383"/>
      <c r="S210" s="383"/>
      <c r="T210" s="383"/>
      <c r="U210" s="383"/>
      <c r="V210" s="383"/>
      <c r="W210" s="383"/>
      <c r="X210" s="383"/>
      <c r="Y210" s="383"/>
    </row>
    <row r="211" spans="3:25">
      <c r="C211" s="383"/>
      <c r="D211" s="383"/>
      <c r="E211" s="383"/>
      <c r="F211" s="383"/>
      <c r="G211" s="383"/>
      <c r="H211" s="383"/>
      <c r="I211" s="383"/>
      <c r="J211" s="383"/>
      <c r="K211" s="383"/>
      <c r="L211" s="383"/>
      <c r="M211" s="383"/>
      <c r="N211" s="383"/>
      <c r="O211" s="383"/>
      <c r="P211" s="383"/>
      <c r="Q211" s="383"/>
      <c r="R211" s="383"/>
      <c r="S211" s="383"/>
      <c r="T211" s="383"/>
      <c r="U211" s="383"/>
      <c r="V211" s="383"/>
      <c r="W211" s="383"/>
      <c r="X211" s="383"/>
      <c r="Y211" s="383"/>
    </row>
    <row r="212" spans="3:25">
      <c r="C212" s="383"/>
      <c r="D212" s="383"/>
      <c r="E212" s="383"/>
      <c r="F212" s="383"/>
      <c r="G212" s="383"/>
      <c r="H212" s="383"/>
      <c r="I212" s="383"/>
      <c r="J212" s="383"/>
      <c r="K212" s="383"/>
      <c r="L212" s="383"/>
      <c r="M212" s="383"/>
      <c r="N212" s="383"/>
      <c r="O212" s="383"/>
      <c r="P212" s="383"/>
      <c r="Q212" s="383"/>
      <c r="R212" s="383"/>
      <c r="S212" s="383"/>
      <c r="T212" s="383"/>
      <c r="U212" s="383"/>
      <c r="V212" s="383"/>
      <c r="W212" s="383"/>
      <c r="X212" s="383"/>
      <c r="Y212" s="383"/>
    </row>
    <row r="213" spans="3:25">
      <c r="C213" s="383"/>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row>
    <row r="214" spans="3:25">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row>
    <row r="215" spans="3:25">
      <c r="C215" s="383"/>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row>
    <row r="216" spans="3:25">
      <c r="C216" s="383"/>
      <c r="D216" s="383"/>
      <c r="E216" s="383"/>
      <c r="F216" s="383"/>
      <c r="G216" s="383"/>
      <c r="H216" s="383"/>
      <c r="I216" s="383"/>
      <c r="J216" s="383"/>
      <c r="K216" s="383"/>
      <c r="L216" s="383"/>
      <c r="M216" s="383"/>
      <c r="N216" s="383"/>
      <c r="O216" s="383"/>
      <c r="P216" s="383"/>
      <c r="Q216" s="383"/>
      <c r="R216" s="383"/>
      <c r="S216" s="383"/>
      <c r="T216" s="383"/>
      <c r="U216" s="383"/>
      <c r="V216" s="383"/>
      <c r="W216" s="383"/>
      <c r="X216" s="383"/>
      <c r="Y216" s="383"/>
    </row>
    <row r="217" spans="3:25">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row>
    <row r="218" spans="3:25">
      <c r="C218" s="383"/>
      <c r="D218" s="383"/>
      <c r="E218" s="383"/>
      <c r="F218" s="383"/>
      <c r="G218" s="383"/>
      <c r="H218" s="383"/>
      <c r="I218" s="383"/>
      <c r="J218" s="383"/>
      <c r="K218" s="383"/>
      <c r="L218" s="383"/>
      <c r="M218" s="383"/>
      <c r="N218" s="383"/>
      <c r="O218" s="383"/>
      <c r="P218" s="383"/>
      <c r="Q218" s="383"/>
      <c r="R218" s="383"/>
      <c r="S218" s="383"/>
      <c r="T218" s="383"/>
      <c r="U218" s="383"/>
      <c r="V218" s="383"/>
      <c r="W218" s="383"/>
      <c r="X218" s="383"/>
      <c r="Y218" s="383"/>
    </row>
    <row r="219" spans="3:25">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row>
    <row r="220" spans="3:25">
      <c r="C220" s="383"/>
      <c r="D220" s="383"/>
      <c r="E220" s="383"/>
      <c r="F220" s="383"/>
      <c r="G220" s="383"/>
      <c r="H220" s="383"/>
      <c r="I220" s="383"/>
      <c r="J220" s="383"/>
      <c r="K220" s="383"/>
      <c r="L220" s="383"/>
      <c r="M220" s="383"/>
      <c r="N220" s="383"/>
      <c r="O220" s="383"/>
      <c r="P220" s="383"/>
      <c r="Q220" s="383"/>
      <c r="R220" s="383"/>
      <c r="S220" s="383"/>
      <c r="T220" s="383"/>
      <c r="U220" s="383"/>
      <c r="V220" s="383"/>
      <c r="W220" s="383"/>
      <c r="X220" s="383"/>
      <c r="Y220" s="383"/>
    </row>
    <row r="221" spans="3:25">
      <c r="C221" s="383"/>
      <c r="D221" s="383"/>
      <c r="E221" s="383"/>
      <c r="F221" s="383"/>
      <c r="G221" s="383"/>
      <c r="H221" s="383"/>
      <c r="I221" s="383"/>
      <c r="J221" s="383"/>
      <c r="K221" s="383"/>
      <c r="L221" s="383"/>
      <c r="M221" s="383"/>
      <c r="N221" s="383"/>
      <c r="O221" s="383"/>
      <c r="P221" s="383"/>
      <c r="Q221" s="383"/>
      <c r="R221" s="383"/>
      <c r="S221" s="383"/>
      <c r="T221" s="383"/>
      <c r="U221" s="383"/>
      <c r="V221" s="383"/>
      <c r="W221" s="383"/>
      <c r="X221" s="383"/>
      <c r="Y221" s="383"/>
    </row>
    <row r="222" spans="3:25">
      <c r="C222" s="383"/>
      <c r="D222" s="383"/>
      <c r="E222" s="383"/>
      <c r="F222" s="383"/>
      <c r="G222" s="383"/>
      <c r="H222" s="383"/>
      <c r="I222" s="383"/>
      <c r="J222" s="383"/>
      <c r="K222" s="383"/>
      <c r="L222" s="383"/>
      <c r="M222" s="383"/>
      <c r="N222" s="383"/>
      <c r="O222" s="383"/>
      <c r="P222" s="383"/>
      <c r="Q222" s="383"/>
      <c r="R222" s="383"/>
      <c r="S222" s="383"/>
      <c r="T222" s="383"/>
      <c r="U222" s="383"/>
      <c r="V222" s="383"/>
      <c r="W222" s="383"/>
      <c r="X222" s="383"/>
      <c r="Y222" s="383"/>
    </row>
    <row r="223" spans="3:25">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row>
    <row r="224" spans="3:25">
      <c r="C224" s="383"/>
      <c r="D224" s="383"/>
      <c r="E224" s="383"/>
      <c r="F224" s="383"/>
      <c r="G224" s="383"/>
      <c r="H224" s="383"/>
      <c r="I224" s="383"/>
      <c r="J224" s="383"/>
      <c r="K224" s="383"/>
      <c r="L224" s="383"/>
      <c r="M224" s="383"/>
      <c r="N224" s="383"/>
      <c r="O224" s="383"/>
      <c r="P224" s="383"/>
      <c r="Q224" s="383"/>
      <c r="R224" s="383"/>
      <c r="S224" s="383"/>
      <c r="T224" s="383"/>
      <c r="U224" s="383"/>
      <c r="V224" s="383"/>
      <c r="W224" s="383"/>
      <c r="X224" s="383"/>
      <c r="Y224" s="383"/>
    </row>
    <row r="225" spans="3:25">
      <c r="C225" s="383"/>
      <c r="D225" s="383"/>
      <c r="E225" s="383"/>
      <c r="F225" s="383"/>
      <c r="G225" s="383"/>
      <c r="H225" s="383"/>
      <c r="I225" s="383"/>
      <c r="J225" s="383"/>
      <c r="K225" s="383"/>
      <c r="L225" s="383"/>
      <c r="M225" s="383"/>
      <c r="N225" s="383"/>
      <c r="O225" s="383"/>
      <c r="P225" s="383"/>
      <c r="Q225" s="383"/>
      <c r="R225" s="383"/>
      <c r="S225" s="383"/>
      <c r="T225" s="383"/>
      <c r="U225" s="383"/>
      <c r="V225" s="383"/>
      <c r="W225" s="383"/>
      <c r="X225" s="383"/>
      <c r="Y225" s="383"/>
    </row>
    <row r="226" spans="3:25">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row>
    <row r="227" spans="3:25">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row>
    <row r="228" spans="3:25">
      <c r="C228" s="383"/>
      <c r="D228" s="383"/>
      <c r="E228" s="383"/>
      <c r="F228" s="383"/>
      <c r="G228" s="383"/>
      <c r="H228" s="383"/>
      <c r="I228" s="383"/>
      <c r="J228" s="383"/>
      <c r="K228" s="383"/>
      <c r="L228" s="383"/>
      <c r="M228" s="383"/>
      <c r="N228" s="383"/>
      <c r="O228" s="383"/>
      <c r="P228" s="383"/>
      <c r="Q228" s="383"/>
      <c r="R228" s="383"/>
      <c r="S228" s="383"/>
      <c r="T228" s="383"/>
      <c r="U228" s="383"/>
      <c r="V228" s="383"/>
      <c r="W228" s="383"/>
      <c r="X228" s="383"/>
      <c r="Y228" s="383"/>
    </row>
    <row r="229" spans="3:25">
      <c r="C229" s="383"/>
      <c r="D229" s="383"/>
      <c r="E229" s="383"/>
      <c r="F229" s="383"/>
      <c r="G229" s="383"/>
      <c r="H229" s="383"/>
      <c r="I229" s="383"/>
      <c r="J229" s="383"/>
      <c r="K229" s="383"/>
      <c r="L229" s="383"/>
      <c r="M229" s="383"/>
      <c r="N229" s="383"/>
      <c r="O229" s="383"/>
      <c r="P229" s="383"/>
      <c r="Q229" s="383"/>
      <c r="R229" s="383"/>
      <c r="S229" s="383"/>
      <c r="T229" s="383"/>
      <c r="U229" s="383"/>
      <c r="V229" s="383"/>
      <c r="W229" s="383"/>
      <c r="X229" s="383"/>
      <c r="Y229" s="383"/>
    </row>
    <row r="230" spans="3:25">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row>
    <row r="231" spans="3:25">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row>
    <row r="232" spans="3:25">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row>
    <row r="233" spans="3:25">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row>
    <row r="234" spans="3:25">
      <c r="C234" s="383"/>
      <c r="D234" s="383"/>
      <c r="E234" s="383"/>
      <c r="F234" s="383"/>
      <c r="G234" s="383"/>
      <c r="H234" s="383"/>
      <c r="I234" s="383"/>
      <c r="J234" s="383"/>
      <c r="K234" s="383"/>
      <c r="L234" s="383"/>
      <c r="M234" s="383"/>
      <c r="N234" s="383"/>
      <c r="O234" s="383"/>
      <c r="P234" s="383"/>
      <c r="Q234" s="383"/>
      <c r="R234" s="383"/>
      <c r="S234" s="383"/>
      <c r="T234" s="383"/>
      <c r="U234" s="383"/>
      <c r="V234" s="383"/>
      <c r="W234" s="383"/>
      <c r="X234" s="383"/>
      <c r="Y234" s="383"/>
    </row>
    <row r="235" spans="3:25">
      <c r="C235" s="383"/>
      <c r="D235" s="383"/>
      <c r="E235" s="383"/>
      <c r="F235" s="383"/>
      <c r="G235" s="383"/>
      <c r="H235" s="383"/>
      <c r="I235" s="383"/>
      <c r="J235" s="383"/>
      <c r="K235" s="383"/>
      <c r="L235" s="383"/>
      <c r="M235" s="383"/>
      <c r="N235" s="383"/>
      <c r="O235" s="383"/>
      <c r="P235" s="383"/>
      <c r="Q235" s="383"/>
      <c r="R235" s="383"/>
      <c r="S235" s="383"/>
      <c r="T235" s="383"/>
      <c r="U235" s="383"/>
      <c r="V235" s="383"/>
      <c r="W235" s="383"/>
      <c r="X235" s="383"/>
      <c r="Y235" s="383"/>
    </row>
    <row r="236" spans="3:25">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row>
    <row r="237" spans="3:25">
      <c r="C237" s="383"/>
      <c r="D237" s="383"/>
      <c r="E237" s="383"/>
      <c r="F237" s="383"/>
      <c r="G237" s="383"/>
      <c r="H237" s="383"/>
      <c r="I237" s="383"/>
      <c r="J237" s="383"/>
      <c r="K237" s="383"/>
      <c r="L237" s="383"/>
      <c r="M237" s="383"/>
      <c r="N237" s="383"/>
      <c r="O237" s="383"/>
      <c r="P237" s="383"/>
      <c r="Q237" s="383"/>
      <c r="R237" s="383"/>
      <c r="S237" s="383"/>
      <c r="T237" s="383"/>
      <c r="U237" s="383"/>
      <c r="V237" s="383"/>
      <c r="W237" s="383"/>
      <c r="X237" s="383"/>
      <c r="Y237" s="383"/>
    </row>
    <row r="238" spans="3:25">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row>
    <row r="239" spans="3:25">
      <c r="C239" s="383"/>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row>
    <row r="240" spans="3:25">
      <c r="C240" s="383"/>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row>
    <row r="241" spans="3:25">
      <c r="C241" s="383"/>
      <c r="D241" s="383"/>
      <c r="E241" s="383"/>
      <c r="F241" s="383"/>
      <c r="G241" s="383"/>
      <c r="H241" s="383"/>
      <c r="I241" s="383"/>
      <c r="J241" s="383"/>
      <c r="K241" s="383"/>
      <c r="L241" s="383"/>
      <c r="M241" s="383"/>
      <c r="N241" s="383"/>
      <c r="O241" s="383"/>
      <c r="P241" s="383"/>
      <c r="Q241" s="383"/>
      <c r="R241" s="383"/>
      <c r="S241" s="383"/>
      <c r="T241" s="383"/>
      <c r="U241" s="383"/>
      <c r="V241" s="383"/>
      <c r="W241" s="383"/>
      <c r="X241" s="383"/>
      <c r="Y241" s="383"/>
    </row>
    <row r="242" spans="3:25">
      <c r="C242" s="383"/>
      <c r="D242" s="383"/>
      <c r="E242" s="383"/>
      <c r="F242" s="383"/>
      <c r="G242" s="383"/>
      <c r="H242" s="383"/>
      <c r="I242" s="383"/>
      <c r="J242" s="383"/>
      <c r="K242" s="383"/>
      <c r="L242" s="383"/>
      <c r="M242" s="383"/>
      <c r="N242" s="383"/>
      <c r="O242" s="383"/>
      <c r="P242" s="383"/>
      <c r="Q242" s="383"/>
      <c r="R242" s="383"/>
      <c r="S242" s="383"/>
      <c r="T242" s="383"/>
      <c r="U242" s="383"/>
      <c r="V242" s="383"/>
      <c r="W242" s="383"/>
      <c r="X242" s="383"/>
      <c r="Y242" s="383"/>
    </row>
    <row r="243" spans="3:25">
      <c r="C243" s="383"/>
      <c r="D243" s="383"/>
      <c r="E243" s="383"/>
      <c r="F243" s="383"/>
      <c r="G243" s="383"/>
      <c r="H243" s="383"/>
      <c r="I243" s="383"/>
      <c r="J243" s="383"/>
      <c r="K243" s="383"/>
      <c r="L243" s="383"/>
      <c r="M243" s="383"/>
      <c r="N243" s="383"/>
      <c r="O243" s="383"/>
      <c r="P243" s="383"/>
      <c r="Q243" s="383"/>
      <c r="R243" s="383"/>
      <c r="S243" s="383"/>
      <c r="T243" s="383"/>
      <c r="U243" s="383"/>
      <c r="V243" s="383"/>
      <c r="W243" s="383"/>
      <c r="X243" s="383"/>
      <c r="Y243" s="383"/>
    </row>
    <row r="244" spans="3:25">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row>
    <row r="245" spans="3:25">
      <c r="C245" s="383"/>
      <c r="D245" s="383"/>
      <c r="E245" s="383"/>
      <c r="F245" s="383"/>
      <c r="G245" s="383"/>
      <c r="H245" s="383"/>
      <c r="I245" s="383"/>
      <c r="J245" s="383"/>
      <c r="K245" s="383"/>
      <c r="L245" s="383"/>
      <c r="M245" s="383"/>
      <c r="N245" s="383"/>
      <c r="O245" s="383"/>
      <c r="P245" s="383"/>
      <c r="Q245" s="383"/>
      <c r="R245" s="383"/>
      <c r="S245" s="383"/>
      <c r="T245" s="383"/>
      <c r="U245" s="383"/>
      <c r="V245" s="383"/>
      <c r="W245" s="383"/>
      <c r="X245" s="383"/>
      <c r="Y245" s="383"/>
    </row>
    <row r="246" spans="3:25">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row>
    <row r="247" spans="3:25">
      <c r="C247" s="383"/>
      <c r="D247" s="383"/>
      <c r="E247" s="383"/>
      <c r="F247" s="383"/>
      <c r="G247" s="383"/>
      <c r="H247" s="383"/>
      <c r="I247" s="383"/>
      <c r="J247" s="383"/>
      <c r="K247" s="383"/>
      <c r="L247" s="383"/>
      <c r="M247" s="383"/>
      <c r="N247" s="383"/>
      <c r="O247" s="383"/>
      <c r="P247" s="383"/>
      <c r="Q247" s="383"/>
      <c r="R247" s="383"/>
      <c r="S247" s="383"/>
      <c r="T247" s="383"/>
      <c r="U247" s="383"/>
      <c r="V247" s="383"/>
      <c r="W247" s="383"/>
      <c r="X247" s="383"/>
      <c r="Y247" s="383"/>
    </row>
    <row r="248" spans="3:25">
      <c r="C248" s="383"/>
      <c r="D248" s="383"/>
      <c r="E248" s="383"/>
      <c r="F248" s="383"/>
      <c r="G248" s="383"/>
      <c r="H248" s="383"/>
      <c r="I248" s="383"/>
      <c r="J248" s="383"/>
      <c r="K248" s="383"/>
      <c r="L248" s="383"/>
      <c r="M248" s="383"/>
      <c r="N248" s="383"/>
      <c r="O248" s="383"/>
      <c r="P248" s="383"/>
      <c r="Q248" s="383"/>
      <c r="R248" s="383"/>
      <c r="S248" s="383"/>
      <c r="T248" s="383"/>
      <c r="U248" s="383"/>
      <c r="V248" s="383"/>
      <c r="W248" s="383"/>
      <c r="X248" s="383"/>
      <c r="Y248" s="383"/>
    </row>
    <row r="249" spans="3:25">
      <c r="C249" s="383"/>
      <c r="D249" s="383"/>
      <c r="E249" s="383"/>
      <c r="F249" s="383"/>
      <c r="G249" s="383"/>
      <c r="H249" s="383"/>
      <c r="I249" s="383"/>
      <c r="J249" s="383"/>
      <c r="K249" s="383"/>
      <c r="L249" s="383"/>
      <c r="M249" s="383"/>
      <c r="N249" s="383"/>
      <c r="O249" s="383"/>
      <c r="P249" s="383"/>
      <c r="Q249" s="383"/>
      <c r="R249" s="383"/>
      <c r="S249" s="383"/>
      <c r="T249" s="383"/>
      <c r="U249" s="383"/>
      <c r="V249" s="383"/>
      <c r="W249" s="383"/>
      <c r="X249" s="383"/>
      <c r="Y249" s="383"/>
    </row>
    <row r="250" spans="3:25">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row>
    <row r="251" spans="3:25">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row>
    <row r="252" spans="3:25">
      <c r="C252" s="383"/>
      <c r="D252" s="383"/>
      <c r="E252" s="383"/>
      <c r="F252" s="383"/>
      <c r="G252" s="383"/>
      <c r="H252" s="383"/>
      <c r="I252" s="383"/>
      <c r="J252" s="383"/>
      <c r="K252" s="383"/>
      <c r="L252" s="383"/>
      <c r="M252" s="383"/>
      <c r="N252" s="383"/>
      <c r="O252" s="383"/>
      <c r="P252" s="383"/>
      <c r="Q252" s="383"/>
      <c r="R252" s="383"/>
      <c r="S252" s="383"/>
      <c r="T252" s="383"/>
      <c r="U252" s="383"/>
      <c r="V252" s="383"/>
      <c r="W252" s="383"/>
      <c r="X252" s="383"/>
      <c r="Y252" s="383"/>
    </row>
    <row r="253" spans="3:25">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row>
    <row r="254" spans="3:25">
      <c r="C254" s="383"/>
      <c r="D254" s="383"/>
      <c r="E254" s="383"/>
      <c r="F254" s="383"/>
      <c r="G254" s="383"/>
      <c r="H254" s="383"/>
      <c r="I254" s="383"/>
      <c r="J254" s="383"/>
      <c r="K254" s="383"/>
      <c r="L254" s="383"/>
      <c r="M254" s="383"/>
      <c r="N254" s="383"/>
      <c r="O254" s="383"/>
      <c r="P254" s="383"/>
      <c r="Q254" s="383"/>
      <c r="R254" s="383"/>
      <c r="S254" s="383"/>
      <c r="T254" s="383"/>
      <c r="U254" s="383"/>
      <c r="V254" s="383"/>
      <c r="W254" s="383"/>
      <c r="X254" s="383"/>
      <c r="Y254" s="383"/>
    </row>
    <row r="255" spans="3:25">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row>
    <row r="256" spans="3:25">
      <c r="C256" s="383"/>
      <c r="D256" s="383"/>
      <c r="E256" s="383"/>
      <c r="F256" s="383"/>
      <c r="G256" s="383"/>
      <c r="H256" s="383"/>
      <c r="I256" s="383"/>
      <c r="J256" s="383"/>
      <c r="K256" s="383"/>
      <c r="L256" s="383"/>
      <c r="M256" s="383"/>
      <c r="N256" s="383"/>
      <c r="O256" s="383"/>
      <c r="P256" s="383"/>
      <c r="Q256" s="383"/>
      <c r="R256" s="383"/>
      <c r="S256" s="383"/>
      <c r="T256" s="383"/>
      <c r="U256" s="383"/>
      <c r="V256" s="383"/>
      <c r="W256" s="383"/>
      <c r="X256" s="383"/>
      <c r="Y256" s="383"/>
    </row>
    <row r="257" spans="3:25">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row>
    <row r="258" spans="3:25">
      <c r="C258" s="383"/>
      <c r="D258" s="383"/>
      <c r="E258" s="383"/>
      <c r="F258" s="383"/>
      <c r="G258" s="383"/>
      <c r="H258" s="383"/>
      <c r="I258" s="383"/>
      <c r="J258" s="383"/>
      <c r="K258" s="383"/>
      <c r="L258" s="383"/>
      <c r="M258" s="383"/>
      <c r="N258" s="383"/>
      <c r="O258" s="383"/>
      <c r="P258" s="383"/>
      <c r="Q258" s="383"/>
      <c r="R258" s="383"/>
      <c r="S258" s="383"/>
      <c r="T258" s="383"/>
      <c r="U258" s="383"/>
      <c r="V258" s="383"/>
      <c r="W258" s="383"/>
      <c r="X258" s="383"/>
      <c r="Y258" s="383"/>
    </row>
    <row r="259" spans="3:25">
      <c r="C259" s="383"/>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row>
    <row r="260" spans="3:25">
      <c r="C260" s="383"/>
      <c r="D260" s="383"/>
      <c r="E260" s="383"/>
      <c r="F260" s="383"/>
      <c r="G260" s="383"/>
      <c r="H260" s="383"/>
      <c r="I260" s="383"/>
      <c r="J260" s="383"/>
      <c r="K260" s="383"/>
      <c r="L260" s="383"/>
      <c r="M260" s="383"/>
      <c r="N260" s="383"/>
      <c r="O260" s="383"/>
      <c r="P260" s="383"/>
      <c r="Q260" s="383"/>
      <c r="R260" s="383"/>
      <c r="S260" s="383"/>
      <c r="T260" s="383"/>
      <c r="U260" s="383"/>
      <c r="V260" s="383"/>
      <c r="W260" s="383"/>
      <c r="X260" s="383"/>
      <c r="Y260" s="383"/>
    </row>
    <row r="261" spans="3:25">
      <c r="C261" s="383"/>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row>
    <row r="262" spans="3:25">
      <c r="C262" s="383"/>
      <c r="D262" s="383"/>
      <c r="E262" s="383"/>
      <c r="F262" s="383"/>
      <c r="G262" s="383"/>
      <c r="H262" s="383"/>
      <c r="I262" s="383"/>
      <c r="J262" s="383"/>
      <c r="K262" s="383"/>
      <c r="L262" s="383"/>
      <c r="M262" s="383"/>
      <c r="N262" s="383"/>
      <c r="O262" s="383"/>
      <c r="P262" s="383"/>
      <c r="Q262" s="383"/>
      <c r="R262" s="383"/>
      <c r="S262" s="383"/>
      <c r="T262" s="383"/>
      <c r="U262" s="383"/>
      <c r="V262" s="383"/>
      <c r="W262" s="383"/>
      <c r="X262" s="383"/>
      <c r="Y262" s="383"/>
    </row>
    <row r="263" spans="3:25">
      <c r="C263" s="383"/>
      <c r="D263" s="383"/>
      <c r="E263" s="383"/>
      <c r="F263" s="383"/>
      <c r="G263" s="383"/>
      <c r="H263" s="383"/>
      <c r="I263" s="383"/>
      <c r="J263" s="383"/>
      <c r="K263" s="383"/>
      <c r="L263" s="383"/>
      <c r="M263" s="383"/>
      <c r="N263" s="383"/>
      <c r="O263" s="383"/>
      <c r="P263" s="383"/>
      <c r="Q263" s="383"/>
      <c r="R263" s="383"/>
      <c r="S263" s="383"/>
      <c r="T263" s="383"/>
      <c r="U263" s="383"/>
      <c r="V263" s="383"/>
      <c r="W263" s="383"/>
      <c r="X263" s="383"/>
      <c r="Y263" s="383"/>
    </row>
    <row r="264" spans="3:25">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row>
    <row r="265" spans="3:25">
      <c r="C265" s="383"/>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row>
    <row r="266" spans="3:25">
      <c r="C266" s="383"/>
      <c r="D266" s="383"/>
      <c r="E266" s="383"/>
      <c r="F266" s="383"/>
      <c r="G266" s="383"/>
      <c r="H266" s="383"/>
      <c r="I266" s="383"/>
      <c r="J266" s="383"/>
      <c r="K266" s="383"/>
      <c r="L266" s="383"/>
      <c r="M266" s="383"/>
      <c r="N266" s="383"/>
      <c r="O266" s="383"/>
      <c r="P266" s="383"/>
      <c r="Q266" s="383"/>
      <c r="R266" s="383"/>
      <c r="S266" s="383"/>
      <c r="T266" s="383"/>
      <c r="U266" s="383"/>
      <c r="V266" s="383"/>
      <c r="W266" s="383"/>
      <c r="X266" s="383"/>
      <c r="Y266" s="383"/>
    </row>
    <row r="267" spans="3:25">
      <c r="C267" s="383"/>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row>
    <row r="268" spans="3:25">
      <c r="C268" s="383"/>
      <c r="D268" s="383"/>
      <c r="E268" s="383"/>
      <c r="F268" s="383"/>
      <c r="G268" s="383"/>
      <c r="H268" s="383"/>
      <c r="I268" s="383"/>
      <c r="J268" s="383"/>
      <c r="K268" s="383"/>
      <c r="L268" s="383"/>
      <c r="M268" s="383"/>
      <c r="N268" s="383"/>
      <c r="O268" s="383"/>
      <c r="P268" s="383"/>
      <c r="Q268" s="383"/>
      <c r="R268" s="383"/>
      <c r="S268" s="383"/>
      <c r="T268" s="383"/>
      <c r="U268" s="383"/>
      <c r="V268" s="383"/>
      <c r="W268" s="383"/>
      <c r="X268" s="383"/>
      <c r="Y268" s="383"/>
    </row>
    <row r="269" spans="3:25">
      <c r="C269" s="383"/>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row>
    <row r="270" spans="3:25">
      <c r="C270" s="383"/>
      <c r="D270" s="383"/>
      <c r="E270" s="383"/>
      <c r="F270" s="383"/>
      <c r="G270" s="383"/>
      <c r="H270" s="383"/>
      <c r="I270" s="383"/>
      <c r="J270" s="383"/>
      <c r="K270" s="383"/>
      <c r="L270" s="383"/>
      <c r="M270" s="383"/>
      <c r="N270" s="383"/>
      <c r="O270" s="383"/>
      <c r="P270" s="383"/>
      <c r="Q270" s="383"/>
      <c r="R270" s="383"/>
      <c r="S270" s="383"/>
      <c r="T270" s="383"/>
      <c r="U270" s="383"/>
      <c r="V270" s="383"/>
      <c r="W270" s="383"/>
      <c r="X270" s="383"/>
      <c r="Y270" s="383"/>
    </row>
    <row r="271" spans="3:25">
      <c r="C271" s="383"/>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row>
    <row r="272" spans="3:25">
      <c r="C272" s="383"/>
      <c r="D272" s="383"/>
      <c r="E272" s="383"/>
      <c r="F272" s="383"/>
      <c r="G272" s="383"/>
      <c r="H272" s="383"/>
      <c r="I272" s="383"/>
      <c r="J272" s="383"/>
      <c r="K272" s="383"/>
      <c r="L272" s="383"/>
      <c r="M272" s="383"/>
      <c r="N272" s="383"/>
      <c r="O272" s="383"/>
      <c r="P272" s="383"/>
      <c r="Q272" s="383"/>
      <c r="R272" s="383"/>
      <c r="S272" s="383"/>
      <c r="T272" s="383"/>
      <c r="U272" s="383"/>
      <c r="V272" s="383"/>
      <c r="W272" s="383"/>
      <c r="X272" s="383"/>
      <c r="Y272" s="383"/>
    </row>
    <row r="273" spans="3:25">
      <c r="C273" s="383"/>
      <c r="D273" s="383"/>
      <c r="E273" s="383"/>
      <c r="F273" s="383"/>
      <c r="G273" s="383"/>
      <c r="H273" s="383"/>
      <c r="I273" s="383"/>
      <c r="J273" s="383"/>
      <c r="K273" s="383"/>
      <c r="L273" s="383"/>
      <c r="M273" s="383"/>
      <c r="N273" s="383"/>
      <c r="O273" s="383"/>
      <c r="P273" s="383"/>
      <c r="Q273" s="383"/>
      <c r="R273" s="383"/>
      <c r="S273" s="383"/>
      <c r="T273" s="383"/>
      <c r="U273" s="383"/>
      <c r="V273" s="383"/>
      <c r="W273" s="383"/>
      <c r="X273" s="383"/>
      <c r="Y273" s="383"/>
    </row>
    <row r="274" spans="3:25">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row>
    <row r="275" spans="3:25">
      <c r="C275" s="383"/>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row>
    <row r="276" spans="3:25">
      <c r="C276" s="383"/>
      <c r="D276" s="383"/>
      <c r="E276" s="383"/>
      <c r="F276" s="383"/>
      <c r="G276" s="383"/>
      <c r="H276" s="383"/>
      <c r="I276" s="383"/>
      <c r="J276" s="383"/>
      <c r="K276" s="383"/>
      <c r="L276" s="383"/>
      <c r="M276" s="383"/>
      <c r="N276" s="383"/>
      <c r="O276" s="383"/>
      <c r="P276" s="383"/>
      <c r="Q276" s="383"/>
      <c r="R276" s="383"/>
      <c r="S276" s="383"/>
      <c r="T276" s="383"/>
      <c r="U276" s="383"/>
      <c r="V276" s="383"/>
      <c r="W276" s="383"/>
      <c r="X276" s="383"/>
      <c r="Y276" s="383"/>
    </row>
    <row r="277" spans="3:25">
      <c r="C277" s="383"/>
      <c r="D277" s="383"/>
      <c r="E277" s="383"/>
      <c r="F277" s="383"/>
      <c r="G277" s="383"/>
      <c r="H277" s="383"/>
      <c r="I277" s="383"/>
      <c r="J277" s="383"/>
      <c r="K277" s="383"/>
      <c r="L277" s="383"/>
      <c r="M277" s="383"/>
      <c r="N277" s="383"/>
      <c r="O277" s="383"/>
      <c r="P277" s="383"/>
      <c r="Q277" s="383"/>
      <c r="R277" s="383"/>
      <c r="S277" s="383"/>
      <c r="T277" s="383"/>
      <c r="U277" s="383"/>
      <c r="V277" s="383"/>
      <c r="W277" s="383"/>
      <c r="X277" s="383"/>
      <c r="Y277" s="383"/>
    </row>
    <row r="278" spans="3:25">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row>
    <row r="279" spans="3:25">
      <c r="C279" s="383"/>
      <c r="D279" s="383"/>
      <c r="E279" s="383"/>
      <c r="F279" s="383"/>
      <c r="G279" s="383"/>
      <c r="H279" s="383"/>
      <c r="I279" s="383"/>
      <c r="J279" s="383"/>
      <c r="K279" s="383"/>
      <c r="L279" s="383"/>
      <c r="M279" s="383"/>
      <c r="N279" s="383"/>
      <c r="O279" s="383"/>
      <c r="P279" s="383"/>
      <c r="Q279" s="383"/>
      <c r="R279" s="383"/>
      <c r="S279" s="383"/>
      <c r="T279" s="383"/>
      <c r="U279" s="383"/>
      <c r="V279" s="383"/>
      <c r="W279" s="383"/>
      <c r="X279" s="383"/>
      <c r="Y279" s="383"/>
    </row>
    <row r="280" spans="3:25">
      <c r="C280" s="383"/>
      <c r="D280" s="383"/>
      <c r="E280" s="383"/>
      <c r="F280" s="383"/>
      <c r="G280" s="383"/>
      <c r="H280" s="383"/>
      <c r="I280" s="383"/>
      <c r="J280" s="383"/>
      <c r="K280" s="383"/>
      <c r="L280" s="383"/>
      <c r="M280" s="383"/>
      <c r="N280" s="383"/>
      <c r="O280" s="383"/>
      <c r="P280" s="383"/>
      <c r="Q280" s="383"/>
      <c r="R280" s="383"/>
      <c r="S280" s="383"/>
      <c r="T280" s="383"/>
      <c r="U280" s="383"/>
      <c r="V280" s="383"/>
      <c r="W280" s="383"/>
      <c r="X280" s="383"/>
      <c r="Y280" s="383"/>
    </row>
    <row r="281" spans="3:25">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row>
    <row r="282" spans="3:25">
      <c r="C282" s="383"/>
      <c r="D282" s="383"/>
      <c r="E282" s="383"/>
      <c r="F282" s="383"/>
      <c r="G282" s="383"/>
      <c r="H282" s="383"/>
      <c r="I282" s="383"/>
      <c r="J282" s="383"/>
      <c r="K282" s="383"/>
      <c r="L282" s="383"/>
      <c r="M282" s="383"/>
      <c r="N282" s="383"/>
      <c r="O282" s="383"/>
      <c r="P282" s="383"/>
      <c r="Q282" s="383"/>
      <c r="R282" s="383"/>
      <c r="S282" s="383"/>
      <c r="T282" s="383"/>
      <c r="U282" s="383"/>
      <c r="V282" s="383"/>
      <c r="W282" s="383"/>
      <c r="X282" s="383"/>
      <c r="Y282" s="383"/>
    </row>
    <row r="283" spans="3:25">
      <c r="C283" s="383"/>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row>
    <row r="284" spans="3:25">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row>
    <row r="285" spans="3:25">
      <c r="C285" s="383"/>
      <c r="D285" s="383"/>
      <c r="E285" s="383"/>
      <c r="F285" s="383"/>
      <c r="G285" s="383"/>
      <c r="H285" s="383"/>
      <c r="I285" s="383"/>
      <c r="J285" s="383"/>
      <c r="K285" s="383"/>
      <c r="L285" s="383"/>
      <c r="M285" s="383"/>
      <c r="N285" s="383"/>
      <c r="O285" s="383"/>
      <c r="P285" s="383"/>
      <c r="Q285" s="383"/>
      <c r="R285" s="383"/>
      <c r="S285" s="383"/>
      <c r="T285" s="383"/>
      <c r="U285" s="383"/>
      <c r="V285" s="383"/>
      <c r="W285" s="383"/>
      <c r="X285" s="383"/>
      <c r="Y285" s="383"/>
    </row>
    <row r="286" spans="3:25">
      <c r="C286" s="383"/>
      <c r="D286" s="383"/>
      <c r="E286" s="383"/>
      <c r="F286" s="383"/>
      <c r="G286" s="383"/>
      <c r="H286" s="383"/>
      <c r="I286" s="383"/>
      <c r="J286" s="383"/>
      <c r="K286" s="383"/>
      <c r="L286" s="383"/>
      <c r="M286" s="383"/>
      <c r="N286" s="383"/>
      <c r="O286" s="383"/>
      <c r="P286" s="383"/>
      <c r="Q286" s="383"/>
      <c r="R286" s="383"/>
      <c r="S286" s="383"/>
      <c r="T286" s="383"/>
      <c r="U286" s="383"/>
      <c r="V286" s="383"/>
      <c r="W286" s="383"/>
      <c r="X286" s="383"/>
      <c r="Y286" s="383"/>
    </row>
    <row r="287" spans="3:25">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row>
    <row r="288" spans="3:25">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row>
    <row r="289" spans="3:25">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row>
    <row r="290" spans="3:25">
      <c r="C290" s="383"/>
      <c r="D290" s="383"/>
      <c r="E290" s="383"/>
      <c r="F290" s="383"/>
      <c r="G290" s="383"/>
      <c r="H290" s="383"/>
      <c r="I290" s="383"/>
      <c r="J290" s="383"/>
      <c r="K290" s="383"/>
      <c r="L290" s="383"/>
      <c r="M290" s="383"/>
      <c r="N290" s="383"/>
      <c r="O290" s="383"/>
      <c r="P290" s="383"/>
      <c r="Q290" s="383"/>
      <c r="R290" s="383"/>
      <c r="S290" s="383"/>
      <c r="T290" s="383"/>
      <c r="U290" s="383"/>
      <c r="V290" s="383"/>
      <c r="W290" s="383"/>
      <c r="X290" s="383"/>
      <c r="Y290" s="383"/>
    </row>
    <row r="291" spans="3:25">
      <c r="C291" s="383"/>
      <c r="D291" s="383"/>
      <c r="E291" s="383"/>
      <c r="F291" s="383"/>
      <c r="G291" s="383"/>
      <c r="H291" s="383"/>
      <c r="I291" s="383"/>
      <c r="J291" s="383"/>
      <c r="K291" s="383"/>
      <c r="L291" s="383"/>
      <c r="M291" s="383"/>
      <c r="N291" s="383"/>
      <c r="O291" s="383"/>
      <c r="P291" s="383"/>
      <c r="Q291" s="383"/>
      <c r="R291" s="383"/>
      <c r="S291" s="383"/>
      <c r="T291" s="383"/>
      <c r="U291" s="383"/>
      <c r="V291" s="383"/>
      <c r="W291" s="383"/>
      <c r="X291" s="383"/>
      <c r="Y291" s="383"/>
    </row>
    <row r="292" spans="3:25">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row>
    <row r="293" spans="3:25">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row>
    <row r="294" spans="3:25">
      <c r="C294" s="383"/>
      <c r="D294" s="383"/>
      <c r="E294" s="383"/>
      <c r="F294" s="383"/>
      <c r="G294" s="383"/>
      <c r="H294" s="383"/>
      <c r="I294" s="383"/>
      <c r="J294" s="383"/>
      <c r="K294" s="383"/>
      <c r="L294" s="383"/>
      <c r="M294" s="383"/>
      <c r="N294" s="383"/>
      <c r="O294" s="383"/>
      <c r="P294" s="383"/>
      <c r="Q294" s="383"/>
      <c r="R294" s="383"/>
      <c r="S294" s="383"/>
      <c r="T294" s="383"/>
      <c r="U294" s="383"/>
      <c r="V294" s="383"/>
      <c r="W294" s="383"/>
      <c r="X294" s="383"/>
      <c r="Y294" s="383"/>
    </row>
    <row r="295" spans="3:25">
      <c r="C295" s="383"/>
      <c r="D295" s="383"/>
      <c r="E295" s="383"/>
      <c r="F295" s="383"/>
      <c r="G295" s="383"/>
      <c r="H295" s="383"/>
      <c r="I295" s="383"/>
      <c r="J295" s="383"/>
      <c r="K295" s="383"/>
      <c r="L295" s="383"/>
      <c r="M295" s="383"/>
      <c r="N295" s="383"/>
      <c r="O295" s="383"/>
      <c r="P295" s="383"/>
      <c r="Q295" s="383"/>
      <c r="R295" s="383"/>
      <c r="S295" s="383"/>
      <c r="T295" s="383"/>
      <c r="U295" s="383"/>
      <c r="V295" s="383"/>
      <c r="W295" s="383"/>
      <c r="X295" s="383"/>
      <c r="Y295" s="383"/>
    </row>
    <row r="296" spans="3:25">
      <c r="C296" s="383"/>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row>
    <row r="297" spans="3:25">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row>
    <row r="298" spans="3:25">
      <c r="C298" s="383"/>
      <c r="D298" s="383"/>
      <c r="E298" s="383"/>
      <c r="F298" s="383"/>
      <c r="G298" s="383"/>
      <c r="H298" s="383"/>
      <c r="I298" s="383"/>
      <c r="J298" s="383"/>
      <c r="K298" s="383"/>
      <c r="L298" s="383"/>
      <c r="M298" s="383"/>
      <c r="N298" s="383"/>
      <c r="O298" s="383"/>
      <c r="P298" s="383"/>
      <c r="Q298" s="383"/>
      <c r="R298" s="383"/>
      <c r="S298" s="383"/>
      <c r="T298" s="383"/>
      <c r="U298" s="383"/>
      <c r="V298" s="383"/>
      <c r="W298" s="383"/>
      <c r="X298" s="383"/>
      <c r="Y298" s="383"/>
    </row>
    <row r="299" spans="3:25">
      <c r="C299" s="383"/>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row>
    <row r="300" spans="3:25">
      <c r="C300" s="383"/>
      <c r="D300" s="383"/>
      <c r="E300" s="383"/>
      <c r="F300" s="383"/>
      <c r="G300" s="383"/>
      <c r="H300" s="383"/>
      <c r="I300" s="383"/>
      <c r="J300" s="383"/>
      <c r="K300" s="383"/>
      <c r="L300" s="383"/>
      <c r="M300" s="383"/>
      <c r="N300" s="383"/>
      <c r="O300" s="383"/>
      <c r="P300" s="383"/>
      <c r="Q300" s="383"/>
      <c r="R300" s="383"/>
    </row>
    <row r="301" spans="3:25">
      <c r="C301" s="383"/>
      <c r="D301" s="383"/>
      <c r="E301" s="383"/>
      <c r="F301" s="383"/>
      <c r="G301" s="383"/>
      <c r="H301" s="383"/>
      <c r="I301" s="383"/>
      <c r="J301" s="383"/>
      <c r="K301" s="383"/>
      <c r="L301" s="383"/>
      <c r="M301" s="383"/>
      <c r="N301" s="383"/>
      <c r="O301" s="383"/>
      <c r="P301" s="383"/>
      <c r="Q301" s="383"/>
      <c r="R301" s="383"/>
    </row>
    <row r="302" spans="3:25">
      <c r="C302" s="383"/>
      <c r="D302" s="383"/>
      <c r="E302" s="383"/>
      <c r="F302" s="383"/>
      <c r="G302" s="383"/>
      <c r="H302" s="383"/>
      <c r="I302" s="383"/>
      <c r="J302" s="383"/>
      <c r="K302" s="383"/>
      <c r="L302" s="383"/>
      <c r="M302" s="383"/>
      <c r="N302" s="383"/>
      <c r="O302" s="383"/>
      <c r="P302" s="383"/>
      <c r="Q302" s="383"/>
      <c r="R302" s="383"/>
    </row>
    <row r="303" spans="3:25">
      <c r="C303" s="383"/>
      <c r="D303" s="383"/>
      <c r="E303" s="383"/>
      <c r="F303" s="383"/>
      <c r="G303" s="383"/>
      <c r="H303" s="383"/>
      <c r="I303" s="383"/>
      <c r="J303" s="383"/>
      <c r="K303" s="383"/>
      <c r="L303" s="383"/>
      <c r="M303" s="383"/>
      <c r="N303" s="383"/>
      <c r="O303" s="383"/>
      <c r="P303" s="383"/>
      <c r="Q303" s="383"/>
      <c r="R303" s="383"/>
    </row>
    <row r="304" spans="3:25">
      <c r="C304" s="383"/>
      <c r="D304" s="383"/>
      <c r="E304" s="383"/>
      <c r="F304" s="383"/>
      <c r="G304" s="383"/>
      <c r="H304" s="383"/>
      <c r="I304" s="383"/>
      <c r="J304" s="383"/>
      <c r="K304" s="383"/>
      <c r="L304" s="383"/>
      <c r="M304" s="383"/>
      <c r="N304" s="383"/>
      <c r="O304" s="383"/>
      <c r="P304" s="383"/>
      <c r="Q304" s="383"/>
      <c r="R304" s="383"/>
    </row>
    <row r="305" spans="3:18">
      <c r="C305" s="383"/>
      <c r="D305" s="383"/>
      <c r="E305" s="383"/>
      <c r="F305" s="383"/>
      <c r="G305" s="383"/>
      <c r="H305" s="383"/>
      <c r="I305" s="383"/>
      <c r="J305" s="383"/>
      <c r="K305" s="383"/>
      <c r="L305" s="383"/>
      <c r="M305" s="383"/>
      <c r="N305" s="383"/>
      <c r="O305" s="383"/>
      <c r="P305" s="383"/>
      <c r="Q305" s="383"/>
      <c r="R305" s="383"/>
    </row>
    <row r="306" spans="3:18">
      <c r="C306" s="383"/>
      <c r="D306" s="383"/>
      <c r="E306" s="383"/>
      <c r="F306" s="383"/>
      <c r="G306" s="383"/>
      <c r="H306" s="383"/>
      <c r="I306" s="383"/>
      <c r="J306" s="383"/>
      <c r="K306" s="383"/>
      <c r="L306" s="383"/>
      <c r="M306" s="383"/>
      <c r="N306" s="383"/>
      <c r="O306" s="383"/>
      <c r="P306" s="383"/>
      <c r="Q306" s="383"/>
      <c r="R306" s="383"/>
    </row>
    <row r="307" spans="3:18">
      <c r="C307" s="383"/>
      <c r="D307" s="383"/>
      <c r="E307" s="383"/>
      <c r="F307" s="383"/>
      <c r="G307" s="383"/>
      <c r="H307" s="383"/>
      <c r="I307" s="383"/>
      <c r="J307" s="383"/>
      <c r="K307" s="383"/>
      <c r="L307" s="383"/>
      <c r="M307" s="383"/>
      <c r="N307" s="383"/>
      <c r="O307" s="383"/>
      <c r="P307" s="383"/>
      <c r="Q307" s="383"/>
      <c r="R307" s="383"/>
    </row>
  </sheetData>
  <mergeCells count="9">
    <mergeCell ref="C99:R99"/>
    <mergeCell ref="C101:R101"/>
    <mergeCell ref="C102:R102"/>
    <mergeCell ref="C103:R103"/>
    <mergeCell ref="C108:R108"/>
    <mergeCell ref="C104:R104"/>
    <mergeCell ref="C105:R105"/>
    <mergeCell ref="C106:R106"/>
    <mergeCell ref="C107:R107"/>
  </mergeCells>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sheetPr>
  <dimension ref="A1:K64"/>
  <sheetViews>
    <sheetView showGridLines="0" workbookViewId="0">
      <selection activeCell="N87" sqref="N87"/>
    </sheetView>
  </sheetViews>
  <sheetFormatPr defaultRowHeight="12.75"/>
  <cols>
    <col min="1" max="1" width="18.625" style="447" customWidth="1"/>
    <col min="2" max="2" width="28.75" style="447" customWidth="1"/>
    <col min="3" max="3" width="14.375" style="447" customWidth="1"/>
    <col min="4" max="7" width="9.625" style="447" customWidth="1"/>
    <col min="8" max="9" width="9.625" style="447" hidden="1" customWidth="1"/>
    <col min="10" max="10" width="10.125" style="447" hidden="1" customWidth="1"/>
    <col min="11" max="11" width="8" style="447" hidden="1" customWidth="1"/>
    <col min="12" max="16384" width="9" style="447"/>
  </cols>
  <sheetData>
    <row r="1" spans="1:11" s="585" customFormat="1" ht="18">
      <c r="A1" s="584" t="s">
        <v>592</v>
      </c>
    </row>
    <row r="2" spans="1:11">
      <c r="A2" s="586"/>
    </row>
    <row r="3" spans="1:11">
      <c r="A3" s="587" t="s">
        <v>566</v>
      </c>
      <c r="B3" s="588">
        <v>2013</v>
      </c>
      <c r="C3" s="589"/>
    </row>
    <row r="4" spans="1:11">
      <c r="A4" s="586"/>
      <c r="B4" s="589"/>
      <c r="C4" s="589"/>
    </row>
    <row r="5" spans="1:11" ht="15">
      <c r="A5" s="587" t="s">
        <v>567</v>
      </c>
      <c r="B5" s="636" t="s">
        <v>315</v>
      </c>
      <c r="C5" s="589"/>
      <c r="D5" s="637"/>
      <c r="E5" s="637"/>
      <c r="F5" s="637"/>
      <c r="G5" s="637"/>
    </row>
    <row r="6" spans="1:11" ht="15">
      <c r="A6" s="586"/>
      <c r="B6" s="589"/>
      <c r="C6" s="589"/>
      <c r="D6" s="637"/>
      <c r="E6" s="637"/>
      <c r="F6" s="637"/>
      <c r="G6" s="637"/>
      <c r="K6" s="593" t="s">
        <v>568</v>
      </c>
    </row>
    <row r="7" spans="1:11">
      <c r="A7" s="594"/>
      <c r="B7" s="595" t="s">
        <v>569</v>
      </c>
      <c r="C7" s="596" t="s">
        <v>593</v>
      </c>
      <c r="D7" s="638"/>
      <c r="E7" s="638"/>
      <c r="F7" s="638"/>
      <c r="G7" s="638"/>
      <c r="H7" s="598"/>
      <c r="I7" s="598"/>
      <c r="J7" s="598"/>
      <c r="K7" s="597" t="s">
        <v>570</v>
      </c>
    </row>
    <row r="8" spans="1:11">
      <c r="A8" s="594"/>
      <c r="B8" s="595" t="s">
        <v>13</v>
      </c>
      <c r="C8" s="598" t="s">
        <v>30</v>
      </c>
      <c r="D8" s="638"/>
      <c r="E8" s="638"/>
      <c r="F8" s="638"/>
      <c r="G8" s="638"/>
      <c r="H8" s="598"/>
      <c r="I8" s="598"/>
      <c r="J8" s="598"/>
    </row>
    <row r="9" spans="1:11" ht="15" customHeight="1">
      <c r="A9" s="594"/>
      <c r="B9" s="595" t="s">
        <v>571</v>
      </c>
      <c r="C9" s="598" t="s">
        <v>568</v>
      </c>
      <c r="D9" s="638" t="s">
        <v>568</v>
      </c>
      <c r="E9" s="638" t="s">
        <v>568</v>
      </c>
      <c r="F9" s="638" t="s">
        <v>568</v>
      </c>
      <c r="G9" s="638" t="s">
        <v>568</v>
      </c>
      <c r="H9" s="639" t="s">
        <v>568</v>
      </c>
      <c r="I9" s="639" t="s">
        <v>570</v>
      </c>
      <c r="J9" s="639" t="s">
        <v>570</v>
      </c>
    </row>
    <row r="10" spans="1:11">
      <c r="A10" s="599" t="s">
        <v>572</v>
      </c>
      <c r="B10" s="600" t="str">
        <f xml:space="preserve"> "December " &amp; B3-1</f>
        <v>December 2012</v>
      </c>
      <c r="C10" s="601">
        <v>139459313.36000001</v>
      </c>
      <c r="D10" s="640"/>
      <c r="E10" s="640"/>
      <c r="F10" s="640"/>
      <c r="G10" s="640"/>
      <c r="H10" s="641"/>
      <c r="I10" s="642"/>
      <c r="J10" s="641"/>
    </row>
    <row r="11" spans="1:11">
      <c r="A11" s="603" t="s">
        <v>573</v>
      </c>
      <c r="B11" s="604" t="str">
        <f xml:space="preserve"> "January " &amp; B3</f>
        <v>January 2013</v>
      </c>
      <c r="C11" s="643">
        <v>151365084.06</v>
      </c>
      <c r="D11" s="644"/>
      <c r="E11" s="644"/>
      <c r="F11" s="644"/>
      <c r="G11" s="644"/>
      <c r="H11" s="645"/>
      <c r="I11" s="646"/>
      <c r="J11" s="645"/>
    </row>
    <row r="12" spans="1:11">
      <c r="A12" s="603"/>
      <c r="B12" s="607" t="s">
        <v>574</v>
      </c>
      <c r="C12" s="643">
        <v>163240444.00000003</v>
      </c>
      <c r="D12" s="644"/>
      <c r="E12" s="644"/>
      <c r="F12" s="644"/>
      <c r="G12" s="644"/>
      <c r="H12" s="645"/>
      <c r="I12" s="646"/>
      <c r="J12" s="645"/>
    </row>
    <row r="13" spans="1:11">
      <c r="A13" s="603"/>
      <c r="B13" s="607" t="s">
        <v>575</v>
      </c>
      <c r="C13" s="643">
        <v>176282731.62</v>
      </c>
      <c r="D13" s="644"/>
      <c r="E13" s="644"/>
      <c r="F13" s="644"/>
      <c r="G13" s="644"/>
      <c r="H13" s="645"/>
      <c r="I13" s="646"/>
      <c r="J13" s="645"/>
    </row>
    <row r="14" spans="1:11">
      <c r="A14" s="603"/>
      <c r="B14" s="607" t="s">
        <v>576</v>
      </c>
      <c r="C14" s="643">
        <v>185984259.64000005</v>
      </c>
      <c r="D14" s="644"/>
      <c r="E14" s="644"/>
      <c r="F14" s="644"/>
      <c r="G14" s="644"/>
      <c r="H14" s="645"/>
      <c r="I14" s="646"/>
      <c r="J14" s="645"/>
    </row>
    <row r="15" spans="1:11">
      <c r="A15" s="603"/>
      <c r="B15" s="607" t="s">
        <v>61</v>
      </c>
      <c r="C15" s="643">
        <v>197289838.46000001</v>
      </c>
      <c r="D15" s="644"/>
      <c r="E15" s="644"/>
      <c r="F15" s="644"/>
      <c r="G15" s="644"/>
      <c r="H15" s="645"/>
      <c r="I15" s="646"/>
      <c r="J15" s="645"/>
    </row>
    <row r="16" spans="1:11">
      <c r="A16" s="603"/>
      <c r="B16" s="607" t="s">
        <v>577</v>
      </c>
      <c r="C16" s="643">
        <v>208253108.79000002</v>
      </c>
      <c r="D16" s="644"/>
      <c r="E16" s="644"/>
      <c r="F16" s="644"/>
      <c r="G16" s="644"/>
      <c r="H16" s="645"/>
      <c r="I16" s="646"/>
      <c r="J16" s="645"/>
    </row>
    <row r="17" spans="1:10">
      <c r="A17" s="603"/>
      <c r="B17" s="607" t="s">
        <v>578</v>
      </c>
      <c r="C17" s="643">
        <v>224498877.94000003</v>
      </c>
      <c r="D17" s="644"/>
      <c r="E17" s="644"/>
      <c r="F17" s="644"/>
      <c r="G17" s="644"/>
      <c r="H17" s="645"/>
      <c r="I17" s="646"/>
      <c r="J17" s="645"/>
    </row>
    <row r="18" spans="1:10">
      <c r="A18" s="603"/>
      <c r="B18" s="607" t="s">
        <v>579</v>
      </c>
      <c r="C18" s="643">
        <v>241607281.79000005</v>
      </c>
      <c r="D18" s="644"/>
      <c r="E18" s="644"/>
      <c r="F18" s="644"/>
      <c r="G18" s="644"/>
      <c r="H18" s="645"/>
      <c r="I18" s="646"/>
      <c r="J18" s="645"/>
    </row>
    <row r="19" spans="1:10">
      <c r="A19" s="603"/>
      <c r="B19" s="607" t="s">
        <v>580</v>
      </c>
      <c r="C19" s="643">
        <v>260201123.82000005</v>
      </c>
      <c r="D19" s="644"/>
      <c r="E19" s="644"/>
      <c r="F19" s="644"/>
      <c r="G19" s="644"/>
      <c r="H19" s="645"/>
      <c r="I19" s="646"/>
      <c r="J19" s="645"/>
    </row>
    <row r="20" spans="1:10">
      <c r="A20" s="603"/>
      <c r="B20" s="607" t="s">
        <v>581</v>
      </c>
      <c r="C20" s="643">
        <v>282456759.69000006</v>
      </c>
      <c r="D20" s="644"/>
      <c r="E20" s="644"/>
      <c r="F20" s="644"/>
      <c r="G20" s="644"/>
      <c r="H20" s="645"/>
      <c r="I20" s="646"/>
      <c r="J20" s="645"/>
    </row>
    <row r="21" spans="1:10">
      <c r="A21" s="603"/>
      <c r="B21" s="607" t="s">
        <v>582</v>
      </c>
      <c r="C21" s="643">
        <v>296403709.74000007</v>
      </c>
      <c r="D21" s="644"/>
      <c r="E21" s="644"/>
      <c r="F21" s="644"/>
      <c r="G21" s="644"/>
      <c r="H21" s="645"/>
      <c r="I21" s="646"/>
      <c r="J21" s="645"/>
    </row>
    <row r="22" spans="1:10">
      <c r="A22" s="608"/>
      <c r="B22" s="609" t="str">
        <f xml:space="preserve"> "December " &amp; B3</f>
        <v>December 2013</v>
      </c>
      <c r="C22" s="647">
        <v>316978719.48000002</v>
      </c>
      <c r="D22" s="644"/>
      <c r="E22" s="644"/>
      <c r="F22" s="644"/>
      <c r="G22" s="644"/>
      <c r="H22" s="645"/>
      <c r="I22" s="646"/>
      <c r="J22" s="645"/>
    </row>
    <row r="23" spans="1:10">
      <c r="A23" s="612"/>
      <c r="B23" s="613" t="s">
        <v>583</v>
      </c>
      <c r="C23" s="614">
        <f>AVERAGE(C10:C22)</f>
        <v>218770865.56846157</v>
      </c>
      <c r="D23" s="648"/>
      <c r="E23" s="648"/>
      <c r="F23" s="648"/>
      <c r="G23" s="648"/>
      <c r="H23" s="649"/>
      <c r="I23" s="650"/>
      <c r="J23" s="649"/>
    </row>
    <row r="24" spans="1:10">
      <c r="A24" s="612"/>
      <c r="B24" s="613"/>
      <c r="C24" s="651"/>
      <c r="D24" s="652"/>
      <c r="E24" s="652"/>
      <c r="F24" s="652"/>
      <c r="G24" s="652"/>
      <c r="H24" s="653"/>
      <c r="I24" s="654"/>
      <c r="J24" s="653"/>
    </row>
    <row r="25" spans="1:10">
      <c r="A25" s="612"/>
      <c r="B25" s="613"/>
      <c r="C25" s="651"/>
      <c r="D25" s="652"/>
      <c r="E25" s="652"/>
      <c r="F25" s="652"/>
      <c r="G25" s="652"/>
      <c r="H25" s="653"/>
      <c r="I25" s="654"/>
      <c r="J25" s="653"/>
    </row>
    <row r="26" spans="1:10">
      <c r="A26" s="599" t="s">
        <v>584</v>
      </c>
      <c r="B26" s="600" t="str">
        <f>B10</f>
        <v>December 2012</v>
      </c>
      <c r="C26" s="601">
        <v>0</v>
      </c>
      <c r="D26" s="640"/>
      <c r="E26" s="640"/>
      <c r="F26" s="640"/>
      <c r="G26" s="640"/>
      <c r="H26" s="641"/>
      <c r="I26" s="642"/>
      <c r="J26" s="641"/>
    </row>
    <row r="27" spans="1:10">
      <c r="A27" s="603" t="s">
        <v>585</v>
      </c>
      <c r="B27" s="604" t="str">
        <f>B11</f>
        <v>January 2013</v>
      </c>
      <c r="C27" s="643">
        <v>-796.16986811004494</v>
      </c>
      <c r="D27" s="644"/>
      <c r="E27" s="644"/>
      <c r="F27" s="644"/>
      <c r="G27" s="644"/>
      <c r="H27" s="645"/>
      <c r="I27" s="646"/>
      <c r="J27" s="645"/>
    </row>
    <row r="28" spans="1:10">
      <c r="A28" s="603" t="s">
        <v>594</v>
      </c>
      <c r="B28" s="617" t="s">
        <v>574</v>
      </c>
      <c r="C28" s="643">
        <v>-1592.3397362200899</v>
      </c>
      <c r="D28" s="644"/>
      <c r="E28" s="644"/>
      <c r="F28" s="644"/>
      <c r="G28" s="644"/>
      <c r="H28" s="645"/>
      <c r="I28" s="646"/>
      <c r="J28" s="645"/>
    </row>
    <row r="29" spans="1:10">
      <c r="A29" s="603"/>
      <c r="B29" s="617" t="s">
        <v>575</v>
      </c>
      <c r="C29" s="643">
        <v>-1257.561551477261</v>
      </c>
      <c r="D29" s="644"/>
      <c r="E29" s="644"/>
      <c r="F29" s="644"/>
      <c r="G29" s="644"/>
      <c r="H29" s="645"/>
      <c r="I29" s="646"/>
      <c r="J29" s="645"/>
    </row>
    <row r="30" spans="1:10">
      <c r="A30" s="603"/>
      <c r="B30" s="617" t="s">
        <v>576</v>
      </c>
      <c r="C30" s="643">
        <v>6264.4217013997886</v>
      </c>
      <c r="D30" s="644"/>
      <c r="E30" s="644"/>
      <c r="F30" s="644"/>
      <c r="G30" s="644"/>
      <c r="H30" s="645"/>
      <c r="I30" s="646"/>
      <c r="J30" s="645"/>
    </row>
    <row r="31" spans="1:10">
      <c r="A31" s="603"/>
      <c r="B31" s="617" t="s">
        <v>61</v>
      </c>
      <c r="C31" s="643">
        <v>19818.323542688602</v>
      </c>
      <c r="D31" s="644"/>
      <c r="E31" s="644"/>
      <c r="F31" s="644"/>
      <c r="G31" s="644"/>
      <c r="H31" s="645"/>
      <c r="I31" s="646"/>
      <c r="J31" s="645"/>
    </row>
    <row r="32" spans="1:10">
      <c r="A32" s="603"/>
      <c r="B32" s="617" t="s">
        <v>577</v>
      </c>
      <c r="C32" s="643">
        <v>33327.324383246618</v>
      </c>
      <c r="D32" s="644"/>
      <c r="E32" s="644"/>
      <c r="F32" s="644"/>
      <c r="G32" s="644"/>
      <c r="H32" s="645"/>
      <c r="I32" s="646"/>
      <c r="J32" s="645"/>
    </row>
    <row r="33" spans="1:10">
      <c r="A33" s="603"/>
      <c r="B33" s="617" t="s">
        <v>578</v>
      </c>
      <c r="C33" s="643">
        <v>46791.403838136313</v>
      </c>
      <c r="D33" s="644"/>
      <c r="E33" s="644"/>
      <c r="F33" s="644"/>
      <c r="G33" s="644"/>
      <c r="H33" s="645"/>
      <c r="I33" s="646"/>
      <c r="J33" s="645"/>
    </row>
    <row r="34" spans="1:10">
      <c r="A34" s="603"/>
      <c r="B34" s="617" t="s">
        <v>579</v>
      </c>
      <c r="C34" s="643">
        <v>60237.187120838986</v>
      </c>
      <c r="D34" s="644"/>
      <c r="E34" s="644"/>
      <c r="F34" s="644"/>
      <c r="G34" s="644"/>
      <c r="H34" s="645"/>
      <c r="I34" s="646"/>
      <c r="J34" s="645"/>
    </row>
    <row r="35" spans="1:10">
      <c r="A35" s="603"/>
      <c r="B35" s="617" t="s">
        <v>580</v>
      </c>
      <c r="C35" s="643">
        <v>73692.29857574639</v>
      </c>
      <c r="D35" s="644"/>
      <c r="E35" s="644"/>
      <c r="F35" s="644"/>
      <c r="G35" s="644"/>
      <c r="H35" s="645"/>
      <c r="I35" s="646"/>
      <c r="J35" s="645"/>
    </row>
    <row r="36" spans="1:10">
      <c r="A36" s="603"/>
      <c r="B36" s="617" t="s">
        <v>581</v>
      </c>
      <c r="C36" s="643">
        <v>87265.618257323891</v>
      </c>
      <c r="D36" s="644"/>
      <c r="E36" s="644"/>
      <c r="F36" s="644"/>
      <c r="G36" s="644"/>
      <c r="H36" s="645"/>
      <c r="I36" s="646"/>
      <c r="J36" s="645"/>
    </row>
    <row r="37" spans="1:10">
      <c r="A37" s="603"/>
      <c r="B37" s="617" t="s">
        <v>582</v>
      </c>
      <c r="C37" s="643">
        <v>101099.92690391002</v>
      </c>
      <c r="D37" s="644"/>
      <c r="E37" s="644"/>
      <c r="F37" s="644"/>
      <c r="G37" s="644"/>
      <c r="H37" s="645"/>
      <c r="I37" s="646"/>
      <c r="J37" s="645"/>
    </row>
    <row r="38" spans="1:10">
      <c r="A38" s="608"/>
      <c r="B38" s="609" t="str">
        <f>+B22</f>
        <v>December 2013</v>
      </c>
      <c r="C38" s="647">
        <v>115658.76799202988</v>
      </c>
      <c r="D38" s="644"/>
      <c r="E38" s="644"/>
      <c r="F38" s="644"/>
      <c r="G38" s="644"/>
      <c r="H38" s="645"/>
      <c r="I38" s="646"/>
      <c r="J38" s="645"/>
    </row>
    <row r="39" spans="1:10">
      <c r="A39" s="612"/>
      <c r="B39" s="613" t="s">
        <v>583</v>
      </c>
      <c r="C39" s="614">
        <f>AVERAGE(C26:C38)</f>
        <v>41577.630858424083</v>
      </c>
      <c r="D39" s="648"/>
      <c r="E39" s="648"/>
      <c r="F39" s="648"/>
      <c r="G39" s="648"/>
      <c r="H39" s="649"/>
      <c r="I39" s="650"/>
      <c r="J39" s="649"/>
    </row>
    <row r="40" spans="1:10" s="592" customFormat="1">
      <c r="A40" s="618"/>
      <c r="B40" s="619"/>
      <c r="C40" s="651"/>
      <c r="D40" s="652"/>
      <c r="E40" s="652"/>
      <c r="F40" s="652"/>
      <c r="G40" s="652"/>
      <c r="H40" s="651"/>
      <c r="I40" s="651"/>
      <c r="J40" s="651"/>
    </row>
    <row r="41" spans="1:10">
      <c r="A41" s="612"/>
      <c r="B41" s="620"/>
      <c r="C41" s="655"/>
      <c r="D41" s="656"/>
      <c r="E41" s="656"/>
      <c r="F41" s="656"/>
      <c r="G41" s="656"/>
      <c r="H41" s="657"/>
      <c r="I41" s="657"/>
      <c r="J41" s="657"/>
    </row>
    <row r="42" spans="1:10">
      <c r="A42" s="612"/>
      <c r="B42" s="622"/>
      <c r="C42" s="658"/>
      <c r="D42" s="659"/>
      <c r="E42" s="659"/>
      <c r="F42" s="659"/>
      <c r="G42" s="659"/>
      <c r="H42" s="620"/>
      <c r="I42" s="620"/>
      <c r="J42" s="620"/>
    </row>
    <row r="43" spans="1:10">
      <c r="A43" s="599" t="s">
        <v>586</v>
      </c>
      <c r="B43" s="624" t="str">
        <f>B10</f>
        <v>December 2012</v>
      </c>
      <c r="C43" s="601">
        <f t="shared" ref="C43:C55" si="0">+C10-C26</f>
        <v>139459313.36000001</v>
      </c>
      <c r="D43" s="640"/>
      <c r="E43" s="640"/>
      <c r="F43" s="640"/>
      <c r="G43" s="640"/>
      <c r="H43" s="660"/>
      <c r="I43" s="661"/>
      <c r="J43" s="660"/>
    </row>
    <row r="44" spans="1:10">
      <c r="A44" s="603" t="s">
        <v>595</v>
      </c>
      <c r="B44" s="625" t="str">
        <f>B11</f>
        <v>January 2013</v>
      </c>
      <c r="C44" s="643">
        <f t="shared" si="0"/>
        <v>151365880.22986811</v>
      </c>
      <c r="D44" s="644"/>
      <c r="E44" s="644"/>
      <c r="F44" s="644"/>
      <c r="G44" s="644"/>
      <c r="H44" s="662"/>
      <c r="I44" s="663"/>
      <c r="J44" s="662"/>
    </row>
    <row r="45" spans="1:10">
      <c r="A45" s="603"/>
      <c r="B45" s="617" t="s">
        <v>574</v>
      </c>
      <c r="C45" s="643">
        <f t="shared" si="0"/>
        <v>163242036.33973625</v>
      </c>
      <c r="D45" s="644"/>
      <c r="E45" s="644"/>
      <c r="F45" s="644"/>
      <c r="G45" s="644"/>
      <c r="H45" s="662"/>
      <c r="I45" s="663"/>
      <c r="J45" s="662"/>
    </row>
    <row r="46" spans="1:10">
      <c r="A46" s="603"/>
      <c r="B46" s="617" t="s">
        <v>575</v>
      </c>
      <c r="C46" s="643">
        <f t="shared" si="0"/>
        <v>176283989.18155149</v>
      </c>
      <c r="D46" s="644"/>
      <c r="E46" s="644"/>
      <c r="F46" s="644"/>
      <c r="G46" s="644"/>
      <c r="H46" s="662"/>
      <c r="I46" s="663"/>
      <c r="J46" s="662"/>
    </row>
    <row r="47" spans="1:10">
      <c r="A47" s="603"/>
      <c r="B47" s="617" t="s">
        <v>576</v>
      </c>
      <c r="C47" s="643">
        <f t="shared" si="0"/>
        <v>185977995.21829864</v>
      </c>
      <c r="D47" s="644"/>
      <c r="E47" s="644"/>
      <c r="F47" s="644"/>
      <c r="G47" s="644"/>
      <c r="H47" s="662"/>
      <c r="I47" s="663"/>
      <c r="J47" s="662"/>
    </row>
    <row r="48" spans="1:10">
      <c r="A48" s="603"/>
      <c r="B48" s="617" t="s">
        <v>61</v>
      </c>
      <c r="C48" s="643">
        <f t="shared" si="0"/>
        <v>197270020.13645732</v>
      </c>
      <c r="D48" s="644"/>
      <c r="E48" s="644"/>
      <c r="F48" s="644"/>
      <c r="G48" s="644"/>
      <c r="H48" s="662"/>
      <c r="I48" s="663"/>
      <c r="J48" s="662"/>
    </row>
    <row r="49" spans="1:10">
      <c r="A49" s="603"/>
      <c r="B49" s="617" t="s">
        <v>577</v>
      </c>
      <c r="C49" s="643">
        <f t="shared" si="0"/>
        <v>208219781.46561676</v>
      </c>
      <c r="D49" s="644"/>
      <c r="E49" s="644"/>
      <c r="F49" s="644"/>
      <c r="G49" s="644"/>
      <c r="H49" s="662"/>
      <c r="I49" s="663"/>
      <c r="J49" s="662"/>
    </row>
    <row r="50" spans="1:10">
      <c r="A50" s="603"/>
      <c r="B50" s="617" t="s">
        <v>578</v>
      </c>
      <c r="C50" s="643">
        <f t="shared" si="0"/>
        <v>224452086.5361619</v>
      </c>
      <c r="D50" s="644"/>
      <c r="E50" s="644"/>
      <c r="F50" s="644"/>
      <c r="G50" s="644"/>
      <c r="H50" s="662"/>
      <c r="I50" s="663"/>
      <c r="J50" s="662"/>
    </row>
    <row r="51" spans="1:10">
      <c r="A51" s="603"/>
      <c r="B51" s="617" t="s">
        <v>579</v>
      </c>
      <c r="C51" s="643">
        <f t="shared" si="0"/>
        <v>241547044.60287923</v>
      </c>
      <c r="D51" s="644"/>
      <c r="E51" s="644"/>
      <c r="F51" s="644"/>
      <c r="G51" s="644"/>
      <c r="H51" s="662"/>
      <c r="I51" s="663"/>
      <c r="J51" s="662"/>
    </row>
    <row r="52" spans="1:10">
      <c r="A52" s="603"/>
      <c r="B52" s="617" t="s">
        <v>580</v>
      </c>
      <c r="C52" s="643">
        <f t="shared" si="0"/>
        <v>260127431.52142429</v>
      </c>
      <c r="D52" s="644"/>
      <c r="E52" s="644"/>
      <c r="F52" s="644"/>
      <c r="G52" s="644"/>
      <c r="H52" s="662"/>
      <c r="I52" s="663"/>
      <c r="J52" s="662"/>
    </row>
    <row r="53" spans="1:10">
      <c r="A53" s="603"/>
      <c r="B53" s="617" t="s">
        <v>581</v>
      </c>
      <c r="C53" s="643">
        <f t="shared" si="0"/>
        <v>282369494.07174271</v>
      </c>
      <c r="D53" s="644"/>
      <c r="E53" s="644"/>
      <c r="F53" s="644"/>
      <c r="G53" s="644"/>
      <c r="H53" s="662"/>
      <c r="I53" s="663"/>
      <c r="J53" s="662"/>
    </row>
    <row r="54" spans="1:10">
      <c r="A54" s="603"/>
      <c r="B54" s="617" t="s">
        <v>582</v>
      </c>
      <c r="C54" s="643">
        <f t="shared" si="0"/>
        <v>296302609.81309617</v>
      </c>
      <c r="D54" s="644"/>
      <c r="E54" s="644"/>
      <c r="F54" s="644"/>
      <c r="G54" s="644"/>
      <c r="H54" s="662"/>
      <c r="I54" s="663"/>
      <c r="J54" s="662"/>
    </row>
    <row r="55" spans="1:10">
      <c r="A55" s="608"/>
      <c r="B55" s="626" t="str">
        <f>+B38</f>
        <v>December 2013</v>
      </c>
      <c r="C55" s="647">
        <f t="shared" si="0"/>
        <v>316863060.712008</v>
      </c>
      <c r="D55" s="644"/>
      <c r="E55" s="644"/>
      <c r="F55" s="644"/>
      <c r="G55" s="644"/>
      <c r="H55" s="662"/>
      <c r="I55" s="663"/>
      <c r="J55" s="662"/>
    </row>
    <row r="56" spans="1:10">
      <c r="A56" s="612"/>
      <c r="B56" s="613" t="s">
        <v>583</v>
      </c>
      <c r="C56" s="614">
        <f>AVERAGE(C43:C55)</f>
        <v>218729287.93760315</v>
      </c>
      <c r="D56" s="648"/>
      <c r="E56" s="648"/>
      <c r="F56" s="648"/>
      <c r="G56" s="648"/>
      <c r="H56" s="649"/>
      <c r="I56" s="650"/>
      <c r="J56" s="649"/>
    </row>
    <row r="57" spans="1:10">
      <c r="A57" s="612"/>
      <c r="B57" s="620"/>
      <c r="C57" s="651"/>
      <c r="D57" s="652"/>
      <c r="E57" s="652"/>
      <c r="F57" s="652"/>
      <c r="G57" s="652"/>
      <c r="H57" s="664"/>
      <c r="I57" s="664"/>
      <c r="J57" s="664"/>
    </row>
    <row r="58" spans="1:10" ht="15">
      <c r="A58" s="612"/>
      <c r="B58" s="628"/>
      <c r="C58" s="665"/>
      <c r="D58" s="666"/>
      <c r="E58" s="666"/>
      <c r="F58" s="666"/>
      <c r="G58" s="666"/>
      <c r="H58" s="667"/>
      <c r="I58" s="667"/>
      <c r="J58" s="667"/>
    </row>
    <row r="59" spans="1:10">
      <c r="A59" s="630" t="s">
        <v>588</v>
      </c>
      <c r="B59" s="631" t="s">
        <v>379</v>
      </c>
      <c r="C59" s="632">
        <v>115658.76799202988</v>
      </c>
      <c r="D59" s="648"/>
      <c r="E59" s="648"/>
      <c r="F59" s="648"/>
      <c r="G59" s="648"/>
      <c r="H59" s="668"/>
      <c r="I59" s="669"/>
      <c r="J59" s="670"/>
    </row>
    <row r="60" spans="1:10">
      <c r="A60" s="608" t="s">
        <v>596</v>
      </c>
      <c r="B60" s="634" t="s">
        <v>590</v>
      </c>
      <c r="C60" s="671">
        <v>0</v>
      </c>
      <c r="D60" s="644"/>
      <c r="E60" s="644"/>
      <c r="F60" s="644"/>
      <c r="G60" s="644"/>
      <c r="H60" s="672"/>
      <c r="I60" s="673"/>
      <c r="J60" s="674"/>
    </row>
    <row r="61" spans="1:10">
      <c r="A61" s="586"/>
      <c r="B61" s="613" t="s">
        <v>591</v>
      </c>
      <c r="C61" s="614">
        <f>+C59+C60</f>
        <v>115658.76799202988</v>
      </c>
      <c r="D61" s="648"/>
      <c r="E61" s="648"/>
      <c r="F61" s="648"/>
      <c r="G61" s="648"/>
      <c r="H61" s="649"/>
      <c r="I61" s="650"/>
      <c r="J61" s="649"/>
    </row>
    <row r="62" spans="1:10" ht="15">
      <c r="D62" s="637"/>
      <c r="E62" s="637"/>
      <c r="F62" s="637"/>
      <c r="G62" s="637"/>
    </row>
    <row r="63" spans="1:10" ht="15">
      <c r="D63" s="637"/>
      <c r="E63" s="637"/>
      <c r="F63" s="637"/>
      <c r="G63" s="637"/>
    </row>
    <row r="64" spans="1:10" ht="15">
      <c r="D64" s="637"/>
      <c r="E64" s="637"/>
      <c r="F64" s="637"/>
      <c r="G64" s="637"/>
    </row>
  </sheetData>
  <dataValidations disablePrompts="1" count="1">
    <dataValidation type="list" allowBlank="1" showInputMessage="1" showErrorMessage="1" sqref="C9:J9">
      <formula1>$K$6:$K$7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3FBB3"/>
    <pageSetUpPr fitToPage="1"/>
  </sheetPr>
  <dimension ref="B3:G14"/>
  <sheetViews>
    <sheetView showGridLines="0" workbookViewId="0">
      <selection activeCell="A2" sqref="A2"/>
    </sheetView>
  </sheetViews>
  <sheetFormatPr defaultRowHeight="15.75"/>
  <cols>
    <col min="1" max="1" width="3.625" customWidth="1"/>
    <col min="2" max="2" width="17.75" bestFit="1" customWidth="1"/>
    <col min="4" max="4" width="12.625" style="81" bestFit="1" customWidth="1"/>
    <col min="5" max="5" width="13.75" bestFit="1" customWidth="1"/>
    <col min="7" max="7" width="62.875" bestFit="1" customWidth="1"/>
  </cols>
  <sheetData>
    <row r="3" spans="2:7">
      <c r="B3" t="s">
        <v>167</v>
      </c>
      <c r="D3" s="81">
        <f>'Att GG True Up'!I669</f>
        <v>40064827.229999989</v>
      </c>
      <c r="G3" t="s">
        <v>300</v>
      </c>
    </row>
    <row r="5" spans="2:7">
      <c r="B5" t="s">
        <v>175</v>
      </c>
      <c r="D5" s="212">
        <f>'Att GG True Up'!G669</f>
        <v>4807765.137269564</v>
      </c>
    </row>
    <row r="7" spans="2:7">
      <c r="B7" t="s">
        <v>176</v>
      </c>
      <c r="D7" s="81">
        <f>'Att GG True Up'!J669</f>
        <v>1364457.4499999983</v>
      </c>
    </row>
    <row r="8" spans="2:7">
      <c r="E8" s="112"/>
    </row>
    <row r="9" spans="2:7">
      <c r="B9" t="s">
        <v>177</v>
      </c>
      <c r="E9" s="212">
        <f>D3-D5-D7</f>
        <v>33892604.64273043</v>
      </c>
    </row>
    <row r="14" spans="2:7">
      <c r="B14" t="s">
        <v>299</v>
      </c>
      <c r="E14" s="81">
        <f>'Att GG True Up'!F663</f>
        <v>33892604.659583762</v>
      </c>
      <c r="G14" t="s">
        <v>306</v>
      </c>
    </row>
  </sheetData>
  <phoneticPr fontId="4" type="noConversion"/>
  <pageMargins left="0.75" right="0.75" top="1" bottom="1" header="0.5" footer="0.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B3FBB3"/>
  </sheetPr>
  <dimension ref="A1:F140"/>
  <sheetViews>
    <sheetView showGridLines="0" zoomScaleNormal="100" workbookViewId="0">
      <selection activeCell="A2" sqref="A2"/>
    </sheetView>
  </sheetViews>
  <sheetFormatPr defaultRowHeight="15.75"/>
  <cols>
    <col min="1" max="1" width="31.25" style="2" customWidth="1"/>
    <col min="2" max="2" width="14.125" style="2" bestFit="1" customWidth="1"/>
    <col min="3" max="4" width="3.125" style="2" customWidth="1"/>
    <col min="5" max="5" width="22.875" style="2" bestFit="1" customWidth="1"/>
    <col min="6" max="16384" width="9" style="2"/>
  </cols>
  <sheetData>
    <row r="1" spans="1:6">
      <c r="A1" s="39" t="s">
        <v>131</v>
      </c>
      <c r="D1" s="205" t="s">
        <v>200</v>
      </c>
    </row>
    <row r="2" spans="1:6">
      <c r="A2" s="39" t="s">
        <v>133</v>
      </c>
      <c r="B2" s="40"/>
      <c r="E2" s="87"/>
    </row>
    <row r="3" spans="1:6">
      <c r="A3" s="39" t="s">
        <v>274</v>
      </c>
      <c r="B3" s="41"/>
      <c r="E3" s="2" t="s">
        <v>308</v>
      </c>
    </row>
    <row r="4" spans="1:6">
      <c r="A4" s="182" t="s">
        <v>23</v>
      </c>
      <c r="B4" s="264">
        <f>+B71</f>
        <v>2922917</v>
      </c>
      <c r="E4" s="2" t="s">
        <v>246</v>
      </c>
      <c r="F4" s="179"/>
    </row>
    <row r="5" spans="1:6">
      <c r="A5" s="182" t="s">
        <v>29</v>
      </c>
      <c r="B5" s="258">
        <v>10892850</v>
      </c>
      <c r="E5" s="2" t="s">
        <v>247</v>
      </c>
      <c r="F5" s="179"/>
    </row>
    <row r="6" spans="1:6">
      <c r="A6" s="182" t="s">
        <v>25</v>
      </c>
      <c r="B6" s="211">
        <f>+B105</f>
        <v>7219264</v>
      </c>
      <c r="E6" s="2" t="s">
        <v>248</v>
      </c>
      <c r="F6" s="179"/>
    </row>
    <row r="7" spans="1:6">
      <c r="A7" s="182" t="s">
        <v>26</v>
      </c>
      <c r="B7" s="258">
        <v>6900307</v>
      </c>
      <c r="E7" s="2" t="s">
        <v>249</v>
      </c>
      <c r="F7" s="179"/>
    </row>
    <row r="8" spans="1:6">
      <c r="A8" s="182" t="s">
        <v>186</v>
      </c>
      <c r="B8" s="258">
        <v>1</v>
      </c>
      <c r="E8" s="2" t="s">
        <v>250</v>
      </c>
      <c r="F8" s="179"/>
    </row>
    <row r="9" spans="1:6">
      <c r="A9" s="182" t="s">
        <v>201</v>
      </c>
      <c r="B9" s="258">
        <v>1</v>
      </c>
      <c r="E9" s="2" t="s">
        <v>251</v>
      </c>
      <c r="F9" s="179"/>
    </row>
    <row r="10" spans="1:6">
      <c r="A10" s="182" t="s">
        <v>187</v>
      </c>
      <c r="B10" s="264">
        <f>+B44</f>
        <v>5819678</v>
      </c>
      <c r="E10" s="2" t="s">
        <v>252</v>
      </c>
      <c r="F10" s="179"/>
    </row>
    <row r="11" spans="1:6">
      <c r="A11" s="182" t="s">
        <v>24</v>
      </c>
      <c r="B11" s="258">
        <v>263750</v>
      </c>
      <c r="E11" s="2" t="s">
        <v>253</v>
      </c>
      <c r="F11" s="179"/>
    </row>
    <row r="12" spans="1:6">
      <c r="A12" s="182" t="s">
        <v>27</v>
      </c>
      <c r="B12" s="258">
        <v>313000</v>
      </c>
      <c r="E12" s="2" t="s">
        <v>254</v>
      </c>
      <c r="F12" s="179"/>
    </row>
    <row r="13" spans="1:6">
      <c r="A13" s="182" t="s">
        <v>33</v>
      </c>
      <c r="B13" s="264">
        <f>+B63</f>
        <v>1014277</v>
      </c>
      <c r="E13" s="2" t="s">
        <v>255</v>
      </c>
      <c r="F13" s="179"/>
    </row>
    <row r="14" spans="1:6">
      <c r="A14" s="182" t="s">
        <v>17</v>
      </c>
      <c r="B14" s="258">
        <v>580838</v>
      </c>
      <c r="E14" s="2" t="s">
        <v>202</v>
      </c>
      <c r="F14" s="179"/>
    </row>
    <row r="15" spans="1:6">
      <c r="A15" s="182" t="s">
        <v>22</v>
      </c>
      <c r="B15" s="264">
        <f>+B57</f>
        <v>8567000</v>
      </c>
      <c r="E15" s="2" t="s">
        <v>203</v>
      </c>
      <c r="F15" s="179"/>
    </row>
    <row r="16" spans="1:6">
      <c r="A16" s="182" t="s">
        <v>19</v>
      </c>
      <c r="B16" s="258">
        <v>2461500</v>
      </c>
      <c r="E16" s="2" t="s">
        <v>204</v>
      </c>
      <c r="F16" s="179"/>
    </row>
    <row r="17" spans="1:6">
      <c r="A17" s="182" t="s">
        <v>71</v>
      </c>
      <c r="B17" s="264">
        <f>B112</f>
        <v>6766583</v>
      </c>
      <c r="E17" s="2" t="s">
        <v>205</v>
      </c>
      <c r="F17" s="179"/>
    </row>
    <row r="18" spans="1:6">
      <c r="A18" s="182" t="s">
        <v>72</v>
      </c>
      <c r="B18" s="211">
        <f>+B54</f>
        <v>7248974</v>
      </c>
      <c r="E18" s="2" t="s">
        <v>206</v>
      </c>
      <c r="F18" s="179"/>
    </row>
    <row r="19" spans="1:6">
      <c r="A19" s="182" t="s">
        <v>31</v>
      </c>
      <c r="B19" s="264">
        <f>B74</f>
        <v>1736950</v>
      </c>
      <c r="E19" s="2" t="s">
        <v>207</v>
      </c>
      <c r="F19" s="179"/>
    </row>
    <row r="20" spans="1:6">
      <c r="A20" s="182" t="s">
        <v>35</v>
      </c>
      <c r="B20" s="258">
        <v>486814</v>
      </c>
      <c r="E20" s="2" t="s">
        <v>208</v>
      </c>
      <c r="F20" s="179"/>
    </row>
    <row r="21" spans="1:6">
      <c r="A21" s="182" t="s">
        <v>30</v>
      </c>
      <c r="B21" s="264">
        <f>+B89</f>
        <v>8143932</v>
      </c>
      <c r="E21" s="2" t="s">
        <v>209</v>
      </c>
      <c r="F21" s="179"/>
    </row>
    <row r="22" spans="1:6">
      <c r="A22" s="182" t="s">
        <v>20</v>
      </c>
      <c r="B22" s="258">
        <v>2930833</v>
      </c>
      <c r="E22" s="2" t="s">
        <v>210</v>
      </c>
      <c r="F22" s="179"/>
    </row>
    <row r="23" spans="1:6">
      <c r="A23" s="182" t="s">
        <v>34</v>
      </c>
      <c r="B23" s="264">
        <f>+B80</f>
        <v>955588</v>
      </c>
      <c r="E23" s="2" t="s">
        <v>211</v>
      </c>
      <c r="F23" s="179"/>
    </row>
    <row r="24" spans="1:6">
      <c r="A24" s="182" t="s">
        <v>28</v>
      </c>
      <c r="B24" s="258">
        <v>449083</v>
      </c>
      <c r="E24" s="2" t="s">
        <v>212</v>
      </c>
      <c r="F24" s="179"/>
    </row>
    <row r="25" spans="1:6">
      <c r="A25" s="182" t="s">
        <v>32</v>
      </c>
      <c r="B25" s="211">
        <f>+B108</f>
        <v>242818</v>
      </c>
      <c r="E25" s="2" t="s">
        <v>213</v>
      </c>
      <c r="F25" s="179"/>
    </row>
    <row r="26" spans="1:6">
      <c r="A26" s="182" t="s">
        <v>188</v>
      </c>
      <c r="B26" s="258">
        <v>1008583</v>
      </c>
      <c r="E26" s="2" t="s">
        <v>214</v>
      </c>
      <c r="F26" s="179"/>
    </row>
    <row r="27" spans="1:6">
      <c r="A27" s="182" t="s">
        <v>112</v>
      </c>
      <c r="B27" s="211">
        <f>+B98</f>
        <v>3966293</v>
      </c>
      <c r="E27" s="2" t="s">
        <v>215</v>
      </c>
      <c r="F27" s="179"/>
    </row>
    <row r="28" spans="1:6">
      <c r="A28" s="182" t="s">
        <v>113</v>
      </c>
      <c r="B28" s="258">
        <v>122262</v>
      </c>
      <c r="E28" s="2" t="s">
        <v>216</v>
      </c>
      <c r="F28" s="179"/>
    </row>
    <row r="29" spans="1:6">
      <c r="A29" s="182" t="s">
        <v>121</v>
      </c>
      <c r="B29" s="211">
        <f>+B101</f>
        <v>890167</v>
      </c>
      <c r="E29" s="2" t="s">
        <v>217</v>
      </c>
      <c r="F29" s="179"/>
    </row>
    <row r="30" spans="1:6">
      <c r="A30" s="182" t="s">
        <v>122</v>
      </c>
      <c r="B30" s="258">
        <v>1455000</v>
      </c>
      <c r="E30" s="2" t="s">
        <v>218</v>
      </c>
      <c r="F30" s="179"/>
    </row>
    <row r="31" spans="1:6">
      <c r="A31" s="265" t="s">
        <v>282</v>
      </c>
      <c r="B31" s="181">
        <f>B119</f>
        <v>5732703</v>
      </c>
      <c r="E31" s="2" t="s">
        <v>296</v>
      </c>
    </row>
    <row r="32" spans="1:6">
      <c r="A32" s="265" t="s">
        <v>284</v>
      </c>
      <c r="B32" s="181">
        <f>B124</f>
        <v>11124019</v>
      </c>
      <c r="E32" s="2" t="s">
        <v>296</v>
      </c>
    </row>
    <row r="33" spans="1:5">
      <c r="A33" s="265" t="s">
        <v>288</v>
      </c>
      <c r="B33" s="181">
        <f>B127</f>
        <v>3144299</v>
      </c>
      <c r="E33" s="2" t="s">
        <v>296</v>
      </c>
    </row>
    <row r="34" spans="1:5">
      <c r="A34" s="265" t="s">
        <v>290</v>
      </c>
      <c r="B34" s="181">
        <f>B133</f>
        <v>3481183</v>
      </c>
      <c r="E34" s="2" t="s">
        <v>296</v>
      </c>
    </row>
    <row r="35" spans="1:5">
      <c r="A35" s="265" t="s">
        <v>285</v>
      </c>
      <c r="B35" s="181">
        <v>1736525</v>
      </c>
      <c r="E35" s="2" t="s">
        <v>296</v>
      </c>
    </row>
    <row r="36" spans="1:5">
      <c r="A36" s="265" t="s">
        <v>289</v>
      </c>
      <c r="B36" s="181">
        <v>680834</v>
      </c>
      <c r="E36" s="2" t="s">
        <v>296</v>
      </c>
    </row>
    <row r="37" spans="1:5">
      <c r="A37" s="265" t="s">
        <v>295</v>
      </c>
      <c r="B37" s="181">
        <v>367750</v>
      </c>
      <c r="E37" s="2" t="s">
        <v>296</v>
      </c>
    </row>
    <row r="38" spans="1:5" ht="16.5" thickBot="1">
      <c r="A38" s="179" t="s">
        <v>73</v>
      </c>
      <c r="B38" s="183">
        <f>SUM(B4:B37)-B18-B8-B9</f>
        <v>102377600</v>
      </c>
    </row>
    <row r="39" spans="1:5" ht="16.5" thickTop="1">
      <c r="A39" s="184"/>
      <c r="B39" s="184"/>
    </row>
    <row r="40" spans="1:5">
      <c r="A40" s="184"/>
      <c r="B40" s="184"/>
    </row>
    <row r="41" spans="1:5">
      <c r="A41" s="244" t="s">
        <v>70</v>
      </c>
      <c r="B41" s="220">
        <v>4821167</v>
      </c>
      <c r="C41" s="221"/>
    </row>
    <row r="42" spans="1:5">
      <c r="A42" s="245" t="s">
        <v>74</v>
      </c>
      <c r="B42" s="222">
        <v>495917</v>
      </c>
      <c r="C42" s="223"/>
    </row>
    <row r="43" spans="1:5">
      <c r="A43" s="245" t="s">
        <v>75</v>
      </c>
      <c r="B43" s="185">
        <v>502594</v>
      </c>
      <c r="C43" s="223"/>
    </row>
    <row r="44" spans="1:5">
      <c r="A44" s="44" t="s">
        <v>76</v>
      </c>
      <c r="B44" s="45">
        <f>SUM(B41:B43)</f>
        <v>5819678</v>
      </c>
      <c r="C44" s="223"/>
    </row>
    <row r="45" spans="1:5">
      <c r="A45" s="46" t="s">
        <v>21</v>
      </c>
      <c r="B45" s="190"/>
      <c r="C45" s="223"/>
    </row>
    <row r="46" spans="1:5">
      <c r="A46" s="47" t="s">
        <v>77</v>
      </c>
      <c r="B46" s="186"/>
      <c r="C46" s="223"/>
    </row>
    <row r="47" spans="1:5">
      <c r="A47" s="48" t="s">
        <v>78</v>
      </c>
      <c r="B47" s="49">
        <f>SUM(B45:B46)</f>
        <v>0</v>
      </c>
      <c r="C47" s="223"/>
    </row>
    <row r="48" spans="1:5">
      <c r="A48" s="50" t="s">
        <v>79</v>
      </c>
      <c r="B48" s="224">
        <v>0</v>
      </c>
      <c r="C48" s="223"/>
    </row>
    <row r="49" spans="1:3">
      <c r="A49" s="50" t="s">
        <v>80</v>
      </c>
      <c r="B49" s="224">
        <v>0</v>
      </c>
      <c r="C49" s="223"/>
    </row>
    <row r="50" spans="1:3">
      <c r="A50" s="50" t="s">
        <v>81</v>
      </c>
      <c r="B50" s="224">
        <v>0</v>
      </c>
      <c r="C50" s="223"/>
    </row>
    <row r="51" spans="1:3">
      <c r="A51" s="50" t="s">
        <v>82</v>
      </c>
      <c r="B51" s="224">
        <v>0</v>
      </c>
      <c r="C51" s="223"/>
    </row>
    <row r="52" spans="1:3">
      <c r="A52" s="50" t="s">
        <v>83</v>
      </c>
      <c r="B52" s="224">
        <v>0</v>
      </c>
      <c r="C52" s="223"/>
    </row>
    <row r="53" spans="1:3">
      <c r="A53" s="50" t="s">
        <v>84</v>
      </c>
      <c r="B53" s="224">
        <v>0</v>
      </c>
      <c r="C53" s="225"/>
    </row>
    <row r="54" spans="1:3">
      <c r="A54" s="51" t="s">
        <v>85</v>
      </c>
      <c r="B54" s="66">
        <f>B115</f>
        <v>7248974</v>
      </c>
      <c r="C54" s="225"/>
    </row>
    <row r="55" spans="1:3">
      <c r="A55" s="246" t="s">
        <v>86</v>
      </c>
      <c r="B55" s="190">
        <v>8567000</v>
      </c>
      <c r="C55" s="225"/>
    </row>
    <row r="56" spans="1:3">
      <c r="A56" s="47" t="s">
        <v>79</v>
      </c>
      <c r="B56" s="187">
        <v>0</v>
      </c>
      <c r="C56" s="225"/>
    </row>
    <row r="57" spans="1:3">
      <c r="A57" s="51" t="s">
        <v>22</v>
      </c>
      <c r="B57" s="49">
        <f>SUM(B55:B56)</f>
        <v>8567000</v>
      </c>
      <c r="C57" s="225"/>
    </row>
    <row r="58" spans="1:3">
      <c r="A58" s="246" t="s">
        <v>87</v>
      </c>
      <c r="B58" s="190">
        <v>849835</v>
      </c>
      <c r="C58" s="225"/>
    </row>
    <row r="59" spans="1:3">
      <c r="A59" s="247" t="s">
        <v>32</v>
      </c>
      <c r="B59" s="190">
        <v>44100</v>
      </c>
      <c r="C59" s="225"/>
    </row>
    <row r="60" spans="1:3">
      <c r="A60" s="47" t="s">
        <v>88</v>
      </c>
      <c r="B60" s="190">
        <v>0</v>
      </c>
      <c r="C60" s="225"/>
    </row>
    <row r="61" spans="1:3">
      <c r="A61" s="247" t="s">
        <v>189</v>
      </c>
      <c r="B61" s="190">
        <v>46592</v>
      </c>
      <c r="C61" s="225"/>
    </row>
    <row r="62" spans="1:3">
      <c r="A62" s="248" t="s">
        <v>89</v>
      </c>
      <c r="B62" s="188">
        <v>73750</v>
      </c>
      <c r="C62" s="225"/>
    </row>
    <row r="63" spans="1:3">
      <c r="A63" s="51" t="s">
        <v>33</v>
      </c>
      <c r="B63" s="49">
        <f>SUM(B58:B62)</f>
        <v>1014277</v>
      </c>
      <c r="C63" s="225"/>
    </row>
    <row r="64" spans="1:3">
      <c r="A64" s="248" t="s">
        <v>90</v>
      </c>
      <c r="B64" s="190">
        <v>2729181</v>
      </c>
      <c r="C64" s="225"/>
    </row>
    <row r="65" spans="1:5">
      <c r="A65" s="247" t="s">
        <v>32</v>
      </c>
      <c r="B65" s="190">
        <v>29600</v>
      </c>
      <c r="C65" s="225"/>
    </row>
    <row r="66" spans="1:5">
      <c r="A66" s="247" t="s">
        <v>107</v>
      </c>
      <c r="B66" s="190">
        <v>5014</v>
      </c>
      <c r="C66" s="225"/>
    </row>
    <row r="67" spans="1:5">
      <c r="A67" s="251" t="s">
        <v>91</v>
      </c>
      <c r="B67" s="190">
        <v>3340</v>
      </c>
      <c r="C67" s="225"/>
    </row>
    <row r="68" spans="1:5">
      <c r="A68" s="247" t="s">
        <v>92</v>
      </c>
      <c r="B68" s="190">
        <v>10720</v>
      </c>
      <c r="C68" s="225"/>
    </row>
    <row r="69" spans="1:5">
      <c r="A69" s="252" t="s">
        <v>33</v>
      </c>
      <c r="B69" s="250">
        <v>108998</v>
      </c>
      <c r="C69" s="225"/>
    </row>
    <row r="70" spans="1:5">
      <c r="A70" s="253" t="s">
        <v>276</v>
      </c>
      <c r="B70" s="249">
        <v>36064</v>
      </c>
      <c r="C70" s="225"/>
      <c r="E70" s="2" t="s">
        <v>297</v>
      </c>
    </row>
    <row r="71" spans="1:5">
      <c r="A71" s="51" t="s">
        <v>23</v>
      </c>
      <c r="B71" s="49">
        <f>SUM(B64:B70)</f>
        <v>2922917</v>
      </c>
      <c r="C71" s="225"/>
    </row>
    <row r="72" spans="1:5">
      <c r="A72" s="254" t="s">
        <v>93</v>
      </c>
      <c r="B72" s="190">
        <v>1550000</v>
      </c>
      <c r="C72" s="225"/>
    </row>
    <row r="73" spans="1:5">
      <c r="A73" s="255" t="s">
        <v>33</v>
      </c>
      <c r="B73" s="188">
        <v>186950</v>
      </c>
      <c r="C73" s="225"/>
      <c r="D73" s="34"/>
    </row>
    <row r="74" spans="1:5">
      <c r="A74" s="206" t="s">
        <v>31</v>
      </c>
      <c r="B74" s="49">
        <f>SUM(B72:B73)</f>
        <v>1736950</v>
      </c>
      <c r="C74" s="225"/>
    </row>
    <row r="75" spans="1:5">
      <c r="A75" s="256" t="s">
        <v>94</v>
      </c>
      <c r="B75" s="190">
        <v>704697</v>
      </c>
      <c r="C75" s="225"/>
    </row>
    <row r="76" spans="1:5">
      <c r="A76" s="257" t="s">
        <v>123</v>
      </c>
      <c r="B76" s="190">
        <v>101909</v>
      </c>
      <c r="C76" s="225"/>
    </row>
    <row r="77" spans="1:5">
      <c r="A77" s="257" t="s">
        <v>277</v>
      </c>
      <c r="B77" s="190"/>
      <c r="C77" s="225"/>
      <c r="E77" s="2" t="s">
        <v>297</v>
      </c>
    </row>
    <row r="78" spans="1:5">
      <c r="A78" s="257" t="s">
        <v>278</v>
      </c>
      <c r="B78" s="190"/>
      <c r="C78" s="225"/>
      <c r="E78" s="2" t="s">
        <v>297</v>
      </c>
    </row>
    <row r="79" spans="1:5">
      <c r="A79" s="257" t="s">
        <v>33</v>
      </c>
      <c r="B79" s="188">
        <v>148982</v>
      </c>
      <c r="C79" s="225"/>
    </row>
    <row r="80" spans="1:5">
      <c r="A80" s="206" t="s">
        <v>34</v>
      </c>
      <c r="B80" s="49">
        <f>SUM(B75:B79)</f>
        <v>955588</v>
      </c>
      <c r="C80" s="225"/>
      <c r="D80" s="34"/>
    </row>
    <row r="81" spans="1:5">
      <c r="A81" s="256" t="s">
        <v>89</v>
      </c>
      <c r="B81" s="190">
        <v>7274248</v>
      </c>
      <c r="C81" s="225"/>
    </row>
    <row r="82" spans="1:5">
      <c r="A82" s="251" t="s">
        <v>32</v>
      </c>
      <c r="B82" s="190">
        <v>130500</v>
      </c>
      <c r="C82" s="225"/>
    </row>
    <row r="83" spans="1:5">
      <c r="A83" s="251" t="s">
        <v>124</v>
      </c>
      <c r="B83" s="190">
        <v>6125</v>
      </c>
      <c r="C83" s="225"/>
    </row>
    <row r="84" spans="1:5">
      <c r="A84" s="251" t="s">
        <v>279</v>
      </c>
      <c r="B84" s="190">
        <v>0</v>
      </c>
      <c r="C84" s="225"/>
    </row>
    <row r="85" spans="1:5">
      <c r="A85" s="251" t="s">
        <v>95</v>
      </c>
      <c r="B85" s="190">
        <v>9248</v>
      </c>
      <c r="C85" s="225"/>
    </row>
    <row r="86" spans="1:5">
      <c r="A86" s="251" t="s">
        <v>96</v>
      </c>
      <c r="B86" s="190">
        <v>9379</v>
      </c>
      <c r="C86" s="225"/>
    </row>
    <row r="87" spans="1:5">
      <c r="A87" s="251" t="s">
        <v>280</v>
      </c>
      <c r="B87" s="190"/>
      <c r="C87" s="225"/>
      <c r="E87" s="2" t="s">
        <v>297</v>
      </c>
    </row>
    <row r="88" spans="1:5">
      <c r="A88" s="257" t="s">
        <v>33</v>
      </c>
      <c r="B88" s="188">
        <v>714432</v>
      </c>
      <c r="C88" s="225"/>
    </row>
    <row r="89" spans="1:5">
      <c r="A89" s="206" t="s">
        <v>30</v>
      </c>
      <c r="B89" s="49">
        <f>SUM(B81:B88)</f>
        <v>8143932</v>
      </c>
      <c r="C89" s="225"/>
    </row>
    <row r="90" spans="1:5">
      <c r="A90" s="256" t="s">
        <v>112</v>
      </c>
      <c r="B90" s="194">
        <v>3816514</v>
      </c>
      <c r="C90" s="225"/>
    </row>
    <row r="91" spans="1:5">
      <c r="A91" s="251" t="s">
        <v>125</v>
      </c>
      <c r="B91" s="194">
        <v>85435</v>
      </c>
      <c r="C91" s="225"/>
    </row>
    <row r="92" spans="1:5">
      <c r="A92" s="251" t="s">
        <v>126</v>
      </c>
      <c r="B92" s="194">
        <v>19327</v>
      </c>
      <c r="C92" s="225"/>
    </row>
    <row r="93" spans="1:5">
      <c r="A93" s="251" t="s">
        <v>127</v>
      </c>
      <c r="B93" s="194">
        <v>0</v>
      </c>
      <c r="C93" s="225"/>
    </row>
    <row r="94" spans="1:5">
      <c r="A94" s="251" t="s">
        <v>128</v>
      </c>
      <c r="B94" s="194">
        <v>7351</v>
      </c>
      <c r="C94" s="225"/>
    </row>
    <row r="95" spans="1:5">
      <c r="A95" s="251" t="s">
        <v>129</v>
      </c>
      <c r="B95" s="194">
        <v>33017</v>
      </c>
      <c r="C95" s="225"/>
    </row>
    <row r="96" spans="1:5">
      <c r="A96" s="251" t="s">
        <v>130</v>
      </c>
      <c r="B96" s="194">
        <v>4649</v>
      </c>
      <c r="C96" s="225"/>
    </row>
    <row r="97" spans="1:5">
      <c r="A97" s="251" t="s">
        <v>107</v>
      </c>
      <c r="B97" s="188">
        <v>0</v>
      </c>
      <c r="C97" s="225"/>
    </row>
    <row r="98" spans="1:5">
      <c r="A98" s="206" t="s">
        <v>112</v>
      </c>
      <c r="B98" s="49">
        <f>SUM(B90:B97)</f>
        <v>3966293</v>
      </c>
      <c r="C98" s="225"/>
    </row>
    <row r="99" spans="1:5">
      <c r="A99" s="251" t="s">
        <v>121</v>
      </c>
      <c r="B99" s="194">
        <v>865950</v>
      </c>
      <c r="C99" s="225"/>
    </row>
    <row r="100" spans="1:5">
      <c r="A100" s="251" t="s">
        <v>124</v>
      </c>
      <c r="B100" s="188">
        <v>24217</v>
      </c>
      <c r="C100" s="225"/>
    </row>
    <row r="101" spans="1:5">
      <c r="A101" s="206" t="s">
        <v>121</v>
      </c>
      <c r="B101" s="49">
        <f>SUM(B99:B100)</f>
        <v>890167</v>
      </c>
      <c r="C101" s="225"/>
    </row>
    <row r="102" spans="1:5">
      <c r="A102" s="257" t="s">
        <v>25</v>
      </c>
      <c r="B102" s="194">
        <v>7219264</v>
      </c>
      <c r="C102" s="225"/>
    </row>
    <row r="103" spans="1:5">
      <c r="A103" s="257" t="s">
        <v>197</v>
      </c>
      <c r="B103" s="250">
        <v>0</v>
      </c>
      <c r="C103" s="225"/>
    </row>
    <row r="104" spans="1:5">
      <c r="A104" s="257" t="s">
        <v>281</v>
      </c>
      <c r="B104" s="249"/>
      <c r="C104" s="225"/>
      <c r="E104" s="2" t="s">
        <v>297</v>
      </c>
    </row>
    <row r="105" spans="1:5">
      <c r="A105" s="206" t="s">
        <v>25</v>
      </c>
      <c r="B105" s="49">
        <f>SUM(B102:B104)</f>
        <v>7219264</v>
      </c>
      <c r="C105" s="225"/>
    </row>
    <row r="106" spans="1:5">
      <c r="A106" s="251" t="s">
        <v>32</v>
      </c>
      <c r="B106" s="190">
        <v>239600</v>
      </c>
      <c r="C106" s="225"/>
    </row>
    <row r="107" spans="1:5">
      <c r="A107" s="257" t="s">
        <v>33</v>
      </c>
      <c r="B107" s="188">
        <v>3218</v>
      </c>
      <c r="C107" s="225"/>
    </row>
    <row r="108" spans="1:5">
      <c r="A108" s="206" t="s">
        <v>32</v>
      </c>
      <c r="B108" s="49">
        <f>SUM(B106:B107)</f>
        <v>242818</v>
      </c>
      <c r="C108" s="225"/>
    </row>
    <row r="109" spans="1:5">
      <c r="A109" s="207"/>
      <c r="B109" s="121"/>
      <c r="C109" s="225"/>
    </row>
    <row r="110" spans="1:5">
      <c r="A110" s="257" t="s">
        <v>21</v>
      </c>
      <c r="B110" s="190">
        <v>6640083</v>
      </c>
      <c r="C110" s="225"/>
    </row>
    <row r="111" spans="1:5">
      <c r="A111" s="251" t="s">
        <v>108</v>
      </c>
      <c r="B111" s="188">
        <v>126500</v>
      </c>
      <c r="C111" s="225"/>
    </row>
    <row r="112" spans="1:5">
      <c r="A112" s="60" t="s">
        <v>109</v>
      </c>
      <c r="B112" s="208">
        <f>B110+B111</f>
        <v>6766583</v>
      </c>
      <c r="C112" s="225"/>
    </row>
    <row r="113" spans="1:5">
      <c r="A113" s="226" t="str">
        <f>A112</f>
        <v>Mi Joint Zone (Zone 13)</v>
      </c>
      <c r="B113" s="224">
        <f>B112</f>
        <v>6766583</v>
      </c>
      <c r="C113" s="225"/>
    </row>
    <row r="114" spans="1:5">
      <c r="A114" s="257" t="s">
        <v>110</v>
      </c>
      <c r="B114" s="188">
        <v>482391</v>
      </c>
      <c r="C114" s="225"/>
    </row>
    <row r="115" spans="1:5">
      <c r="A115" s="60" t="s">
        <v>111</v>
      </c>
      <c r="B115" s="263">
        <f>B113+B114</f>
        <v>7248974</v>
      </c>
      <c r="C115" s="225"/>
    </row>
    <row r="116" spans="1:5">
      <c r="A116" s="59"/>
      <c r="B116" s="224"/>
      <c r="C116" s="225"/>
    </row>
    <row r="117" spans="1:5">
      <c r="A117" s="59" t="s">
        <v>282</v>
      </c>
      <c r="B117" s="258">
        <v>5732703</v>
      </c>
      <c r="C117" s="225"/>
      <c r="E117" s="2" t="s">
        <v>297</v>
      </c>
    </row>
    <row r="118" spans="1:5">
      <c r="A118" s="59" t="s">
        <v>283</v>
      </c>
      <c r="B118" s="188">
        <v>0</v>
      </c>
      <c r="C118" s="225"/>
      <c r="E118" s="2" t="s">
        <v>297</v>
      </c>
    </row>
    <row r="119" spans="1:5">
      <c r="A119" s="60" t="s">
        <v>282</v>
      </c>
      <c r="B119" s="259">
        <f>SUM(B117:B118)</f>
        <v>5732703</v>
      </c>
      <c r="C119" s="225"/>
    </row>
    <row r="120" spans="1:5">
      <c r="A120" s="59" t="s">
        <v>284</v>
      </c>
      <c r="B120" s="258">
        <v>6078523</v>
      </c>
      <c r="C120" s="225"/>
      <c r="E120" s="2" t="s">
        <v>297</v>
      </c>
    </row>
    <row r="121" spans="1:5">
      <c r="A121" s="59" t="s">
        <v>285</v>
      </c>
      <c r="B121" s="258">
        <v>0</v>
      </c>
      <c r="C121" s="225"/>
      <c r="E121" s="2" t="s">
        <v>297</v>
      </c>
    </row>
    <row r="122" spans="1:5">
      <c r="A122" s="59" t="s">
        <v>286</v>
      </c>
      <c r="B122" s="258">
        <v>813746</v>
      </c>
      <c r="C122" s="225"/>
      <c r="E122" s="2" t="s">
        <v>297</v>
      </c>
    </row>
    <row r="123" spans="1:5">
      <c r="A123" s="59" t="s">
        <v>287</v>
      </c>
      <c r="B123" s="260">
        <v>4231750</v>
      </c>
      <c r="C123" s="225"/>
      <c r="E123" s="2" t="s">
        <v>297</v>
      </c>
    </row>
    <row r="124" spans="1:5">
      <c r="A124" s="60" t="s">
        <v>284</v>
      </c>
      <c r="B124" s="259">
        <f>SUM(B120:B123)</f>
        <v>11124019</v>
      </c>
      <c r="C124" s="225"/>
    </row>
    <row r="125" spans="1:5">
      <c r="A125" s="59" t="s">
        <v>288</v>
      </c>
      <c r="B125" s="258">
        <v>2575549</v>
      </c>
      <c r="C125" s="225"/>
      <c r="E125" s="2" t="s">
        <v>297</v>
      </c>
    </row>
    <row r="126" spans="1:5">
      <c r="A126" s="59" t="s">
        <v>289</v>
      </c>
      <c r="B126" s="188">
        <v>568750</v>
      </c>
      <c r="C126" s="225"/>
      <c r="E126" s="2" t="s">
        <v>297</v>
      </c>
    </row>
    <row r="127" spans="1:5">
      <c r="A127" s="60" t="s">
        <v>288</v>
      </c>
      <c r="B127" s="261">
        <f>SUM(B125:B126)</f>
        <v>3144299</v>
      </c>
      <c r="C127" s="225"/>
    </row>
    <row r="128" spans="1:5">
      <c r="A128" s="59" t="s">
        <v>290</v>
      </c>
      <c r="B128" s="190">
        <v>3481183</v>
      </c>
      <c r="C128" s="225"/>
      <c r="E128" s="2" t="s">
        <v>297</v>
      </c>
    </row>
    <row r="129" spans="1:5">
      <c r="A129" s="59" t="s">
        <v>291</v>
      </c>
      <c r="B129" s="262"/>
      <c r="C129" s="225"/>
      <c r="E129" s="2" t="s">
        <v>297</v>
      </c>
    </row>
    <row r="130" spans="1:5">
      <c r="A130" s="59" t="s">
        <v>292</v>
      </c>
      <c r="B130" s="262"/>
      <c r="C130" s="225"/>
      <c r="E130" s="2" t="s">
        <v>297</v>
      </c>
    </row>
    <row r="131" spans="1:5">
      <c r="A131" s="59" t="s">
        <v>293</v>
      </c>
      <c r="B131" s="262"/>
      <c r="C131" s="225"/>
      <c r="E131" s="2" t="s">
        <v>297</v>
      </c>
    </row>
    <row r="132" spans="1:5">
      <c r="A132" s="59" t="s">
        <v>294</v>
      </c>
      <c r="B132" s="259"/>
      <c r="C132" s="225"/>
      <c r="E132" s="2" t="s">
        <v>297</v>
      </c>
    </row>
    <row r="133" spans="1:5">
      <c r="A133" s="60" t="s">
        <v>290</v>
      </c>
      <c r="B133" s="259">
        <f>SUM(B128:B132)</f>
        <v>3481183</v>
      </c>
      <c r="C133" s="225"/>
    </row>
    <row r="134" spans="1:5">
      <c r="A134" s="59"/>
      <c r="B134" s="224"/>
      <c r="C134" s="225"/>
    </row>
    <row r="135" spans="1:5">
      <c r="A135" s="59"/>
      <c r="B135" s="224"/>
      <c r="C135" s="225"/>
    </row>
    <row r="136" spans="1:5">
      <c r="A136" s="227" t="s">
        <v>198</v>
      </c>
      <c r="B136" s="228">
        <f>+B59+B65+B82+B106</f>
        <v>443800</v>
      </c>
      <c r="C136" s="225"/>
    </row>
    <row r="137" spans="1:5">
      <c r="A137" s="227" t="s">
        <v>199</v>
      </c>
      <c r="B137" s="228">
        <f>+B62+B89-B88-B82</f>
        <v>7372750</v>
      </c>
      <c r="C137" s="225"/>
    </row>
    <row r="138" spans="1:5">
      <c r="A138" s="229" t="s">
        <v>190</v>
      </c>
      <c r="B138" s="230">
        <f>+B58+B69+B79+B88+B73+B107</f>
        <v>2012415</v>
      </c>
      <c r="C138" s="231"/>
    </row>
    <row r="139" spans="1:5">
      <c r="A139" s="209"/>
      <c r="B139" s="209"/>
      <c r="C139" s="87"/>
    </row>
    <row r="140" spans="1:5">
      <c r="A140" s="191"/>
      <c r="B140" s="191"/>
    </row>
  </sheetData>
  <phoneticPr fontId="4" type="noConversion"/>
  <pageMargins left="0.25" right="0.25" top="0.5" bottom="0.5" header="0.5" footer="0.5"/>
  <pageSetup fitToHeight="3" orientation="portrait" r:id="rId1"/>
  <headerFooter alignWithMargins="0"/>
  <rowBreaks count="2" manualBreakCount="2">
    <brk id="39" max="4" man="1"/>
    <brk id="89" max="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3FBB3"/>
  </sheetPr>
  <dimension ref="A1:P140"/>
  <sheetViews>
    <sheetView showGridLines="0" topLeftCell="H1" zoomScaleNormal="100" workbookViewId="0">
      <selection activeCell="A2" sqref="A2"/>
    </sheetView>
  </sheetViews>
  <sheetFormatPr defaultRowHeight="15.75"/>
  <cols>
    <col min="1" max="1" width="24.875" style="2" customWidth="1"/>
    <col min="2" max="2" width="15.375" style="2" customWidth="1"/>
    <col min="3" max="6" width="12.625" style="2" customWidth="1"/>
    <col min="7" max="12" width="12.5" style="2" customWidth="1"/>
    <col min="13" max="13" width="13.625" style="2" customWidth="1"/>
    <col min="14" max="14" width="12.5" style="2" bestFit="1" customWidth="1"/>
    <col min="15" max="15" width="4.125" style="2" customWidth="1"/>
    <col min="16" max="16" width="11" style="2" bestFit="1" customWidth="1"/>
    <col min="17" max="17" width="9" style="2"/>
    <col min="18" max="18" width="33.125" style="2" bestFit="1" customWidth="1"/>
    <col min="19" max="16384" width="9" style="2"/>
  </cols>
  <sheetData>
    <row r="1" spans="1:16">
      <c r="A1" s="39" t="s">
        <v>131</v>
      </c>
      <c r="B1" s="40"/>
      <c r="C1" s="40"/>
      <c r="D1" s="40"/>
      <c r="E1" s="40"/>
      <c r="F1" s="40"/>
      <c r="G1" s="40"/>
      <c r="H1" s="40"/>
      <c r="I1" s="40"/>
      <c r="J1" s="40"/>
      <c r="K1" s="40"/>
      <c r="L1" s="40"/>
      <c r="M1" s="40"/>
      <c r="N1" s="65" t="s">
        <v>307</v>
      </c>
      <c r="O1" s="40"/>
    </row>
    <row r="2" spans="1:16">
      <c r="A2" s="39" t="s">
        <v>132</v>
      </c>
      <c r="B2" s="40"/>
      <c r="C2" s="40"/>
      <c r="D2" s="40"/>
      <c r="E2" s="40"/>
      <c r="F2" s="40"/>
      <c r="G2" s="40"/>
      <c r="H2" s="40"/>
      <c r="I2" s="40"/>
      <c r="J2" s="40"/>
      <c r="K2" s="40"/>
      <c r="L2" s="40"/>
      <c r="M2" s="40"/>
      <c r="O2" s="40"/>
    </row>
    <row r="3" spans="1:16">
      <c r="A3" s="39" t="s">
        <v>275</v>
      </c>
      <c r="B3" s="41" t="s">
        <v>57</v>
      </c>
      <c r="C3" s="41" t="s">
        <v>58</v>
      </c>
      <c r="D3" s="41" t="s">
        <v>59</v>
      </c>
      <c r="E3" s="41" t="s">
        <v>60</v>
      </c>
      <c r="F3" s="41" t="s">
        <v>61</v>
      </c>
      <c r="G3" s="41" t="s">
        <v>62</v>
      </c>
      <c r="H3" s="41" t="s">
        <v>63</v>
      </c>
      <c r="I3" s="41" t="s">
        <v>64</v>
      </c>
      <c r="J3" s="41" t="s">
        <v>65</v>
      </c>
      <c r="K3" s="41" t="s">
        <v>66</v>
      </c>
      <c r="L3" s="41" t="s">
        <v>67</v>
      </c>
      <c r="M3" s="41" t="s">
        <v>68</v>
      </c>
      <c r="N3" s="41" t="s">
        <v>69</v>
      </c>
      <c r="O3" s="40"/>
    </row>
    <row r="4" spans="1:16">
      <c r="A4" s="179" t="s">
        <v>23</v>
      </c>
      <c r="B4" s="180">
        <f t="shared" ref="B4:M4" si="0">+B72</f>
        <v>2911000</v>
      </c>
      <c r="C4" s="180">
        <f t="shared" si="0"/>
        <v>2911000</v>
      </c>
      <c r="D4" s="180">
        <f t="shared" si="0"/>
        <v>2911000</v>
      </c>
      <c r="E4" s="180">
        <f t="shared" si="0"/>
        <v>2911000</v>
      </c>
      <c r="F4" s="180">
        <f t="shared" si="0"/>
        <v>2911000</v>
      </c>
      <c r="G4" s="180">
        <f t="shared" si="0"/>
        <v>2911000</v>
      </c>
      <c r="H4" s="180">
        <f t="shared" si="0"/>
        <v>2911000</v>
      </c>
      <c r="I4" s="180">
        <f t="shared" si="0"/>
        <v>2911000</v>
      </c>
      <c r="J4" s="180">
        <f t="shared" si="0"/>
        <v>2911000</v>
      </c>
      <c r="K4" s="180">
        <f t="shared" si="0"/>
        <v>2911000</v>
      </c>
      <c r="L4" s="180">
        <f t="shared" si="0"/>
        <v>2911000</v>
      </c>
      <c r="M4" s="180">
        <f t="shared" si="0"/>
        <v>2911000</v>
      </c>
      <c r="N4" s="193">
        <f>SUM(B4:M4)/12</f>
        <v>2911000</v>
      </c>
      <c r="O4" s="184"/>
      <c r="P4" s="2" t="s">
        <v>219</v>
      </c>
    </row>
    <row r="5" spans="1:16">
      <c r="A5" s="179" t="s">
        <v>29</v>
      </c>
      <c r="B5" s="181">
        <v>9965730</v>
      </c>
      <c r="C5" s="33">
        <f>+B5</f>
        <v>9965730</v>
      </c>
      <c r="D5" s="33">
        <f t="shared" ref="D5:M5" si="1">+C5</f>
        <v>9965730</v>
      </c>
      <c r="E5" s="33">
        <f t="shared" si="1"/>
        <v>9965730</v>
      </c>
      <c r="F5" s="33">
        <f t="shared" si="1"/>
        <v>9965730</v>
      </c>
      <c r="G5" s="33">
        <f t="shared" si="1"/>
        <v>9965730</v>
      </c>
      <c r="H5" s="33">
        <f t="shared" si="1"/>
        <v>9965730</v>
      </c>
      <c r="I5" s="33">
        <f t="shared" si="1"/>
        <v>9965730</v>
      </c>
      <c r="J5" s="33">
        <f t="shared" si="1"/>
        <v>9965730</v>
      </c>
      <c r="K5" s="33">
        <f t="shared" si="1"/>
        <v>9965730</v>
      </c>
      <c r="L5" s="33">
        <f t="shared" si="1"/>
        <v>9965730</v>
      </c>
      <c r="M5" s="33">
        <f t="shared" si="1"/>
        <v>9965730</v>
      </c>
      <c r="N5" s="193">
        <f t="shared" ref="N5:N37" si="2">SUM(B5:M5)/12</f>
        <v>9965730</v>
      </c>
      <c r="O5" s="184"/>
      <c r="P5" s="2" t="s">
        <v>220</v>
      </c>
    </row>
    <row r="6" spans="1:16">
      <c r="A6" s="179" t="s">
        <v>25</v>
      </c>
      <c r="B6" s="33">
        <f>+B106</f>
        <v>7175041</v>
      </c>
      <c r="C6" s="33">
        <f t="shared" ref="C6:L6" si="3">+C106</f>
        <v>7175041</v>
      </c>
      <c r="D6" s="33">
        <f t="shared" si="3"/>
        <v>7175041</v>
      </c>
      <c r="E6" s="33">
        <f t="shared" si="3"/>
        <v>7175041</v>
      </c>
      <c r="F6" s="33">
        <f t="shared" si="3"/>
        <v>7175041</v>
      </c>
      <c r="G6" s="33">
        <f t="shared" si="3"/>
        <v>7175041</v>
      </c>
      <c r="H6" s="33">
        <f t="shared" si="3"/>
        <v>7175041</v>
      </c>
      <c r="I6" s="33">
        <f t="shared" si="3"/>
        <v>7175041</v>
      </c>
      <c r="J6" s="33">
        <f t="shared" si="3"/>
        <v>7175041</v>
      </c>
      <c r="K6" s="33">
        <f t="shared" si="3"/>
        <v>7175041</v>
      </c>
      <c r="L6" s="33">
        <f t="shared" si="3"/>
        <v>7175041</v>
      </c>
      <c r="M6" s="33">
        <f>+M106</f>
        <v>7175041</v>
      </c>
      <c r="N6" s="193">
        <f t="shared" si="2"/>
        <v>7175041</v>
      </c>
      <c r="O6" s="184"/>
      <c r="P6" s="2" t="s">
        <v>221</v>
      </c>
    </row>
    <row r="7" spans="1:16">
      <c r="A7" s="179" t="s">
        <v>26</v>
      </c>
      <c r="B7" s="181">
        <v>6963256</v>
      </c>
      <c r="C7" s="181">
        <v>6963256</v>
      </c>
      <c r="D7" s="181">
        <v>6963256</v>
      </c>
      <c r="E7" s="181">
        <v>6963256</v>
      </c>
      <c r="F7" s="181">
        <v>6963256</v>
      </c>
      <c r="G7" s="181">
        <v>6847897</v>
      </c>
      <c r="H7" s="181">
        <v>6847897</v>
      </c>
      <c r="I7" s="181">
        <v>6847897</v>
      </c>
      <c r="J7" s="181">
        <v>6847897</v>
      </c>
      <c r="K7" s="181">
        <v>6847897</v>
      </c>
      <c r="L7" s="181">
        <v>6847897</v>
      </c>
      <c r="M7" s="181">
        <v>6847897</v>
      </c>
      <c r="N7" s="193">
        <f t="shared" si="2"/>
        <v>6895963.25</v>
      </c>
      <c r="O7" s="184"/>
      <c r="P7" s="2" t="s">
        <v>222</v>
      </c>
    </row>
    <row r="8" spans="1:16">
      <c r="A8" s="179" t="s">
        <v>186</v>
      </c>
      <c r="B8" s="181">
        <v>1</v>
      </c>
      <c r="C8" s="181">
        <v>1</v>
      </c>
      <c r="D8" s="181">
        <v>1</v>
      </c>
      <c r="E8" s="181">
        <v>1</v>
      </c>
      <c r="F8" s="181">
        <v>1</v>
      </c>
      <c r="G8" s="181">
        <v>1</v>
      </c>
      <c r="H8" s="181">
        <v>1</v>
      </c>
      <c r="I8" s="181">
        <v>1</v>
      </c>
      <c r="J8" s="181">
        <v>1</v>
      </c>
      <c r="K8" s="181">
        <v>1</v>
      </c>
      <c r="L8" s="181">
        <v>1</v>
      </c>
      <c r="M8" s="181">
        <v>1</v>
      </c>
      <c r="N8" s="193">
        <f t="shared" si="2"/>
        <v>1</v>
      </c>
      <c r="O8" s="184"/>
      <c r="P8" s="2" t="s">
        <v>223</v>
      </c>
    </row>
    <row r="9" spans="1:16">
      <c r="A9" s="182" t="s">
        <v>201</v>
      </c>
      <c r="B9" s="181">
        <v>1</v>
      </c>
      <c r="C9" s="181">
        <v>1</v>
      </c>
      <c r="D9" s="181">
        <v>1</v>
      </c>
      <c r="E9" s="181">
        <v>1</v>
      </c>
      <c r="F9" s="181">
        <v>1</v>
      </c>
      <c r="G9" s="181">
        <v>1</v>
      </c>
      <c r="H9" s="181">
        <v>1</v>
      </c>
      <c r="I9" s="181">
        <v>1</v>
      </c>
      <c r="J9" s="181">
        <v>1</v>
      </c>
      <c r="K9" s="181">
        <v>1</v>
      </c>
      <c r="L9" s="181">
        <v>1</v>
      </c>
      <c r="M9" s="181">
        <v>1</v>
      </c>
      <c r="N9" s="193">
        <f>SUM(B9:M9)/12</f>
        <v>1</v>
      </c>
      <c r="O9" s="184"/>
      <c r="P9" s="2" t="s">
        <v>224</v>
      </c>
    </row>
    <row r="10" spans="1:16">
      <c r="A10" s="179" t="s">
        <v>187</v>
      </c>
      <c r="B10" s="180">
        <f t="shared" ref="B10:M10" si="4">+B45</f>
        <v>5768252</v>
      </c>
      <c r="C10" s="180">
        <f t="shared" si="4"/>
        <v>5768252</v>
      </c>
      <c r="D10" s="180">
        <f t="shared" si="4"/>
        <v>5768252</v>
      </c>
      <c r="E10" s="180">
        <f t="shared" si="4"/>
        <v>5768252</v>
      </c>
      <c r="F10" s="180">
        <f t="shared" si="4"/>
        <v>5768252</v>
      </c>
      <c r="G10" s="180">
        <f t="shared" si="4"/>
        <v>5617576</v>
      </c>
      <c r="H10" s="180">
        <f t="shared" si="4"/>
        <v>5617576</v>
      </c>
      <c r="I10" s="180">
        <f t="shared" si="4"/>
        <v>5617576</v>
      </c>
      <c r="J10" s="180">
        <f t="shared" si="4"/>
        <v>5617576</v>
      </c>
      <c r="K10" s="180">
        <f t="shared" si="4"/>
        <v>5617576</v>
      </c>
      <c r="L10" s="180">
        <f t="shared" si="4"/>
        <v>5617576</v>
      </c>
      <c r="M10" s="180">
        <f t="shared" si="4"/>
        <v>5617576</v>
      </c>
      <c r="N10" s="193">
        <f t="shared" si="2"/>
        <v>5680357.666666667</v>
      </c>
      <c r="O10" s="184"/>
      <c r="P10" s="2" t="s">
        <v>225</v>
      </c>
    </row>
    <row r="11" spans="1:16">
      <c r="A11" s="179" t="s">
        <v>24</v>
      </c>
      <c r="B11" s="181">
        <v>266000</v>
      </c>
      <c r="C11" s="181">
        <v>266000</v>
      </c>
      <c r="D11" s="181">
        <v>266000</v>
      </c>
      <c r="E11" s="181">
        <v>266000</v>
      </c>
      <c r="F11" s="181">
        <v>266000</v>
      </c>
      <c r="G11" s="181">
        <v>263000</v>
      </c>
      <c r="H11" s="181">
        <v>263000</v>
      </c>
      <c r="I11" s="181">
        <v>263000</v>
      </c>
      <c r="J11" s="181">
        <v>263000</v>
      </c>
      <c r="K11" s="181">
        <v>263000</v>
      </c>
      <c r="L11" s="181">
        <v>263000</v>
      </c>
      <c r="M11" s="181">
        <v>263000</v>
      </c>
      <c r="N11" s="193">
        <f t="shared" si="2"/>
        <v>264250</v>
      </c>
      <c r="O11" s="184"/>
      <c r="P11" s="2" t="s">
        <v>226</v>
      </c>
    </row>
    <row r="12" spans="1:16">
      <c r="A12" s="179" t="s">
        <v>27</v>
      </c>
      <c r="B12" s="181">
        <v>318000</v>
      </c>
      <c r="C12" s="181">
        <v>318000</v>
      </c>
      <c r="D12" s="181">
        <v>318000</v>
      </c>
      <c r="E12" s="181">
        <v>318000</v>
      </c>
      <c r="F12" s="181">
        <v>318000</v>
      </c>
      <c r="G12" s="181">
        <v>312000</v>
      </c>
      <c r="H12" s="181">
        <v>312000</v>
      </c>
      <c r="I12" s="181">
        <v>312000</v>
      </c>
      <c r="J12" s="181">
        <v>312000</v>
      </c>
      <c r="K12" s="181">
        <v>312000</v>
      </c>
      <c r="L12" s="181">
        <v>312000</v>
      </c>
      <c r="M12" s="181">
        <v>312000</v>
      </c>
      <c r="N12" s="193">
        <f t="shared" si="2"/>
        <v>314500</v>
      </c>
      <c r="O12" s="184"/>
      <c r="P12" s="2" t="s">
        <v>227</v>
      </c>
    </row>
    <row r="13" spans="1:16">
      <c r="A13" s="179" t="s">
        <v>33</v>
      </c>
      <c r="B13" s="180">
        <f t="shared" ref="B13:M13" si="5">+B64</f>
        <v>1015377</v>
      </c>
      <c r="C13" s="180">
        <f t="shared" si="5"/>
        <v>1015377</v>
      </c>
      <c r="D13" s="180">
        <f t="shared" si="5"/>
        <v>1015377</v>
      </c>
      <c r="E13" s="180">
        <f t="shared" si="5"/>
        <v>1015377</v>
      </c>
      <c r="F13" s="180">
        <f t="shared" si="5"/>
        <v>1015377</v>
      </c>
      <c r="G13" s="180">
        <f t="shared" si="5"/>
        <v>1008907</v>
      </c>
      <c r="H13" s="180">
        <f t="shared" si="5"/>
        <v>1008907</v>
      </c>
      <c r="I13" s="180">
        <f t="shared" si="5"/>
        <v>1008907</v>
      </c>
      <c r="J13" s="180">
        <f t="shared" si="5"/>
        <v>1008907</v>
      </c>
      <c r="K13" s="180">
        <f t="shared" si="5"/>
        <v>1008907</v>
      </c>
      <c r="L13" s="180">
        <f t="shared" si="5"/>
        <v>1008907</v>
      </c>
      <c r="M13" s="180">
        <f t="shared" si="5"/>
        <v>1008907</v>
      </c>
      <c r="N13" s="193">
        <f t="shared" si="2"/>
        <v>1011602.8333333334</v>
      </c>
      <c r="O13" s="184"/>
      <c r="P13" s="2" t="s">
        <v>228</v>
      </c>
    </row>
    <row r="14" spans="1:16">
      <c r="A14" s="179" t="s">
        <v>17</v>
      </c>
      <c r="B14" s="181">
        <v>567997</v>
      </c>
      <c r="C14" s="181">
        <v>567997</v>
      </c>
      <c r="D14" s="181">
        <v>567997</v>
      </c>
      <c r="E14" s="181">
        <v>567997</v>
      </c>
      <c r="F14" s="181">
        <v>567997</v>
      </c>
      <c r="G14" s="181">
        <v>560807</v>
      </c>
      <c r="H14" s="181">
        <v>560807</v>
      </c>
      <c r="I14" s="181">
        <v>560807</v>
      </c>
      <c r="J14" s="181">
        <v>560807</v>
      </c>
      <c r="K14" s="181">
        <v>560807</v>
      </c>
      <c r="L14" s="181">
        <v>560807</v>
      </c>
      <c r="M14" s="181">
        <v>560807</v>
      </c>
      <c r="N14" s="193">
        <f t="shared" si="2"/>
        <v>563802.83333333337</v>
      </c>
      <c r="O14" s="184"/>
      <c r="P14" s="2" t="s">
        <v>229</v>
      </c>
    </row>
    <row r="15" spans="1:16">
      <c r="A15" s="182" t="s">
        <v>22</v>
      </c>
      <c r="B15" s="180">
        <f t="shared" ref="B15:M15" si="6">+B58</f>
        <v>8567000</v>
      </c>
      <c r="C15" s="180">
        <f t="shared" si="6"/>
        <v>8567000</v>
      </c>
      <c r="D15" s="180">
        <f t="shared" si="6"/>
        <v>8567000</v>
      </c>
      <c r="E15" s="180">
        <f t="shared" si="6"/>
        <v>8567000</v>
      </c>
      <c r="F15" s="180">
        <f t="shared" si="6"/>
        <v>8567000</v>
      </c>
      <c r="G15" s="180">
        <f t="shared" si="6"/>
        <v>8567000</v>
      </c>
      <c r="H15" s="180">
        <f t="shared" si="6"/>
        <v>8567000</v>
      </c>
      <c r="I15" s="180">
        <f t="shared" si="6"/>
        <v>8567000</v>
      </c>
      <c r="J15" s="180">
        <f t="shared" si="6"/>
        <v>8567000</v>
      </c>
      <c r="K15" s="180">
        <f t="shared" si="6"/>
        <v>8567000</v>
      </c>
      <c r="L15" s="180">
        <f t="shared" si="6"/>
        <v>8567000</v>
      </c>
      <c r="M15" s="180">
        <f t="shared" si="6"/>
        <v>8567000</v>
      </c>
      <c r="N15" s="193">
        <f t="shared" si="2"/>
        <v>8567000</v>
      </c>
      <c r="O15" s="184"/>
      <c r="P15" s="2" t="s">
        <v>230</v>
      </c>
    </row>
    <row r="16" spans="1:16">
      <c r="A16" s="179" t="s">
        <v>19</v>
      </c>
      <c r="B16" s="181">
        <v>2468750</v>
      </c>
      <c r="C16" s="181">
        <v>2468750</v>
      </c>
      <c r="D16" s="181">
        <v>2468750</v>
      </c>
      <c r="E16" s="181">
        <v>2468750</v>
      </c>
      <c r="F16" s="181">
        <v>2468750</v>
      </c>
      <c r="G16" s="181">
        <v>2377750</v>
      </c>
      <c r="H16" s="181">
        <v>2377750</v>
      </c>
      <c r="I16" s="181">
        <v>2377750</v>
      </c>
      <c r="J16" s="181">
        <v>2377750</v>
      </c>
      <c r="K16" s="181">
        <v>2377750</v>
      </c>
      <c r="L16" s="181">
        <v>2377750</v>
      </c>
      <c r="M16" s="181">
        <v>2377750</v>
      </c>
      <c r="N16" s="193">
        <f t="shared" si="2"/>
        <v>2415666.6666666665</v>
      </c>
      <c r="O16" s="184"/>
      <c r="P16" s="2" t="s">
        <v>231</v>
      </c>
    </row>
    <row r="17" spans="1:16">
      <c r="A17" s="182" t="s">
        <v>71</v>
      </c>
      <c r="B17" s="180">
        <f>B113</f>
        <v>6712500</v>
      </c>
      <c r="C17" s="180">
        <f t="shared" ref="C17:L17" si="7">C113</f>
        <v>6712500</v>
      </c>
      <c r="D17" s="180">
        <f t="shared" si="7"/>
        <v>6712500</v>
      </c>
      <c r="E17" s="180">
        <f t="shared" si="7"/>
        <v>6712500</v>
      </c>
      <c r="F17" s="180">
        <f t="shared" si="7"/>
        <v>6712500</v>
      </c>
      <c r="G17" s="180">
        <f t="shared" si="7"/>
        <v>6712500</v>
      </c>
      <c r="H17" s="180">
        <f t="shared" si="7"/>
        <v>6712500</v>
      </c>
      <c r="I17" s="180">
        <f t="shared" si="7"/>
        <v>6712500</v>
      </c>
      <c r="J17" s="180">
        <f t="shared" si="7"/>
        <v>6712500</v>
      </c>
      <c r="K17" s="180">
        <f t="shared" si="7"/>
        <v>6712500</v>
      </c>
      <c r="L17" s="180">
        <f t="shared" si="7"/>
        <v>6712500</v>
      </c>
      <c r="M17" s="180">
        <f>M113</f>
        <v>6712500</v>
      </c>
      <c r="N17" s="193">
        <f t="shared" si="2"/>
        <v>6712500</v>
      </c>
      <c r="O17" s="184"/>
      <c r="P17" s="2" t="s">
        <v>232</v>
      </c>
    </row>
    <row r="18" spans="1:16">
      <c r="A18" s="182" t="s">
        <v>72</v>
      </c>
      <c r="B18" s="33">
        <f t="shared" ref="B18:M18" si="8">+B55</f>
        <v>7195225</v>
      </c>
      <c r="C18" s="33">
        <f t="shared" si="8"/>
        <v>7195225</v>
      </c>
      <c r="D18" s="33">
        <f t="shared" si="8"/>
        <v>7195225</v>
      </c>
      <c r="E18" s="33">
        <f t="shared" si="8"/>
        <v>7195225</v>
      </c>
      <c r="F18" s="33">
        <f t="shared" si="8"/>
        <v>7195225</v>
      </c>
      <c r="G18" s="33">
        <f t="shared" si="8"/>
        <v>7195225</v>
      </c>
      <c r="H18" s="33">
        <f t="shared" si="8"/>
        <v>7195225</v>
      </c>
      <c r="I18" s="33">
        <f t="shared" si="8"/>
        <v>7195225</v>
      </c>
      <c r="J18" s="33">
        <f t="shared" si="8"/>
        <v>7195225</v>
      </c>
      <c r="K18" s="33">
        <f t="shared" si="8"/>
        <v>7195225</v>
      </c>
      <c r="L18" s="33">
        <f t="shared" si="8"/>
        <v>7195224</v>
      </c>
      <c r="M18" s="33">
        <f t="shared" si="8"/>
        <v>7195225</v>
      </c>
      <c r="N18" s="193">
        <f t="shared" si="2"/>
        <v>7195224.916666667</v>
      </c>
      <c r="O18" s="184"/>
      <c r="P18" s="2" t="s">
        <v>233</v>
      </c>
    </row>
    <row r="19" spans="1:16">
      <c r="A19" s="179" t="s">
        <v>31</v>
      </c>
      <c r="B19" s="180">
        <f t="shared" ref="B19:M19" si="9">+B75</f>
        <v>1899788</v>
      </c>
      <c r="C19" s="180">
        <f t="shared" si="9"/>
        <v>1899788</v>
      </c>
      <c r="D19" s="180">
        <f t="shared" si="9"/>
        <v>1899788</v>
      </c>
      <c r="E19" s="180">
        <f t="shared" si="9"/>
        <v>1899788</v>
      </c>
      <c r="F19" s="180">
        <f t="shared" si="9"/>
        <v>1899788</v>
      </c>
      <c r="G19" s="180">
        <f t="shared" si="9"/>
        <v>1899788</v>
      </c>
      <c r="H19" s="180">
        <f t="shared" si="9"/>
        <v>1899788</v>
      </c>
      <c r="I19" s="180">
        <f t="shared" si="9"/>
        <v>1899788</v>
      </c>
      <c r="J19" s="180">
        <f t="shared" si="9"/>
        <v>1899788</v>
      </c>
      <c r="K19" s="180">
        <f t="shared" si="9"/>
        <v>1899788</v>
      </c>
      <c r="L19" s="180">
        <f t="shared" si="9"/>
        <v>1899788</v>
      </c>
      <c r="M19" s="180">
        <f t="shared" si="9"/>
        <v>1899788</v>
      </c>
      <c r="N19" s="193">
        <f t="shared" si="2"/>
        <v>1899788</v>
      </c>
      <c r="O19" s="184"/>
      <c r="P19" s="2" t="s">
        <v>234</v>
      </c>
    </row>
    <row r="20" spans="1:16">
      <c r="A20" s="179" t="s">
        <v>35</v>
      </c>
      <c r="B20" s="181">
        <v>738755</v>
      </c>
      <c r="C20" s="181">
        <v>738755</v>
      </c>
      <c r="D20" s="181">
        <v>738755</v>
      </c>
      <c r="E20" s="181">
        <v>738755</v>
      </c>
      <c r="F20" s="181">
        <v>738755</v>
      </c>
      <c r="G20" s="181">
        <v>738755</v>
      </c>
      <c r="H20" s="181">
        <v>738755</v>
      </c>
      <c r="I20" s="181">
        <v>738755</v>
      </c>
      <c r="J20" s="181">
        <v>738755</v>
      </c>
      <c r="K20" s="181">
        <v>738755</v>
      </c>
      <c r="L20" s="181">
        <v>738755</v>
      </c>
      <c r="M20" s="181">
        <v>738755</v>
      </c>
      <c r="N20" s="193">
        <f t="shared" si="2"/>
        <v>738755</v>
      </c>
      <c r="O20" s="184"/>
      <c r="P20" s="2" t="s">
        <v>235</v>
      </c>
    </row>
    <row r="21" spans="1:16">
      <c r="A21" s="179" t="s">
        <v>30</v>
      </c>
      <c r="B21" s="180">
        <f>+B90</f>
        <v>7988844</v>
      </c>
      <c r="C21" s="180">
        <f t="shared" ref="C21:L21" si="10">+C90</f>
        <v>7988844</v>
      </c>
      <c r="D21" s="180">
        <f t="shared" si="10"/>
        <v>7988844</v>
      </c>
      <c r="E21" s="180">
        <f t="shared" si="10"/>
        <v>7988844</v>
      </c>
      <c r="F21" s="180">
        <f t="shared" si="10"/>
        <v>7988844</v>
      </c>
      <c r="G21" s="180">
        <f t="shared" si="10"/>
        <v>7986244</v>
      </c>
      <c r="H21" s="180">
        <f t="shared" si="10"/>
        <v>7986244</v>
      </c>
      <c r="I21" s="180">
        <f t="shared" si="10"/>
        <v>7986244</v>
      </c>
      <c r="J21" s="180">
        <f t="shared" si="10"/>
        <v>7986244</v>
      </c>
      <c r="K21" s="180">
        <f t="shared" si="10"/>
        <v>7986244</v>
      </c>
      <c r="L21" s="180">
        <f t="shared" si="10"/>
        <v>7986244</v>
      </c>
      <c r="M21" s="180">
        <f>+M90</f>
        <v>7986244</v>
      </c>
      <c r="N21" s="193">
        <f t="shared" si="2"/>
        <v>7987327.333333333</v>
      </c>
      <c r="O21" s="184"/>
      <c r="P21" s="2" t="s">
        <v>236</v>
      </c>
    </row>
    <row r="22" spans="1:16">
      <c r="A22" s="179" t="s">
        <v>20</v>
      </c>
      <c r="B22" s="181">
        <v>2837590</v>
      </c>
      <c r="C22" s="181">
        <v>2837590</v>
      </c>
      <c r="D22" s="181">
        <v>2837590</v>
      </c>
      <c r="E22" s="181">
        <v>2837590</v>
      </c>
      <c r="F22" s="181">
        <v>2837590</v>
      </c>
      <c r="G22" s="181">
        <v>2837590</v>
      </c>
      <c r="H22" s="181">
        <v>2837590</v>
      </c>
      <c r="I22" s="181">
        <v>2837590</v>
      </c>
      <c r="J22" s="181">
        <v>2837590</v>
      </c>
      <c r="K22" s="181">
        <v>2837590</v>
      </c>
      <c r="L22" s="181">
        <v>2837590</v>
      </c>
      <c r="M22" s="181">
        <v>2837590</v>
      </c>
      <c r="N22" s="193">
        <f t="shared" si="2"/>
        <v>2837590</v>
      </c>
      <c r="O22" s="184"/>
      <c r="P22" s="2" t="s">
        <v>237</v>
      </c>
    </row>
    <row r="23" spans="1:16">
      <c r="A23" s="179" t="s">
        <v>34</v>
      </c>
      <c r="B23" s="180">
        <f>+B81</f>
        <v>921608</v>
      </c>
      <c r="C23" s="180">
        <f t="shared" ref="C23:L23" si="11">+C81</f>
        <v>921608</v>
      </c>
      <c r="D23" s="180">
        <f t="shared" si="11"/>
        <v>921608</v>
      </c>
      <c r="E23" s="180">
        <f t="shared" si="11"/>
        <v>921608</v>
      </c>
      <c r="F23" s="180">
        <f t="shared" si="11"/>
        <v>921608</v>
      </c>
      <c r="G23" s="180">
        <f t="shared" si="11"/>
        <v>921608</v>
      </c>
      <c r="H23" s="180">
        <f t="shared" si="11"/>
        <v>921608</v>
      </c>
      <c r="I23" s="180">
        <f t="shared" si="11"/>
        <v>921608</v>
      </c>
      <c r="J23" s="180">
        <f t="shared" si="11"/>
        <v>921608</v>
      </c>
      <c r="K23" s="180">
        <f t="shared" si="11"/>
        <v>921608</v>
      </c>
      <c r="L23" s="180">
        <f t="shared" si="11"/>
        <v>921608</v>
      </c>
      <c r="M23" s="180">
        <f>+M81</f>
        <v>921608</v>
      </c>
      <c r="N23" s="193">
        <f t="shared" si="2"/>
        <v>921608</v>
      </c>
      <c r="O23" s="184"/>
      <c r="P23" s="2" t="s">
        <v>238</v>
      </c>
    </row>
    <row r="24" spans="1:16">
      <c r="A24" s="179" t="s">
        <v>28</v>
      </c>
      <c r="B24" s="181">
        <v>378750</v>
      </c>
      <c r="C24" s="181">
        <v>378750</v>
      </c>
      <c r="D24" s="181">
        <v>378750</v>
      </c>
      <c r="E24" s="181">
        <v>378750</v>
      </c>
      <c r="F24" s="181">
        <v>378750</v>
      </c>
      <c r="G24" s="181">
        <v>384917</v>
      </c>
      <c r="H24" s="181">
        <v>384917</v>
      </c>
      <c r="I24" s="181">
        <v>384917</v>
      </c>
      <c r="J24" s="181">
        <v>384917</v>
      </c>
      <c r="K24" s="181">
        <v>384917</v>
      </c>
      <c r="L24" s="181">
        <v>384917</v>
      </c>
      <c r="M24" s="181">
        <v>384917</v>
      </c>
      <c r="N24" s="193">
        <f t="shared" si="2"/>
        <v>382347.41666666669</v>
      </c>
      <c r="O24" s="184"/>
      <c r="P24" s="2" t="s">
        <v>239</v>
      </c>
    </row>
    <row r="25" spans="1:16">
      <c r="A25" s="179" t="s">
        <v>32</v>
      </c>
      <c r="B25" s="33">
        <f>+B109</f>
        <v>245400</v>
      </c>
      <c r="C25" s="33">
        <f t="shared" ref="C25:L25" si="12">+C109</f>
        <v>245400</v>
      </c>
      <c r="D25" s="33">
        <f t="shared" si="12"/>
        <v>245400</v>
      </c>
      <c r="E25" s="33">
        <f t="shared" si="12"/>
        <v>245400</v>
      </c>
      <c r="F25" s="33">
        <f t="shared" si="12"/>
        <v>245400</v>
      </c>
      <c r="G25" s="33">
        <f t="shared" si="12"/>
        <v>243800</v>
      </c>
      <c r="H25" s="33">
        <f t="shared" si="12"/>
        <v>243800</v>
      </c>
      <c r="I25" s="33">
        <f t="shared" si="12"/>
        <v>243800</v>
      </c>
      <c r="J25" s="33">
        <f t="shared" si="12"/>
        <v>243800</v>
      </c>
      <c r="K25" s="33">
        <f t="shared" si="12"/>
        <v>243800</v>
      </c>
      <c r="L25" s="33">
        <f t="shared" si="12"/>
        <v>243800</v>
      </c>
      <c r="M25" s="33">
        <f>+M109</f>
        <v>243800</v>
      </c>
      <c r="N25" s="193">
        <f t="shared" si="2"/>
        <v>244466.66666666666</v>
      </c>
      <c r="O25" s="184"/>
      <c r="P25" s="2" t="s">
        <v>240</v>
      </c>
    </row>
    <row r="26" spans="1:16">
      <c r="A26" s="179" t="s">
        <v>188</v>
      </c>
      <c r="B26" s="181">
        <v>1029764</v>
      </c>
      <c r="C26" s="33">
        <f t="shared" ref="C26:M26" si="13">+B26</f>
        <v>1029764</v>
      </c>
      <c r="D26" s="33">
        <f t="shared" si="13"/>
        <v>1029764</v>
      </c>
      <c r="E26" s="33">
        <f t="shared" si="13"/>
        <v>1029764</v>
      </c>
      <c r="F26" s="33">
        <f t="shared" si="13"/>
        <v>1029764</v>
      </c>
      <c r="G26" s="33">
        <f t="shared" si="13"/>
        <v>1029764</v>
      </c>
      <c r="H26" s="33">
        <f t="shared" si="13"/>
        <v>1029764</v>
      </c>
      <c r="I26" s="33">
        <f t="shared" si="13"/>
        <v>1029764</v>
      </c>
      <c r="J26" s="33">
        <f t="shared" si="13"/>
        <v>1029764</v>
      </c>
      <c r="K26" s="33">
        <f t="shared" si="13"/>
        <v>1029764</v>
      </c>
      <c r="L26" s="33">
        <f t="shared" si="13"/>
        <v>1029764</v>
      </c>
      <c r="M26" s="33">
        <f t="shared" si="13"/>
        <v>1029764</v>
      </c>
      <c r="N26" s="193">
        <f t="shared" si="2"/>
        <v>1029764</v>
      </c>
      <c r="O26" s="184"/>
      <c r="P26" s="2" t="s">
        <v>241</v>
      </c>
    </row>
    <row r="27" spans="1:16">
      <c r="A27" s="179" t="s">
        <v>112</v>
      </c>
      <c r="B27" s="180">
        <f>+B99</f>
        <v>3961012</v>
      </c>
      <c r="C27" s="180">
        <f t="shared" ref="C27:L27" si="14">+C99</f>
        <v>3961012</v>
      </c>
      <c r="D27" s="180">
        <f t="shared" si="14"/>
        <v>3961012</v>
      </c>
      <c r="E27" s="180">
        <f t="shared" si="14"/>
        <v>3961012</v>
      </c>
      <c r="F27" s="180">
        <f t="shared" si="14"/>
        <v>3961012</v>
      </c>
      <c r="G27" s="180">
        <f t="shared" si="14"/>
        <v>3961364</v>
      </c>
      <c r="H27" s="180">
        <f t="shared" si="14"/>
        <v>3961364</v>
      </c>
      <c r="I27" s="180">
        <f t="shared" si="14"/>
        <v>3961364</v>
      </c>
      <c r="J27" s="180">
        <f t="shared" si="14"/>
        <v>3961364</v>
      </c>
      <c r="K27" s="180">
        <f t="shared" si="14"/>
        <v>3961364</v>
      </c>
      <c r="L27" s="180">
        <f t="shared" si="14"/>
        <v>3961364</v>
      </c>
      <c r="M27" s="180">
        <f>+M99</f>
        <v>3961364</v>
      </c>
      <c r="N27" s="193">
        <f t="shared" si="2"/>
        <v>3961217.3333333335</v>
      </c>
      <c r="O27" s="184"/>
      <c r="P27" s="2" t="s">
        <v>242</v>
      </c>
    </row>
    <row r="28" spans="1:16">
      <c r="A28" s="179" t="s">
        <v>113</v>
      </c>
      <c r="B28" s="181">
        <v>123415</v>
      </c>
      <c r="C28" s="181">
        <v>123415</v>
      </c>
      <c r="D28" s="181">
        <v>123415</v>
      </c>
      <c r="E28" s="181">
        <v>123415</v>
      </c>
      <c r="F28" s="181">
        <v>123415</v>
      </c>
      <c r="G28" s="181">
        <v>119971</v>
      </c>
      <c r="H28" s="181">
        <v>119971</v>
      </c>
      <c r="I28" s="181">
        <v>119971</v>
      </c>
      <c r="J28" s="181">
        <v>119971</v>
      </c>
      <c r="K28" s="181">
        <v>119971</v>
      </c>
      <c r="L28" s="181">
        <v>119971</v>
      </c>
      <c r="M28" s="181">
        <v>119971</v>
      </c>
      <c r="N28" s="193">
        <f t="shared" si="2"/>
        <v>121406</v>
      </c>
      <c r="O28" s="184"/>
      <c r="P28" s="2" t="s">
        <v>243</v>
      </c>
    </row>
    <row r="29" spans="1:16">
      <c r="A29" s="179" t="s">
        <v>121</v>
      </c>
      <c r="B29" s="180">
        <f>+B102</f>
        <v>907134</v>
      </c>
      <c r="C29" s="180">
        <f t="shared" ref="C29:L29" si="15">+C102</f>
        <v>907134</v>
      </c>
      <c r="D29" s="180">
        <f t="shared" si="15"/>
        <v>907134</v>
      </c>
      <c r="E29" s="180">
        <f t="shared" si="15"/>
        <v>907134</v>
      </c>
      <c r="F29" s="180">
        <f t="shared" si="15"/>
        <v>907134</v>
      </c>
      <c r="G29" s="180">
        <f t="shared" si="15"/>
        <v>916757</v>
      </c>
      <c r="H29" s="180">
        <f t="shared" si="15"/>
        <v>916757</v>
      </c>
      <c r="I29" s="180">
        <f t="shared" si="15"/>
        <v>916757</v>
      </c>
      <c r="J29" s="180">
        <f t="shared" si="15"/>
        <v>916757</v>
      </c>
      <c r="K29" s="180">
        <f t="shared" si="15"/>
        <v>916757</v>
      </c>
      <c r="L29" s="180">
        <f t="shared" si="15"/>
        <v>916757</v>
      </c>
      <c r="M29" s="180">
        <f>+M102</f>
        <v>916757</v>
      </c>
      <c r="N29" s="193">
        <f t="shared" si="2"/>
        <v>912747.41666666663</v>
      </c>
      <c r="O29" s="184"/>
      <c r="P29" s="2" t="s">
        <v>244</v>
      </c>
    </row>
    <row r="30" spans="1:16">
      <c r="A30" s="179" t="s">
        <v>122</v>
      </c>
      <c r="B30" s="181">
        <v>1362833</v>
      </c>
      <c r="C30" s="181">
        <v>1362833</v>
      </c>
      <c r="D30" s="181">
        <v>1362833</v>
      </c>
      <c r="E30" s="181">
        <v>1362833</v>
      </c>
      <c r="F30" s="181">
        <v>1362833</v>
      </c>
      <c r="G30" s="181">
        <v>1438750</v>
      </c>
      <c r="H30" s="181">
        <v>1438750</v>
      </c>
      <c r="I30" s="181">
        <v>1438750</v>
      </c>
      <c r="J30" s="181">
        <v>1438750</v>
      </c>
      <c r="K30" s="181">
        <v>1438750</v>
      </c>
      <c r="L30" s="181">
        <v>1438750</v>
      </c>
      <c r="M30" s="181">
        <v>1438750</v>
      </c>
      <c r="N30" s="193">
        <f t="shared" si="2"/>
        <v>1407117.9166666667</v>
      </c>
      <c r="O30" s="184"/>
      <c r="P30" s="2" t="s">
        <v>245</v>
      </c>
    </row>
    <row r="31" spans="1:16">
      <c r="A31" s="179" t="s">
        <v>282</v>
      </c>
      <c r="B31" s="242"/>
      <c r="C31" s="242"/>
      <c r="D31" s="242"/>
      <c r="E31" s="242"/>
      <c r="F31" s="242"/>
      <c r="G31" s="242"/>
      <c r="H31" s="242"/>
      <c r="I31" s="242"/>
      <c r="J31" s="242"/>
      <c r="K31" s="242"/>
      <c r="L31" s="242"/>
      <c r="M31" s="241">
        <f>M119</f>
        <v>6425268</v>
      </c>
      <c r="N31" s="193">
        <f t="shared" si="2"/>
        <v>535439</v>
      </c>
      <c r="O31" s="184"/>
    </row>
    <row r="32" spans="1:16">
      <c r="A32" s="179" t="s">
        <v>284</v>
      </c>
      <c r="B32" s="242"/>
      <c r="C32" s="242"/>
      <c r="D32" s="242"/>
      <c r="E32" s="242"/>
      <c r="F32" s="242"/>
      <c r="G32" s="242"/>
      <c r="H32" s="242"/>
      <c r="I32" s="242"/>
      <c r="J32" s="242"/>
      <c r="K32" s="242"/>
      <c r="L32" s="242"/>
      <c r="M32" s="241">
        <f>M124</f>
        <v>11834802</v>
      </c>
      <c r="N32" s="193">
        <f t="shared" si="2"/>
        <v>986233.5</v>
      </c>
      <c r="O32" s="184"/>
    </row>
    <row r="33" spans="1:15">
      <c r="A33" s="179" t="s">
        <v>288</v>
      </c>
      <c r="B33" s="242"/>
      <c r="C33" s="242"/>
      <c r="D33" s="242"/>
      <c r="E33" s="242"/>
      <c r="F33" s="242"/>
      <c r="G33" s="242"/>
      <c r="H33" s="242"/>
      <c r="I33" s="242"/>
      <c r="J33" s="242"/>
      <c r="K33" s="242"/>
      <c r="L33" s="242"/>
      <c r="M33" s="241">
        <f>M127</f>
        <v>3485947</v>
      </c>
      <c r="N33" s="193">
        <f t="shared" si="2"/>
        <v>290495.58333333331</v>
      </c>
      <c r="O33" s="184"/>
    </row>
    <row r="34" spans="1:15">
      <c r="A34" s="179" t="s">
        <v>290</v>
      </c>
      <c r="B34" s="242"/>
      <c r="C34" s="242"/>
      <c r="D34" s="242"/>
      <c r="E34" s="242"/>
      <c r="F34" s="242"/>
      <c r="G34" s="242"/>
      <c r="H34" s="242"/>
      <c r="I34" s="242"/>
      <c r="J34" s="242"/>
      <c r="K34" s="242"/>
      <c r="L34" s="242"/>
      <c r="M34" s="241">
        <f>M133</f>
        <v>3753332</v>
      </c>
      <c r="N34" s="193">
        <f t="shared" si="2"/>
        <v>312777.66666666669</v>
      </c>
      <c r="O34" s="184"/>
    </row>
    <row r="35" spans="1:15">
      <c r="A35" s="179" t="s">
        <v>285</v>
      </c>
      <c r="B35" s="242"/>
      <c r="C35" s="242"/>
      <c r="D35" s="242"/>
      <c r="E35" s="242"/>
      <c r="F35" s="242"/>
      <c r="G35" s="242"/>
      <c r="H35" s="242"/>
      <c r="I35" s="242"/>
      <c r="J35" s="242"/>
      <c r="K35" s="242"/>
      <c r="L35" s="242"/>
      <c r="M35" s="242">
        <v>1699879</v>
      </c>
      <c r="N35" s="193">
        <f t="shared" si="2"/>
        <v>141656.58333333334</v>
      </c>
      <c r="O35" s="184"/>
    </row>
    <row r="36" spans="1:15">
      <c r="A36" s="179" t="s">
        <v>289</v>
      </c>
      <c r="B36" s="242"/>
      <c r="C36" s="242"/>
      <c r="D36" s="242"/>
      <c r="E36" s="242"/>
      <c r="F36" s="242"/>
      <c r="G36" s="242"/>
      <c r="H36" s="242"/>
      <c r="I36" s="242"/>
      <c r="J36" s="242"/>
      <c r="K36" s="242"/>
      <c r="L36" s="242"/>
      <c r="M36" s="242">
        <v>694166</v>
      </c>
      <c r="N36" s="193">
        <f t="shared" si="2"/>
        <v>57847.166666666664</v>
      </c>
      <c r="O36" s="184"/>
    </row>
    <row r="37" spans="1:15">
      <c r="A37" s="179" t="s">
        <v>295</v>
      </c>
      <c r="B37" s="242"/>
      <c r="C37" s="242"/>
      <c r="D37" s="242"/>
      <c r="E37" s="242"/>
      <c r="F37" s="242"/>
      <c r="G37" s="242"/>
      <c r="H37" s="242"/>
      <c r="I37" s="242"/>
      <c r="J37" s="242"/>
      <c r="K37" s="242"/>
      <c r="L37" s="242"/>
      <c r="M37" s="242">
        <v>375333</v>
      </c>
      <c r="N37" s="193">
        <f t="shared" si="2"/>
        <v>31277.75</v>
      </c>
      <c r="O37" s="184"/>
    </row>
    <row r="38" spans="1:15">
      <c r="A38" s="179"/>
      <c r="B38" s="180"/>
      <c r="C38" s="180"/>
      <c r="D38" s="180"/>
      <c r="E38" s="180"/>
      <c r="F38" s="180"/>
      <c r="G38" s="180"/>
      <c r="H38" s="180"/>
      <c r="I38" s="180"/>
      <c r="J38" s="192"/>
      <c r="K38" s="192"/>
      <c r="L38" s="192"/>
      <c r="M38" s="192"/>
      <c r="N38" s="193"/>
      <c r="O38" s="184"/>
    </row>
    <row r="39" spans="1:15" ht="16.5" thickBot="1">
      <c r="A39" s="179" t="s">
        <v>73</v>
      </c>
      <c r="B39" s="183">
        <f>SUM(B4:B38)-B18-B8-B9</f>
        <v>75093796</v>
      </c>
      <c r="C39" s="183">
        <f t="shared" ref="C39:L39" si="16">SUM(C4:C38)-C18-C8-C9</f>
        <v>75093796</v>
      </c>
      <c r="D39" s="183">
        <f t="shared" si="16"/>
        <v>75093796</v>
      </c>
      <c r="E39" s="183">
        <f t="shared" si="16"/>
        <v>75093796</v>
      </c>
      <c r="F39" s="183">
        <f t="shared" si="16"/>
        <v>75093796</v>
      </c>
      <c r="G39" s="183">
        <f t="shared" si="16"/>
        <v>74798516</v>
      </c>
      <c r="H39" s="183">
        <f t="shared" si="16"/>
        <v>74798516</v>
      </c>
      <c r="I39" s="183">
        <f t="shared" si="16"/>
        <v>74798516</v>
      </c>
      <c r="J39" s="183">
        <f t="shared" si="16"/>
        <v>74798516</v>
      </c>
      <c r="K39" s="183">
        <f t="shared" si="16"/>
        <v>74798516</v>
      </c>
      <c r="L39" s="183">
        <f t="shared" si="16"/>
        <v>74798516</v>
      </c>
      <c r="M39" s="183">
        <f>SUM(M4:M38)-M18-M8-M9</f>
        <v>103067243</v>
      </c>
      <c r="N39" s="183">
        <f>SUM(N4:N38)-N18-N8-N9</f>
        <v>77277276.583333343</v>
      </c>
      <c r="O39" s="184"/>
    </row>
    <row r="40" spans="1:15" ht="16.5" thickTop="1">
      <c r="A40" s="184"/>
      <c r="B40" s="266"/>
      <c r="C40" s="266"/>
      <c r="D40" s="266"/>
      <c r="E40" s="266"/>
      <c r="F40" s="266"/>
      <c r="G40" s="266"/>
      <c r="H40" s="266"/>
      <c r="I40" s="266"/>
      <c r="J40" s="266"/>
      <c r="K40" s="266"/>
      <c r="L40" s="266"/>
      <c r="M40" s="266"/>
      <c r="N40" s="184"/>
      <c r="O40" s="184"/>
    </row>
    <row r="41" spans="1:15">
      <c r="A41" s="184"/>
      <c r="B41" s="267"/>
      <c r="C41" s="266"/>
      <c r="D41" s="266"/>
      <c r="E41" s="266"/>
      <c r="F41" s="266"/>
      <c r="G41" s="266"/>
      <c r="H41" s="266"/>
      <c r="I41" s="266"/>
      <c r="J41" s="266"/>
      <c r="K41" s="266"/>
      <c r="L41" s="266"/>
      <c r="M41" s="266"/>
      <c r="N41" s="184"/>
      <c r="O41" s="184"/>
    </row>
    <row r="42" spans="1:15">
      <c r="A42" s="42" t="s">
        <v>70</v>
      </c>
      <c r="B42" s="181">
        <v>4808916</v>
      </c>
      <c r="C42" s="181">
        <v>4808916</v>
      </c>
      <c r="D42" s="181">
        <v>4808916</v>
      </c>
      <c r="E42" s="181">
        <v>4808916</v>
      </c>
      <c r="F42" s="181">
        <v>4808916</v>
      </c>
      <c r="G42" s="181">
        <v>4663000</v>
      </c>
      <c r="H42" s="181">
        <v>4663000</v>
      </c>
      <c r="I42" s="181">
        <v>4663000</v>
      </c>
      <c r="J42" s="181">
        <v>4663000</v>
      </c>
      <c r="K42" s="181">
        <v>4663000</v>
      </c>
      <c r="L42" s="181">
        <v>4663000</v>
      </c>
      <c r="M42" s="181">
        <v>4663000</v>
      </c>
      <c r="N42" s="184"/>
      <c r="O42" s="184"/>
    </row>
    <row r="43" spans="1:15">
      <c r="A43" s="43" t="s">
        <v>74</v>
      </c>
      <c r="B43" s="181">
        <v>476667</v>
      </c>
      <c r="C43" s="181">
        <v>476667</v>
      </c>
      <c r="D43" s="181">
        <v>476667</v>
      </c>
      <c r="E43" s="181">
        <v>476667</v>
      </c>
      <c r="F43" s="181">
        <v>476667</v>
      </c>
      <c r="G43" s="181">
        <v>464417</v>
      </c>
      <c r="H43" s="181">
        <v>464417</v>
      </c>
      <c r="I43" s="181">
        <v>464417</v>
      </c>
      <c r="J43" s="181">
        <v>464417</v>
      </c>
      <c r="K43" s="181">
        <v>464417</v>
      </c>
      <c r="L43" s="181">
        <v>464417</v>
      </c>
      <c r="M43" s="181">
        <v>464417</v>
      </c>
      <c r="N43" s="184"/>
      <c r="O43" s="184"/>
    </row>
    <row r="44" spans="1:15">
      <c r="A44" s="43" t="s">
        <v>75</v>
      </c>
      <c r="B44" s="185">
        <v>482669</v>
      </c>
      <c r="C44" s="185">
        <v>482669</v>
      </c>
      <c r="D44" s="185">
        <v>482669</v>
      </c>
      <c r="E44" s="185">
        <v>482669</v>
      </c>
      <c r="F44" s="185">
        <v>482669</v>
      </c>
      <c r="G44" s="185">
        <v>490159</v>
      </c>
      <c r="H44" s="185">
        <v>490159</v>
      </c>
      <c r="I44" s="185">
        <v>490159</v>
      </c>
      <c r="J44" s="185">
        <v>490159</v>
      </c>
      <c r="K44" s="185">
        <v>490159</v>
      </c>
      <c r="L44" s="185">
        <v>490159</v>
      </c>
      <c r="M44" s="185">
        <v>490159</v>
      </c>
      <c r="N44" s="184"/>
      <c r="O44" s="184"/>
    </row>
    <row r="45" spans="1:15">
      <c r="A45" s="44" t="s">
        <v>76</v>
      </c>
      <c r="B45" s="45">
        <f t="shared" ref="B45:M45" si="17">SUM(B42:B44)</f>
        <v>5768252</v>
      </c>
      <c r="C45" s="45">
        <f t="shared" si="17"/>
        <v>5768252</v>
      </c>
      <c r="D45" s="45">
        <f t="shared" si="17"/>
        <v>5768252</v>
      </c>
      <c r="E45" s="45">
        <f t="shared" si="17"/>
        <v>5768252</v>
      </c>
      <c r="F45" s="45">
        <f t="shared" si="17"/>
        <v>5768252</v>
      </c>
      <c r="G45" s="45">
        <f t="shared" si="17"/>
        <v>5617576</v>
      </c>
      <c r="H45" s="45">
        <f t="shared" si="17"/>
        <v>5617576</v>
      </c>
      <c r="I45" s="45">
        <f t="shared" si="17"/>
        <v>5617576</v>
      </c>
      <c r="J45" s="45">
        <f t="shared" si="17"/>
        <v>5617576</v>
      </c>
      <c r="K45" s="45">
        <f t="shared" si="17"/>
        <v>5617576</v>
      </c>
      <c r="L45" s="45">
        <f t="shared" si="17"/>
        <v>5617576</v>
      </c>
      <c r="M45" s="45">
        <f t="shared" si="17"/>
        <v>5617576</v>
      </c>
      <c r="N45" s="184"/>
      <c r="O45" s="184"/>
    </row>
    <row r="46" spans="1:15">
      <c r="A46" s="46" t="s">
        <v>21</v>
      </c>
      <c r="B46" s="181"/>
      <c r="C46" s="181"/>
      <c r="D46" s="181"/>
      <c r="E46" s="181"/>
      <c r="F46" s="181"/>
      <c r="G46" s="196"/>
      <c r="H46" s="196"/>
      <c r="I46" s="196"/>
      <c r="J46" s="196"/>
      <c r="K46" s="196"/>
      <c r="L46" s="196"/>
      <c r="M46" s="196"/>
      <c r="N46" s="184"/>
      <c r="O46" s="184"/>
    </row>
    <row r="47" spans="1:15">
      <c r="A47" s="47" t="s">
        <v>77</v>
      </c>
      <c r="B47" s="197"/>
      <c r="C47" s="197"/>
      <c r="D47" s="197"/>
      <c r="E47" s="197"/>
      <c r="F47" s="197"/>
      <c r="G47" s="198"/>
      <c r="H47" s="198"/>
      <c r="I47" s="198"/>
      <c r="J47" s="198"/>
      <c r="K47" s="198"/>
      <c r="L47" s="198"/>
      <c r="M47" s="198"/>
      <c r="N47" s="184"/>
      <c r="O47" s="184"/>
    </row>
    <row r="48" spans="1:15">
      <c r="A48" s="48" t="s">
        <v>78</v>
      </c>
      <c r="B48" s="49">
        <f>SUM(B46:B47)</f>
        <v>0</v>
      </c>
      <c r="C48" s="49">
        <f>SUM(C46:C47)</f>
        <v>0</v>
      </c>
      <c r="D48" s="49">
        <f>SUM(D46:D47)</f>
        <v>0</v>
      </c>
      <c r="E48" s="49">
        <f>SUM(E46:E47)</f>
        <v>0</v>
      </c>
      <c r="F48" s="49">
        <f>SUM(F46:F47)</f>
        <v>0</v>
      </c>
      <c r="G48" s="49">
        <f t="shared" ref="G48:L48" si="18">SUM(G46:G47)</f>
        <v>0</v>
      </c>
      <c r="H48" s="49">
        <f t="shared" si="18"/>
        <v>0</v>
      </c>
      <c r="I48" s="49">
        <f t="shared" si="18"/>
        <v>0</v>
      </c>
      <c r="J48" s="49">
        <f t="shared" si="18"/>
        <v>0</v>
      </c>
      <c r="K48" s="49">
        <f t="shared" si="18"/>
        <v>0</v>
      </c>
      <c r="L48" s="49">
        <f t="shared" si="18"/>
        <v>0</v>
      </c>
      <c r="M48" s="49">
        <f>SUM(M46:M47)</f>
        <v>0</v>
      </c>
      <c r="N48" s="184"/>
      <c r="O48" s="184"/>
    </row>
    <row r="49" spans="1:15">
      <c r="A49" s="50" t="s">
        <v>79</v>
      </c>
      <c r="B49" s="181">
        <v>0</v>
      </c>
      <c r="C49" s="181">
        <v>0</v>
      </c>
      <c r="D49" s="181">
        <v>0</v>
      </c>
      <c r="E49" s="181">
        <v>0</v>
      </c>
      <c r="F49" s="181">
        <v>0</v>
      </c>
      <c r="G49" s="194">
        <v>0</v>
      </c>
      <c r="H49" s="194">
        <v>0</v>
      </c>
      <c r="I49" s="194">
        <v>0</v>
      </c>
      <c r="J49" s="194">
        <v>0</v>
      </c>
      <c r="K49" s="194">
        <v>0</v>
      </c>
      <c r="L49" s="194">
        <v>0</v>
      </c>
      <c r="M49" s="194">
        <v>0</v>
      </c>
      <c r="N49" s="184"/>
      <c r="O49" s="184"/>
    </row>
    <row r="50" spans="1:15">
      <c r="A50" s="50" t="s">
        <v>80</v>
      </c>
      <c r="B50" s="181">
        <v>0</v>
      </c>
      <c r="C50" s="181">
        <v>0</v>
      </c>
      <c r="D50" s="181">
        <v>0</v>
      </c>
      <c r="E50" s="181">
        <v>0</v>
      </c>
      <c r="F50" s="181">
        <v>0</v>
      </c>
      <c r="G50" s="194">
        <v>0</v>
      </c>
      <c r="H50" s="194">
        <v>0</v>
      </c>
      <c r="I50" s="194">
        <v>0</v>
      </c>
      <c r="J50" s="194">
        <v>0</v>
      </c>
      <c r="K50" s="194">
        <v>0</v>
      </c>
      <c r="L50" s="194">
        <v>0</v>
      </c>
      <c r="M50" s="194">
        <v>0</v>
      </c>
      <c r="N50" s="184"/>
      <c r="O50" s="184"/>
    </row>
    <row r="51" spans="1:15">
      <c r="A51" s="50" t="s">
        <v>81</v>
      </c>
      <c r="B51" s="181">
        <v>0</v>
      </c>
      <c r="C51" s="181">
        <v>0</v>
      </c>
      <c r="D51" s="181">
        <v>0</v>
      </c>
      <c r="E51" s="181">
        <v>0</v>
      </c>
      <c r="F51" s="181">
        <v>0</v>
      </c>
      <c r="G51" s="194">
        <v>0</v>
      </c>
      <c r="H51" s="194">
        <v>0</v>
      </c>
      <c r="I51" s="194">
        <v>0</v>
      </c>
      <c r="J51" s="194">
        <v>0</v>
      </c>
      <c r="K51" s="194">
        <v>0</v>
      </c>
      <c r="L51" s="194">
        <v>0</v>
      </c>
      <c r="M51" s="194">
        <v>0</v>
      </c>
      <c r="N51" s="184"/>
      <c r="O51" s="184"/>
    </row>
    <row r="52" spans="1:15">
      <c r="A52" s="50" t="s">
        <v>82</v>
      </c>
      <c r="B52" s="181">
        <v>0</v>
      </c>
      <c r="C52" s="181">
        <v>0</v>
      </c>
      <c r="D52" s="181">
        <v>0</v>
      </c>
      <c r="E52" s="181">
        <v>0</v>
      </c>
      <c r="F52" s="181">
        <v>0</v>
      </c>
      <c r="G52" s="194">
        <v>0</v>
      </c>
      <c r="H52" s="194">
        <v>0</v>
      </c>
      <c r="I52" s="194">
        <v>0</v>
      </c>
      <c r="J52" s="194">
        <v>0</v>
      </c>
      <c r="K52" s="194">
        <v>0</v>
      </c>
      <c r="L52" s="194">
        <v>0</v>
      </c>
      <c r="M52" s="194">
        <v>0</v>
      </c>
      <c r="N52" s="184"/>
      <c r="O52" s="184"/>
    </row>
    <row r="53" spans="1:15">
      <c r="A53" s="50" t="s">
        <v>83</v>
      </c>
      <c r="B53" s="181">
        <v>0</v>
      </c>
      <c r="C53" s="181">
        <v>0</v>
      </c>
      <c r="D53" s="181">
        <v>0</v>
      </c>
      <c r="E53" s="181">
        <v>0</v>
      </c>
      <c r="F53" s="181">
        <v>0</v>
      </c>
      <c r="G53" s="194">
        <v>0</v>
      </c>
      <c r="H53" s="194">
        <v>0</v>
      </c>
      <c r="I53" s="194">
        <v>0</v>
      </c>
      <c r="J53" s="194">
        <v>0</v>
      </c>
      <c r="K53" s="194">
        <v>0</v>
      </c>
      <c r="L53" s="194">
        <v>0</v>
      </c>
      <c r="M53" s="194">
        <v>0</v>
      </c>
      <c r="N53" s="184"/>
      <c r="O53" s="184"/>
    </row>
    <row r="54" spans="1:15">
      <c r="A54" s="50" t="s">
        <v>84</v>
      </c>
      <c r="B54" s="181">
        <v>0</v>
      </c>
      <c r="C54" s="181">
        <v>0</v>
      </c>
      <c r="D54" s="181">
        <v>0</v>
      </c>
      <c r="E54" s="181">
        <v>0</v>
      </c>
      <c r="F54" s="181">
        <v>0</v>
      </c>
      <c r="G54" s="187">
        <v>0</v>
      </c>
      <c r="H54" s="187">
        <v>0</v>
      </c>
      <c r="I54" s="187">
        <v>0</v>
      </c>
      <c r="J54" s="187">
        <v>0</v>
      </c>
      <c r="K54" s="187">
        <v>0</v>
      </c>
      <c r="L54" s="187">
        <v>0</v>
      </c>
      <c r="M54" s="187">
        <v>0</v>
      </c>
      <c r="N54" s="184"/>
      <c r="O54" s="184"/>
    </row>
    <row r="55" spans="1:15">
      <c r="A55" s="51" t="s">
        <v>85</v>
      </c>
      <c r="B55" s="61">
        <f t="shared" ref="B55:M55" si="19">B116</f>
        <v>7195225</v>
      </c>
      <c r="C55" s="61">
        <f t="shared" si="19"/>
        <v>7195225</v>
      </c>
      <c r="D55" s="61">
        <f t="shared" si="19"/>
        <v>7195225</v>
      </c>
      <c r="E55" s="61">
        <f t="shared" si="19"/>
        <v>7195225</v>
      </c>
      <c r="F55" s="61">
        <f t="shared" si="19"/>
        <v>7195225</v>
      </c>
      <c r="G55" s="61">
        <f t="shared" si="19"/>
        <v>7195225</v>
      </c>
      <c r="H55" s="61">
        <f t="shared" si="19"/>
        <v>7195225</v>
      </c>
      <c r="I55" s="61">
        <f t="shared" si="19"/>
        <v>7195225</v>
      </c>
      <c r="J55" s="61">
        <f t="shared" si="19"/>
        <v>7195225</v>
      </c>
      <c r="K55" s="61">
        <f t="shared" si="19"/>
        <v>7195225</v>
      </c>
      <c r="L55" s="61">
        <f t="shared" si="19"/>
        <v>7195224</v>
      </c>
      <c r="M55" s="61">
        <f t="shared" si="19"/>
        <v>7195225</v>
      </c>
      <c r="N55" s="184"/>
      <c r="O55" s="184"/>
    </row>
    <row r="56" spans="1:15">
      <c r="A56" s="52" t="s">
        <v>86</v>
      </c>
      <c r="B56" s="181">
        <v>8567000</v>
      </c>
      <c r="C56" s="33">
        <f>+B56</f>
        <v>8567000</v>
      </c>
      <c r="D56" s="33">
        <f t="shared" ref="D56:M56" si="20">+C56</f>
        <v>8567000</v>
      </c>
      <c r="E56" s="33">
        <f t="shared" si="20"/>
        <v>8567000</v>
      </c>
      <c r="F56" s="33">
        <f t="shared" si="20"/>
        <v>8567000</v>
      </c>
      <c r="G56" s="33">
        <f t="shared" si="20"/>
        <v>8567000</v>
      </c>
      <c r="H56" s="33">
        <f t="shared" si="20"/>
        <v>8567000</v>
      </c>
      <c r="I56" s="33">
        <f t="shared" si="20"/>
        <v>8567000</v>
      </c>
      <c r="J56" s="33">
        <f t="shared" si="20"/>
        <v>8567000</v>
      </c>
      <c r="K56" s="33">
        <f t="shared" si="20"/>
        <v>8567000</v>
      </c>
      <c r="L56" s="33">
        <f t="shared" si="20"/>
        <v>8567000</v>
      </c>
      <c r="M56" s="33">
        <f t="shared" si="20"/>
        <v>8567000</v>
      </c>
      <c r="N56" s="184"/>
      <c r="O56" s="184"/>
    </row>
    <row r="57" spans="1:15">
      <c r="A57" s="53" t="s">
        <v>79</v>
      </c>
      <c r="B57" s="195">
        <v>0</v>
      </c>
      <c r="C57" s="195">
        <v>0</v>
      </c>
      <c r="D57" s="195">
        <v>0</v>
      </c>
      <c r="E57" s="195">
        <v>0</v>
      </c>
      <c r="F57" s="195">
        <v>0</v>
      </c>
      <c r="G57" s="195">
        <v>0</v>
      </c>
      <c r="H57" s="195">
        <v>0</v>
      </c>
      <c r="I57" s="195">
        <v>0</v>
      </c>
      <c r="J57" s="195">
        <v>0</v>
      </c>
      <c r="K57" s="195">
        <v>0</v>
      </c>
      <c r="L57" s="195">
        <v>0</v>
      </c>
      <c r="M57" s="195">
        <v>0</v>
      </c>
      <c r="N57" s="184"/>
      <c r="O57" s="184"/>
    </row>
    <row r="58" spans="1:15">
      <c r="A58" s="54" t="s">
        <v>22</v>
      </c>
      <c r="B58" s="45">
        <f t="shared" ref="B58:M58" si="21">SUM(B56:B57)</f>
        <v>8567000</v>
      </c>
      <c r="C58" s="45">
        <f t="shared" si="21"/>
        <v>8567000</v>
      </c>
      <c r="D58" s="45">
        <f t="shared" si="21"/>
        <v>8567000</v>
      </c>
      <c r="E58" s="45">
        <f t="shared" si="21"/>
        <v>8567000</v>
      </c>
      <c r="F58" s="45">
        <f t="shared" si="21"/>
        <v>8567000</v>
      </c>
      <c r="G58" s="45">
        <f t="shared" si="21"/>
        <v>8567000</v>
      </c>
      <c r="H58" s="45">
        <f t="shared" si="21"/>
        <v>8567000</v>
      </c>
      <c r="I58" s="45">
        <f t="shared" si="21"/>
        <v>8567000</v>
      </c>
      <c r="J58" s="45">
        <f t="shared" si="21"/>
        <v>8567000</v>
      </c>
      <c r="K58" s="45">
        <f t="shared" si="21"/>
        <v>8567000</v>
      </c>
      <c r="L58" s="45">
        <f t="shared" si="21"/>
        <v>8567000</v>
      </c>
      <c r="M58" s="45">
        <f t="shared" si="21"/>
        <v>8567000</v>
      </c>
      <c r="N58" s="184"/>
      <c r="O58" s="184"/>
    </row>
    <row r="59" spans="1:15">
      <c r="A59" s="55" t="s">
        <v>87</v>
      </c>
      <c r="B59" s="181">
        <v>861468</v>
      </c>
      <c r="C59" s="181">
        <v>861468</v>
      </c>
      <c r="D59" s="181">
        <v>861468</v>
      </c>
      <c r="E59" s="181">
        <v>861468</v>
      </c>
      <c r="F59" s="181">
        <v>861468</v>
      </c>
      <c r="G59" s="181">
        <v>859690</v>
      </c>
      <c r="H59" s="181">
        <v>859690</v>
      </c>
      <c r="I59" s="181">
        <v>859690</v>
      </c>
      <c r="J59" s="181">
        <v>859690</v>
      </c>
      <c r="K59" s="181">
        <v>859690</v>
      </c>
      <c r="L59" s="181">
        <v>859690</v>
      </c>
      <c r="M59" s="181">
        <v>859690</v>
      </c>
      <c r="N59" s="184"/>
      <c r="O59" s="184"/>
    </row>
    <row r="60" spans="1:15">
      <c r="A60" s="53" t="s">
        <v>32</v>
      </c>
      <c r="B60" s="181">
        <v>40500</v>
      </c>
      <c r="C60" s="181">
        <v>40500</v>
      </c>
      <c r="D60" s="181">
        <v>40500</v>
      </c>
      <c r="E60" s="181">
        <v>40500</v>
      </c>
      <c r="F60" s="181">
        <v>40500</v>
      </c>
      <c r="G60" s="189">
        <v>38300</v>
      </c>
      <c r="H60" s="189">
        <v>38300</v>
      </c>
      <c r="I60" s="189">
        <v>38300</v>
      </c>
      <c r="J60" s="189">
        <v>38300</v>
      </c>
      <c r="K60" s="189">
        <v>38300</v>
      </c>
      <c r="L60" s="189">
        <v>38300</v>
      </c>
      <c r="M60" s="189">
        <v>38300</v>
      </c>
      <c r="N60" s="184"/>
      <c r="O60" s="184"/>
    </row>
    <row r="61" spans="1:15">
      <c r="A61" s="53" t="s">
        <v>88</v>
      </c>
      <c r="B61" s="181">
        <v>0</v>
      </c>
      <c r="C61" s="181">
        <v>0</v>
      </c>
      <c r="D61" s="181">
        <v>0</v>
      </c>
      <c r="E61" s="181">
        <v>0</v>
      </c>
      <c r="F61" s="181">
        <v>0</v>
      </c>
      <c r="G61" s="181">
        <v>0</v>
      </c>
      <c r="H61" s="181">
        <v>0</v>
      </c>
      <c r="I61" s="181">
        <v>0</v>
      </c>
      <c r="J61" s="181">
        <v>0</v>
      </c>
      <c r="K61" s="181">
        <v>0</v>
      </c>
      <c r="L61" s="181">
        <v>0</v>
      </c>
      <c r="M61" s="181">
        <v>0</v>
      </c>
      <c r="N61" s="184"/>
      <c r="O61" s="184"/>
    </row>
    <row r="62" spans="1:15">
      <c r="A62" s="53" t="s">
        <v>189</v>
      </c>
      <c r="B62" s="181">
        <v>49242</v>
      </c>
      <c r="C62" s="181">
        <v>49242</v>
      </c>
      <c r="D62" s="181">
        <v>49242</v>
      </c>
      <c r="E62" s="181">
        <v>49242</v>
      </c>
      <c r="F62" s="181">
        <v>49242</v>
      </c>
      <c r="G62" s="181">
        <v>46750</v>
      </c>
      <c r="H62" s="181">
        <v>46750</v>
      </c>
      <c r="I62" s="181">
        <v>46750</v>
      </c>
      <c r="J62" s="181">
        <v>46750</v>
      </c>
      <c r="K62" s="181">
        <v>46750</v>
      </c>
      <c r="L62" s="181">
        <v>46750</v>
      </c>
      <c r="M62" s="181">
        <v>46750</v>
      </c>
      <c r="N62" s="184"/>
      <c r="O62" s="184"/>
    </row>
    <row r="63" spans="1:15">
      <c r="A63" s="53" t="s">
        <v>89</v>
      </c>
      <c r="B63" s="185">
        <v>64167</v>
      </c>
      <c r="C63" s="62">
        <f>+B63</f>
        <v>64167</v>
      </c>
      <c r="D63" s="62">
        <f t="shared" ref="D63:M63" si="22">+C63</f>
        <v>64167</v>
      </c>
      <c r="E63" s="62">
        <f t="shared" si="22"/>
        <v>64167</v>
      </c>
      <c r="F63" s="62">
        <f t="shared" si="22"/>
        <v>64167</v>
      </c>
      <c r="G63" s="62">
        <f t="shared" si="22"/>
        <v>64167</v>
      </c>
      <c r="H63" s="62">
        <f t="shared" si="22"/>
        <v>64167</v>
      </c>
      <c r="I63" s="62">
        <f t="shared" si="22"/>
        <v>64167</v>
      </c>
      <c r="J63" s="62">
        <f t="shared" si="22"/>
        <v>64167</v>
      </c>
      <c r="K63" s="62">
        <f t="shared" si="22"/>
        <v>64167</v>
      </c>
      <c r="L63" s="62">
        <f t="shared" si="22"/>
        <v>64167</v>
      </c>
      <c r="M63" s="62">
        <f t="shared" si="22"/>
        <v>64167</v>
      </c>
      <c r="N63" s="184"/>
      <c r="O63" s="184"/>
    </row>
    <row r="64" spans="1:15">
      <c r="A64" s="54" t="s">
        <v>33</v>
      </c>
      <c r="B64" s="45">
        <f t="shared" ref="B64:M64" si="23">SUM(B59:B63)</f>
        <v>1015377</v>
      </c>
      <c r="C64" s="45">
        <f t="shared" si="23"/>
        <v>1015377</v>
      </c>
      <c r="D64" s="45">
        <f t="shared" si="23"/>
        <v>1015377</v>
      </c>
      <c r="E64" s="45">
        <f t="shared" si="23"/>
        <v>1015377</v>
      </c>
      <c r="F64" s="45">
        <f t="shared" si="23"/>
        <v>1015377</v>
      </c>
      <c r="G64" s="45">
        <f t="shared" si="23"/>
        <v>1008907</v>
      </c>
      <c r="H64" s="45">
        <f t="shared" si="23"/>
        <v>1008907</v>
      </c>
      <c r="I64" s="45">
        <f t="shared" si="23"/>
        <v>1008907</v>
      </c>
      <c r="J64" s="45">
        <f t="shared" si="23"/>
        <v>1008907</v>
      </c>
      <c r="K64" s="45">
        <f t="shared" si="23"/>
        <v>1008907</v>
      </c>
      <c r="L64" s="45">
        <f t="shared" si="23"/>
        <v>1008907</v>
      </c>
      <c r="M64" s="45">
        <f t="shared" si="23"/>
        <v>1008907</v>
      </c>
      <c r="N64" s="184"/>
      <c r="O64" s="184"/>
    </row>
    <row r="65" spans="1:15">
      <c r="A65" s="53" t="s">
        <v>90</v>
      </c>
      <c r="B65" s="181">
        <v>2746598</v>
      </c>
      <c r="C65" s="181">
        <v>2746598</v>
      </c>
      <c r="D65" s="181">
        <v>2746598</v>
      </c>
      <c r="E65" s="181">
        <v>2746598</v>
      </c>
      <c r="F65" s="181">
        <v>2746598</v>
      </c>
      <c r="G65" s="181">
        <v>2747103</v>
      </c>
      <c r="H65" s="181">
        <v>2747103</v>
      </c>
      <c r="I65" s="181">
        <v>2747103</v>
      </c>
      <c r="J65" s="194">
        <v>2711039</v>
      </c>
      <c r="K65" s="194">
        <v>2711039</v>
      </c>
      <c r="L65" s="194">
        <v>2711039</v>
      </c>
      <c r="M65" s="194">
        <v>2711039</v>
      </c>
      <c r="N65" s="184"/>
      <c r="O65" s="184"/>
    </row>
    <row r="66" spans="1:15">
      <c r="A66" s="53" t="s">
        <v>32</v>
      </c>
      <c r="B66" s="181">
        <v>30400</v>
      </c>
      <c r="C66" s="181">
        <v>30400</v>
      </c>
      <c r="D66" s="181">
        <v>30400</v>
      </c>
      <c r="E66" s="181">
        <v>30400</v>
      </c>
      <c r="F66" s="181">
        <v>30400</v>
      </c>
      <c r="G66" s="181">
        <v>29700</v>
      </c>
      <c r="H66" s="181">
        <v>29700</v>
      </c>
      <c r="I66" s="181">
        <v>29700</v>
      </c>
      <c r="J66" s="181">
        <v>29700</v>
      </c>
      <c r="K66" s="181">
        <v>29700</v>
      </c>
      <c r="L66" s="181">
        <v>29700</v>
      </c>
      <c r="M66" s="181">
        <v>29700</v>
      </c>
      <c r="N66" s="184"/>
      <c r="O66" s="184"/>
    </row>
    <row r="67" spans="1:15">
      <c r="A67" s="53" t="s">
        <v>107</v>
      </c>
      <c r="B67" s="181">
        <v>5114</v>
      </c>
      <c r="C67" s="181">
        <v>5114</v>
      </c>
      <c r="D67" s="181">
        <v>5114</v>
      </c>
      <c r="E67" s="181">
        <v>5114</v>
      </c>
      <c r="F67" s="181">
        <v>5114</v>
      </c>
      <c r="G67" s="194">
        <v>4880</v>
      </c>
      <c r="H67" s="194">
        <v>4880</v>
      </c>
      <c r="I67" s="194">
        <v>4880</v>
      </c>
      <c r="J67" s="194">
        <v>4880</v>
      </c>
      <c r="K67" s="194">
        <v>4880</v>
      </c>
      <c r="L67" s="194">
        <v>4880</v>
      </c>
      <c r="M67" s="194">
        <v>4880</v>
      </c>
      <c r="N67" s="184"/>
      <c r="O67" s="184"/>
    </row>
    <row r="68" spans="1:15">
      <c r="A68" s="56" t="s">
        <v>91</v>
      </c>
      <c r="B68" s="181">
        <v>3235</v>
      </c>
      <c r="C68" s="181">
        <v>3235</v>
      </c>
      <c r="D68" s="181">
        <v>3235</v>
      </c>
      <c r="E68" s="181">
        <v>3235</v>
      </c>
      <c r="F68" s="181">
        <v>3235</v>
      </c>
      <c r="G68" s="194">
        <v>3567</v>
      </c>
      <c r="H68" s="194">
        <v>3567</v>
      </c>
      <c r="I68" s="194">
        <v>3567</v>
      </c>
      <c r="J68" s="194">
        <v>3567</v>
      </c>
      <c r="K68" s="194">
        <v>3567</v>
      </c>
      <c r="L68" s="194">
        <v>3567</v>
      </c>
      <c r="M68" s="194">
        <v>3567</v>
      </c>
      <c r="N68" s="184"/>
      <c r="O68" s="184"/>
    </row>
    <row r="69" spans="1:15">
      <c r="A69" s="53" t="s">
        <v>92</v>
      </c>
      <c r="B69" s="181">
        <v>11037</v>
      </c>
      <c r="C69" s="181">
        <v>11037</v>
      </c>
      <c r="D69" s="181">
        <v>11037</v>
      </c>
      <c r="E69" s="181">
        <v>11037</v>
      </c>
      <c r="F69" s="181">
        <v>11037</v>
      </c>
      <c r="G69" s="194">
        <v>11134</v>
      </c>
      <c r="H69" s="194">
        <v>11134</v>
      </c>
      <c r="I69" s="194">
        <v>11134</v>
      </c>
      <c r="J69" s="194">
        <v>11134</v>
      </c>
      <c r="K69" s="194">
        <v>11134</v>
      </c>
      <c r="L69" s="194">
        <v>11134</v>
      </c>
      <c r="M69" s="194">
        <v>11134</v>
      </c>
      <c r="N69" s="184"/>
      <c r="O69" s="184"/>
    </row>
    <row r="70" spans="1:15">
      <c r="A70" s="53" t="s">
        <v>33</v>
      </c>
      <c r="B70" s="222">
        <v>114616</v>
      </c>
      <c r="C70" s="222">
        <v>114616</v>
      </c>
      <c r="D70" s="222">
        <v>114616</v>
      </c>
      <c r="E70" s="222">
        <v>114616</v>
      </c>
      <c r="F70" s="222">
        <v>114616</v>
      </c>
      <c r="G70" s="222">
        <v>114616</v>
      </c>
      <c r="H70" s="222">
        <v>114616</v>
      </c>
      <c r="I70" s="222">
        <v>114616</v>
      </c>
      <c r="J70" s="222">
        <v>114616</v>
      </c>
      <c r="K70" s="222">
        <v>114616</v>
      </c>
      <c r="L70" s="222">
        <v>114616</v>
      </c>
      <c r="M70" s="222">
        <v>114616</v>
      </c>
      <c r="N70" s="184"/>
      <c r="O70" s="184"/>
    </row>
    <row r="71" spans="1:15">
      <c r="A71" s="53" t="s">
        <v>276</v>
      </c>
      <c r="B71" s="269"/>
      <c r="C71" s="269"/>
      <c r="D71" s="269"/>
      <c r="E71" s="269"/>
      <c r="F71" s="269"/>
      <c r="G71" s="269"/>
      <c r="H71" s="269"/>
      <c r="I71" s="269"/>
      <c r="J71" s="269">
        <v>36064</v>
      </c>
      <c r="K71" s="269">
        <v>36064</v>
      </c>
      <c r="L71" s="269">
        <v>36064</v>
      </c>
      <c r="M71" s="269">
        <v>36064</v>
      </c>
      <c r="N71" s="184"/>
      <c r="O71" s="184"/>
    </row>
    <row r="72" spans="1:15">
      <c r="A72" s="54" t="s">
        <v>23</v>
      </c>
      <c r="B72" s="45">
        <f>SUM(B65:B71)</f>
        <v>2911000</v>
      </c>
      <c r="C72" s="45">
        <f>SUM(C65:C71)</f>
        <v>2911000</v>
      </c>
      <c r="D72" s="45">
        <f>SUM(D65:D71)</f>
        <v>2911000</v>
      </c>
      <c r="E72" s="45">
        <f>SUM(E65:E71)</f>
        <v>2911000</v>
      </c>
      <c r="F72" s="45">
        <f>SUM(F65:F71)</f>
        <v>2911000</v>
      </c>
      <c r="G72" s="45">
        <f t="shared" ref="G72:M72" si="24">SUM(G65:G71)</f>
        <v>2911000</v>
      </c>
      <c r="H72" s="45">
        <f t="shared" si="24"/>
        <v>2911000</v>
      </c>
      <c r="I72" s="45">
        <f t="shared" si="24"/>
        <v>2911000</v>
      </c>
      <c r="J72" s="45">
        <f t="shared" si="24"/>
        <v>2911000</v>
      </c>
      <c r="K72" s="45">
        <f t="shared" si="24"/>
        <v>2911000</v>
      </c>
      <c r="L72" s="45">
        <f t="shared" si="24"/>
        <v>2911000</v>
      </c>
      <c r="M72" s="45">
        <f t="shared" si="24"/>
        <v>2911000</v>
      </c>
      <c r="N72" s="184"/>
      <c r="O72" s="184"/>
    </row>
    <row r="73" spans="1:15">
      <c r="A73" s="199" t="s">
        <v>93</v>
      </c>
      <c r="B73" s="181">
        <v>1711800</v>
      </c>
      <c r="C73" s="33">
        <f>+B73</f>
        <v>1711800</v>
      </c>
      <c r="D73" s="33">
        <f t="shared" ref="D73:M74" si="25">+C73</f>
        <v>1711800</v>
      </c>
      <c r="E73" s="33">
        <f t="shared" si="25"/>
        <v>1711800</v>
      </c>
      <c r="F73" s="33">
        <f t="shared" si="25"/>
        <v>1711800</v>
      </c>
      <c r="G73" s="33">
        <f t="shared" si="25"/>
        <v>1711800</v>
      </c>
      <c r="H73" s="33">
        <f t="shared" si="25"/>
        <v>1711800</v>
      </c>
      <c r="I73" s="33">
        <f t="shared" si="25"/>
        <v>1711800</v>
      </c>
      <c r="J73" s="33">
        <f t="shared" si="25"/>
        <v>1711800</v>
      </c>
      <c r="K73" s="33">
        <f t="shared" si="25"/>
        <v>1711800</v>
      </c>
      <c r="L73" s="33">
        <f t="shared" si="25"/>
        <v>1711800</v>
      </c>
      <c r="M73" s="33">
        <f t="shared" si="25"/>
        <v>1711800</v>
      </c>
      <c r="N73" s="184"/>
      <c r="O73" s="184"/>
    </row>
    <row r="74" spans="1:15">
      <c r="A74" s="200" t="s">
        <v>33</v>
      </c>
      <c r="B74" s="185">
        <v>187988</v>
      </c>
      <c r="C74" s="62">
        <f>+B74</f>
        <v>187988</v>
      </c>
      <c r="D74" s="62">
        <f t="shared" si="25"/>
        <v>187988</v>
      </c>
      <c r="E74" s="62">
        <f t="shared" si="25"/>
        <v>187988</v>
      </c>
      <c r="F74" s="62">
        <f t="shared" si="25"/>
        <v>187988</v>
      </c>
      <c r="G74" s="62">
        <f t="shared" si="25"/>
        <v>187988</v>
      </c>
      <c r="H74" s="62">
        <f t="shared" si="25"/>
        <v>187988</v>
      </c>
      <c r="I74" s="62">
        <f t="shared" si="25"/>
        <v>187988</v>
      </c>
      <c r="J74" s="62">
        <f t="shared" si="25"/>
        <v>187988</v>
      </c>
      <c r="K74" s="62">
        <f t="shared" si="25"/>
        <v>187988</v>
      </c>
      <c r="L74" s="62">
        <f t="shared" si="25"/>
        <v>187988</v>
      </c>
      <c r="M74" s="62">
        <f t="shared" si="25"/>
        <v>187988</v>
      </c>
      <c r="N74" s="184"/>
      <c r="O74" s="184"/>
    </row>
    <row r="75" spans="1:15">
      <c r="A75" s="57" t="s">
        <v>31</v>
      </c>
      <c r="B75" s="45">
        <f t="shared" ref="B75:M75" si="26">SUM(B73:B74)</f>
        <v>1899788</v>
      </c>
      <c r="C75" s="45">
        <f t="shared" si="26"/>
        <v>1899788</v>
      </c>
      <c r="D75" s="45">
        <f t="shared" si="26"/>
        <v>1899788</v>
      </c>
      <c r="E75" s="45">
        <f t="shared" si="26"/>
        <v>1899788</v>
      </c>
      <c r="F75" s="45">
        <f t="shared" si="26"/>
        <v>1899788</v>
      </c>
      <c r="G75" s="45">
        <f t="shared" si="26"/>
        <v>1899788</v>
      </c>
      <c r="H75" s="45">
        <f t="shared" si="26"/>
        <v>1899788</v>
      </c>
      <c r="I75" s="45">
        <f t="shared" si="26"/>
        <v>1899788</v>
      </c>
      <c r="J75" s="45">
        <f t="shared" si="26"/>
        <v>1899788</v>
      </c>
      <c r="K75" s="45">
        <f t="shared" si="26"/>
        <v>1899788</v>
      </c>
      <c r="L75" s="45">
        <f t="shared" si="26"/>
        <v>1899788</v>
      </c>
      <c r="M75" s="45">
        <f t="shared" si="26"/>
        <v>1899788</v>
      </c>
      <c r="N75" s="184"/>
      <c r="O75" s="184"/>
    </row>
    <row r="76" spans="1:15">
      <c r="A76" s="58" t="s">
        <v>94</v>
      </c>
      <c r="B76" s="181">
        <v>670317</v>
      </c>
      <c r="C76" s="33">
        <f>+B76</f>
        <v>670317</v>
      </c>
      <c r="D76" s="33">
        <f t="shared" ref="D76:M77" si="27">+C76</f>
        <v>670317</v>
      </c>
      <c r="E76" s="33">
        <f t="shared" si="27"/>
        <v>670317</v>
      </c>
      <c r="F76" s="33">
        <f t="shared" si="27"/>
        <v>670317</v>
      </c>
      <c r="G76" s="33">
        <f t="shared" si="27"/>
        <v>670317</v>
      </c>
      <c r="H76" s="33">
        <f t="shared" si="27"/>
        <v>670317</v>
      </c>
      <c r="I76" s="33">
        <f t="shared" si="27"/>
        <v>670317</v>
      </c>
      <c r="J76" s="33">
        <f t="shared" si="27"/>
        <v>670317</v>
      </c>
      <c r="K76" s="33">
        <f t="shared" si="27"/>
        <v>670317</v>
      </c>
      <c r="L76" s="33">
        <f t="shared" si="27"/>
        <v>670317</v>
      </c>
      <c r="M76" s="33">
        <f t="shared" si="27"/>
        <v>670317</v>
      </c>
      <c r="N76" s="184"/>
      <c r="O76" s="184"/>
    </row>
    <row r="77" spans="1:15">
      <c r="A77" s="56" t="s">
        <v>123</v>
      </c>
      <c r="B77" s="181">
        <v>106669</v>
      </c>
      <c r="C77" s="33">
        <f>+B77</f>
        <v>106669</v>
      </c>
      <c r="D77" s="33">
        <f t="shared" si="27"/>
        <v>106669</v>
      </c>
      <c r="E77" s="33">
        <f t="shared" si="27"/>
        <v>106669</v>
      </c>
      <c r="F77" s="33">
        <f t="shared" si="27"/>
        <v>106669</v>
      </c>
      <c r="G77" s="33">
        <f t="shared" si="27"/>
        <v>106669</v>
      </c>
      <c r="H77" s="33">
        <f t="shared" si="27"/>
        <v>106669</v>
      </c>
      <c r="I77" s="33">
        <f t="shared" si="27"/>
        <v>106669</v>
      </c>
      <c r="J77" s="33">
        <f t="shared" si="27"/>
        <v>106669</v>
      </c>
      <c r="K77" s="33">
        <f t="shared" si="27"/>
        <v>106669</v>
      </c>
      <c r="L77" s="33">
        <f t="shared" si="27"/>
        <v>106669</v>
      </c>
      <c r="M77" s="33">
        <f t="shared" si="27"/>
        <v>106669</v>
      </c>
      <c r="N77" s="184"/>
      <c r="O77" s="184"/>
    </row>
    <row r="78" spans="1:15">
      <c r="A78" s="56" t="s">
        <v>277</v>
      </c>
      <c r="B78" s="242"/>
      <c r="C78" s="270"/>
      <c r="D78" s="270"/>
      <c r="E78" s="270"/>
      <c r="F78" s="270"/>
      <c r="G78" s="270"/>
      <c r="H78" s="270"/>
      <c r="I78" s="270"/>
      <c r="J78" s="270"/>
      <c r="K78" s="270"/>
      <c r="L78" s="270"/>
      <c r="M78" s="270"/>
      <c r="N78" s="184"/>
      <c r="O78" s="184"/>
    </row>
    <row r="79" spans="1:15">
      <c r="A79" s="56" t="s">
        <v>278</v>
      </c>
      <c r="B79" s="242"/>
      <c r="C79" s="270"/>
      <c r="D79" s="270"/>
      <c r="E79" s="270"/>
      <c r="F79" s="270"/>
      <c r="G79" s="270"/>
      <c r="H79" s="270"/>
      <c r="I79" s="270"/>
      <c r="J79" s="270"/>
      <c r="K79" s="270"/>
      <c r="L79" s="270"/>
      <c r="M79" s="270"/>
      <c r="N79" s="184"/>
      <c r="O79" s="184"/>
    </row>
    <row r="80" spans="1:15">
      <c r="A80" s="56" t="s">
        <v>33</v>
      </c>
      <c r="B80" s="185">
        <v>144622</v>
      </c>
      <c r="C80" s="62">
        <f>+B80</f>
        <v>144622</v>
      </c>
      <c r="D80" s="62">
        <f t="shared" ref="D80:M80" si="28">+C80</f>
        <v>144622</v>
      </c>
      <c r="E80" s="62">
        <f t="shared" si="28"/>
        <v>144622</v>
      </c>
      <c r="F80" s="62">
        <f t="shared" si="28"/>
        <v>144622</v>
      </c>
      <c r="G80" s="62">
        <f t="shared" si="28"/>
        <v>144622</v>
      </c>
      <c r="H80" s="62">
        <f t="shared" si="28"/>
        <v>144622</v>
      </c>
      <c r="I80" s="62">
        <f t="shared" si="28"/>
        <v>144622</v>
      </c>
      <c r="J80" s="62">
        <f t="shared" si="28"/>
        <v>144622</v>
      </c>
      <c r="K80" s="62">
        <f t="shared" si="28"/>
        <v>144622</v>
      </c>
      <c r="L80" s="62">
        <f t="shared" si="28"/>
        <v>144622</v>
      </c>
      <c r="M80" s="62">
        <f t="shared" si="28"/>
        <v>144622</v>
      </c>
      <c r="N80" s="184"/>
      <c r="O80" s="184"/>
    </row>
    <row r="81" spans="1:15">
      <c r="A81" s="57" t="s">
        <v>34</v>
      </c>
      <c r="B81" s="45">
        <f t="shared" ref="B81:M81" si="29">SUM(B76:B80)</f>
        <v>921608</v>
      </c>
      <c r="C81" s="45">
        <f t="shared" si="29"/>
        <v>921608</v>
      </c>
      <c r="D81" s="45">
        <f t="shared" si="29"/>
        <v>921608</v>
      </c>
      <c r="E81" s="45">
        <f t="shared" si="29"/>
        <v>921608</v>
      </c>
      <c r="F81" s="45">
        <f t="shared" si="29"/>
        <v>921608</v>
      </c>
      <c r="G81" s="45">
        <f t="shared" si="29"/>
        <v>921608</v>
      </c>
      <c r="H81" s="45">
        <f t="shared" si="29"/>
        <v>921608</v>
      </c>
      <c r="I81" s="45">
        <f t="shared" si="29"/>
        <v>921608</v>
      </c>
      <c r="J81" s="45">
        <f t="shared" si="29"/>
        <v>921608</v>
      </c>
      <c r="K81" s="45">
        <f t="shared" si="29"/>
        <v>921608</v>
      </c>
      <c r="L81" s="45">
        <f t="shared" si="29"/>
        <v>921608</v>
      </c>
      <c r="M81" s="45">
        <f t="shared" si="29"/>
        <v>921608</v>
      </c>
      <c r="N81" s="184"/>
      <c r="O81" s="184"/>
    </row>
    <row r="82" spans="1:15">
      <c r="A82" s="58" t="s">
        <v>89</v>
      </c>
      <c r="B82" s="181">
        <v>7111284</v>
      </c>
      <c r="C82" s="181">
        <v>7111284</v>
      </c>
      <c r="D82" s="181">
        <v>7111284</v>
      </c>
      <c r="E82" s="181">
        <v>7111284</v>
      </c>
      <c r="F82" s="181">
        <v>7111284</v>
      </c>
      <c r="G82" s="194">
        <v>7112762</v>
      </c>
      <c r="H82" s="194">
        <v>7112762</v>
      </c>
      <c r="I82" s="194">
        <v>7112762</v>
      </c>
      <c r="J82" s="194">
        <v>7112762</v>
      </c>
      <c r="K82" s="194">
        <v>7112762</v>
      </c>
      <c r="L82" s="194">
        <v>7112762</v>
      </c>
      <c r="M82" s="194">
        <v>7112762</v>
      </c>
      <c r="N82" s="184"/>
      <c r="O82" s="184"/>
    </row>
    <row r="83" spans="1:15">
      <c r="A83" s="56" t="s">
        <v>32</v>
      </c>
      <c r="B83" s="181">
        <v>129900</v>
      </c>
      <c r="C83" s="181">
        <v>129900</v>
      </c>
      <c r="D83" s="181">
        <v>129900</v>
      </c>
      <c r="E83" s="181">
        <v>129900</v>
      </c>
      <c r="F83" s="181">
        <v>129900</v>
      </c>
      <c r="G83" s="194">
        <v>127300</v>
      </c>
      <c r="H83" s="194">
        <v>127300</v>
      </c>
      <c r="I83" s="194">
        <v>127300</v>
      </c>
      <c r="J83" s="194">
        <v>127300</v>
      </c>
      <c r="K83" s="194">
        <v>127300</v>
      </c>
      <c r="L83" s="194">
        <v>127300</v>
      </c>
      <c r="M83" s="194">
        <v>127300</v>
      </c>
      <c r="N83" s="184"/>
      <c r="O83" s="184"/>
    </row>
    <row r="84" spans="1:15">
      <c r="A84" s="56" t="s">
        <v>124</v>
      </c>
      <c r="B84" s="181">
        <v>7518</v>
      </c>
      <c r="C84" s="181">
        <v>7518</v>
      </c>
      <c r="D84" s="181">
        <v>7518</v>
      </c>
      <c r="E84" s="181">
        <v>7518</v>
      </c>
      <c r="F84" s="181">
        <v>7518</v>
      </c>
      <c r="G84" s="194">
        <v>5508</v>
      </c>
      <c r="H84" s="194">
        <v>5508</v>
      </c>
      <c r="I84" s="194">
        <v>5508</v>
      </c>
      <c r="J84" s="194">
        <v>5508</v>
      </c>
      <c r="K84" s="194">
        <v>5508</v>
      </c>
      <c r="L84" s="194">
        <v>5508</v>
      </c>
      <c r="M84" s="194">
        <v>5508</v>
      </c>
      <c r="N84" s="184"/>
      <c r="O84" s="184"/>
    </row>
    <row r="85" spans="1:15">
      <c r="A85" s="56" t="s">
        <v>279</v>
      </c>
      <c r="B85" s="181"/>
      <c r="C85" s="181"/>
      <c r="D85" s="181"/>
      <c r="E85" s="181"/>
      <c r="F85" s="181"/>
      <c r="G85" s="194"/>
      <c r="H85" s="194"/>
      <c r="I85" s="194"/>
      <c r="J85" s="194"/>
      <c r="K85" s="194"/>
      <c r="L85" s="194"/>
      <c r="M85" s="194"/>
      <c r="N85" s="184"/>
      <c r="O85" s="184"/>
    </row>
    <row r="86" spans="1:15">
      <c r="A86" s="56" t="s">
        <v>95</v>
      </c>
      <c r="B86" s="181">
        <v>9247</v>
      </c>
      <c r="C86" s="181">
        <v>9247</v>
      </c>
      <c r="D86" s="181">
        <v>9247</v>
      </c>
      <c r="E86" s="181">
        <v>9247</v>
      </c>
      <c r="F86" s="181">
        <v>9247</v>
      </c>
      <c r="G86" s="194">
        <v>9624</v>
      </c>
      <c r="H86" s="194">
        <v>9624</v>
      </c>
      <c r="I86" s="194">
        <v>9624</v>
      </c>
      <c r="J86" s="194">
        <v>9624</v>
      </c>
      <c r="K86" s="194">
        <v>9624</v>
      </c>
      <c r="L86" s="194">
        <v>9624</v>
      </c>
      <c r="M86" s="194">
        <v>9624</v>
      </c>
      <c r="N86" s="184"/>
      <c r="O86" s="184"/>
    </row>
    <row r="87" spans="1:15">
      <c r="A87" s="56" t="s">
        <v>96</v>
      </c>
      <c r="B87" s="181">
        <v>8951</v>
      </c>
      <c r="C87" s="181">
        <v>8951</v>
      </c>
      <c r="D87" s="181">
        <v>8951</v>
      </c>
      <c r="E87" s="181">
        <v>8951</v>
      </c>
      <c r="F87" s="181">
        <v>8951</v>
      </c>
      <c r="G87" s="194">
        <v>9106</v>
      </c>
      <c r="H87" s="194">
        <v>9106</v>
      </c>
      <c r="I87" s="194">
        <v>9106</v>
      </c>
      <c r="J87" s="194">
        <v>9106</v>
      </c>
      <c r="K87" s="194">
        <v>9106</v>
      </c>
      <c r="L87" s="194">
        <v>9106</v>
      </c>
      <c r="M87" s="194">
        <v>9106</v>
      </c>
      <c r="N87" s="184"/>
      <c r="O87" s="184"/>
    </row>
    <row r="88" spans="1:15">
      <c r="A88" s="56" t="s">
        <v>280</v>
      </c>
      <c r="B88" s="242"/>
      <c r="C88" s="242"/>
      <c r="D88" s="242"/>
      <c r="E88" s="242"/>
      <c r="F88" s="242"/>
      <c r="G88" s="271"/>
      <c r="H88" s="271"/>
      <c r="I88" s="271"/>
      <c r="J88" s="271"/>
      <c r="K88" s="271"/>
      <c r="L88" s="271"/>
      <c r="M88" s="271"/>
      <c r="N88" s="184"/>
      <c r="O88" s="184"/>
    </row>
    <row r="89" spans="1:15">
      <c r="A89" s="56" t="s">
        <v>33</v>
      </c>
      <c r="B89" s="185">
        <v>721944</v>
      </c>
      <c r="C89" s="62">
        <f>+B89</f>
        <v>721944</v>
      </c>
      <c r="D89" s="62">
        <f t="shared" ref="D89:M89" si="30">+C89</f>
        <v>721944</v>
      </c>
      <c r="E89" s="62">
        <f t="shared" si="30"/>
        <v>721944</v>
      </c>
      <c r="F89" s="62">
        <f t="shared" si="30"/>
        <v>721944</v>
      </c>
      <c r="G89" s="62">
        <f t="shared" si="30"/>
        <v>721944</v>
      </c>
      <c r="H89" s="62">
        <f t="shared" si="30"/>
        <v>721944</v>
      </c>
      <c r="I89" s="62">
        <f t="shared" si="30"/>
        <v>721944</v>
      </c>
      <c r="J89" s="62">
        <f t="shared" si="30"/>
        <v>721944</v>
      </c>
      <c r="K89" s="62">
        <f t="shared" si="30"/>
        <v>721944</v>
      </c>
      <c r="L89" s="62">
        <f t="shared" si="30"/>
        <v>721944</v>
      </c>
      <c r="M89" s="62">
        <f t="shared" si="30"/>
        <v>721944</v>
      </c>
      <c r="N89" s="184"/>
      <c r="O89" s="184"/>
    </row>
    <row r="90" spans="1:15">
      <c r="A90" s="57" t="s">
        <v>30</v>
      </c>
      <c r="B90" s="45">
        <f t="shared" ref="B90:M90" si="31">SUM(B82:B89)</f>
        <v>7988844</v>
      </c>
      <c r="C90" s="45">
        <f t="shared" si="31"/>
        <v>7988844</v>
      </c>
      <c r="D90" s="45">
        <f t="shared" si="31"/>
        <v>7988844</v>
      </c>
      <c r="E90" s="45">
        <f t="shared" si="31"/>
        <v>7988844</v>
      </c>
      <c r="F90" s="45">
        <f t="shared" si="31"/>
        <v>7988844</v>
      </c>
      <c r="G90" s="45">
        <f t="shared" si="31"/>
        <v>7986244</v>
      </c>
      <c r="H90" s="45">
        <f t="shared" si="31"/>
        <v>7986244</v>
      </c>
      <c r="I90" s="45">
        <f t="shared" si="31"/>
        <v>7986244</v>
      </c>
      <c r="J90" s="45">
        <f t="shared" si="31"/>
        <v>7986244</v>
      </c>
      <c r="K90" s="45">
        <f t="shared" si="31"/>
        <v>7986244</v>
      </c>
      <c r="L90" s="45">
        <f t="shared" si="31"/>
        <v>7986244</v>
      </c>
      <c r="M90" s="45">
        <f t="shared" si="31"/>
        <v>7986244</v>
      </c>
      <c r="N90" s="184"/>
      <c r="O90" s="184"/>
    </row>
    <row r="91" spans="1:15">
      <c r="A91" s="58" t="s">
        <v>112</v>
      </c>
      <c r="B91" s="189">
        <v>3814142</v>
      </c>
      <c r="C91" s="64">
        <f>+B91</f>
        <v>3814142</v>
      </c>
      <c r="D91" s="64">
        <f t="shared" ref="D91:M91" si="32">+C91</f>
        <v>3814142</v>
      </c>
      <c r="E91" s="64">
        <f t="shared" si="32"/>
        <v>3814142</v>
      </c>
      <c r="F91" s="64">
        <f t="shared" si="32"/>
        <v>3814142</v>
      </c>
      <c r="G91" s="64">
        <f t="shared" si="32"/>
        <v>3814142</v>
      </c>
      <c r="H91" s="64">
        <f t="shared" si="32"/>
        <v>3814142</v>
      </c>
      <c r="I91" s="64">
        <f t="shared" si="32"/>
        <v>3814142</v>
      </c>
      <c r="J91" s="64">
        <f t="shared" si="32"/>
        <v>3814142</v>
      </c>
      <c r="K91" s="64">
        <f t="shared" si="32"/>
        <v>3814142</v>
      </c>
      <c r="L91" s="64">
        <f t="shared" si="32"/>
        <v>3814142</v>
      </c>
      <c r="M91" s="64">
        <f t="shared" si="32"/>
        <v>3814142</v>
      </c>
      <c r="N91" s="184"/>
      <c r="O91" s="184"/>
    </row>
    <row r="92" spans="1:15">
      <c r="A92" s="56" t="s">
        <v>125</v>
      </c>
      <c r="B92" s="189">
        <v>84174</v>
      </c>
      <c r="C92" s="189">
        <v>84174</v>
      </c>
      <c r="D92" s="189">
        <v>84174</v>
      </c>
      <c r="E92" s="189">
        <v>84174</v>
      </c>
      <c r="F92" s="189">
        <v>84174</v>
      </c>
      <c r="G92" s="189">
        <v>82736</v>
      </c>
      <c r="H92" s="189">
        <v>82736</v>
      </c>
      <c r="I92" s="189">
        <v>82736</v>
      </c>
      <c r="J92" s="189">
        <v>82736</v>
      </c>
      <c r="K92" s="189">
        <v>82736</v>
      </c>
      <c r="L92" s="189">
        <v>82736</v>
      </c>
      <c r="M92" s="189">
        <v>82736</v>
      </c>
      <c r="N92" s="184"/>
      <c r="O92" s="184"/>
    </row>
    <row r="93" spans="1:15">
      <c r="A93" s="56" t="s">
        <v>126</v>
      </c>
      <c r="B93" s="189">
        <v>19899</v>
      </c>
      <c r="C93" s="189">
        <v>19899</v>
      </c>
      <c r="D93" s="189">
        <v>19899</v>
      </c>
      <c r="E93" s="189">
        <v>19899</v>
      </c>
      <c r="F93" s="189">
        <v>19899</v>
      </c>
      <c r="G93" s="189">
        <v>19137</v>
      </c>
      <c r="H93" s="189">
        <v>19137</v>
      </c>
      <c r="I93" s="189">
        <v>19137</v>
      </c>
      <c r="J93" s="189">
        <v>19137</v>
      </c>
      <c r="K93" s="189">
        <v>19137</v>
      </c>
      <c r="L93" s="189">
        <v>19137</v>
      </c>
      <c r="M93" s="189">
        <v>19137</v>
      </c>
      <c r="N93" s="184"/>
      <c r="O93" s="184"/>
    </row>
    <row r="94" spans="1:15">
      <c r="A94" s="56" t="s">
        <v>127</v>
      </c>
      <c r="B94" s="189"/>
      <c r="C94" s="189"/>
      <c r="D94" s="189"/>
      <c r="E94" s="189"/>
      <c r="F94" s="189"/>
      <c r="G94" s="189"/>
      <c r="H94" s="189"/>
      <c r="I94" s="189"/>
      <c r="J94" s="189"/>
      <c r="K94" s="189"/>
      <c r="L94" s="189"/>
      <c r="M94" s="189"/>
      <c r="N94" s="184"/>
      <c r="O94" s="184"/>
    </row>
    <row r="95" spans="1:15">
      <c r="A95" s="56" t="s">
        <v>128</v>
      </c>
      <c r="B95" s="189">
        <v>7033</v>
      </c>
      <c r="C95" s="189">
        <v>7033</v>
      </c>
      <c r="D95" s="189">
        <v>7033</v>
      </c>
      <c r="E95" s="189">
        <v>7033</v>
      </c>
      <c r="F95" s="189">
        <v>7033</v>
      </c>
      <c r="G95" s="189">
        <v>7201</v>
      </c>
      <c r="H95" s="189">
        <v>7201</v>
      </c>
      <c r="I95" s="189">
        <v>7201</v>
      </c>
      <c r="J95" s="189">
        <v>7201</v>
      </c>
      <c r="K95" s="189">
        <v>7201</v>
      </c>
      <c r="L95" s="189">
        <v>7201</v>
      </c>
      <c r="M95" s="189">
        <v>7201</v>
      </c>
      <c r="N95" s="184"/>
      <c r="O95" s="184"/>
    </row>
    <row r="96" spans="1:15">
      <c r="A96" s="56" t="s">
        <v>129</v>
      </c>
      <c r="B96" s="189">
        <v>30838</v>
      </c>
      <c r="C96" s="189">
        <v>30838</v>
      </c>
      <c r="D96" s="189">
        <v>30838</v>
      </c>
      <c r="E96" s="189">
        <v>30838</v>
      </c>
      <c r="F96" s="189">
        <v>30838</v>
      </c>
      <c r="G96" s="189">
        <v>33224</v>
      </c>
      <c r="H96" s="189">
        <v>33224</v>
      </c>
      <c r="I96" s="189">
        <v>33224</v>
      </c>
      <c r="J96" s="189">
        <v>33224</v>
      </c>
      <c r="K96" s="189">
        <v>33224</v>
      </c>
      <c r="L96" s="189">
        <v>33224</v>
      </c>
      <c r="M96" s="189">
        <v>33224</v>
      </c>
      <c r="N96" s="184"/>
      <c r="O96" s="184"/>
    </row>
    <row r="97" spans="1:15">
      <c r="A97" s="56" t="s">
        <v>130</v>
      </c>
      <c r="B97" s="189">
        <v>4926</v>
      </c>
      <c r="C97" s="189">
        <v>4926</v>
      </c>
      <c r="D97" s="189">
        <v>4926</v>
      </c>
      <c r="E97" s="189">
        <v>4926</v>
      </c>
      <c r="F97" s="189">
        <v>4926</v>
      </c>
      <c r="G97" s="189">
        <v>4924</v>
      </c>
      <c r="H97" s="189">
        <v>4924</v>
      </c>
      <c r="I97" s="189">
        <v>4924</v>
      </c>
      <c r="J97" s="189">
        <v>4924</v>
      </c>
      <c r="K97" s="189">
        <v>4924</v>
      </c>
      <c r="L97" s="189">
        <v>4924</v>
      </c>
      <c r="M97" s="189">
        <v>4924</v>
      </c>
      <c r="N97" s="184"/>
      <c r="O97" s="184"/>
    </row>
    <row r="98" spans="1:15">
      <c r="A98" s="56" t="s">
        <v>107</v>
      </c>
      <c r="B98" s="185">
        <v>0</v>
      </c>
      <c r="C98" s="185">
        <v>0</v>
      </c>
      <c r="D98" s="185">
        <v>0</v>
      </c>
      <c r="E98" s="185">
        <v>0</v>
      </c>
      <c r="F98" s="185">
        <v>0</v>
      </c>
      <c r="G98" s="185">
        <v>0</v>
      </c>
      <c r="H98" s="185">
        <v>0</v>
      </c>
      <c r="I98" s="185">
        <v>0</v>
      </c>
      <c r="J98" s="185">
        <v>0</v>
      </c>
      <c r="K98" s="185">
        <v>0</v>
      </c>
      <c r="L98" s="185">
        <v>0</v>
      </c>
      <c r="M98" s="187">
        <v>0</v>
      </c>
      <c r="N98" s="184"/>
      <c r="O98" s="184"/>
    </row>
    <row r="99" spans="1:15">
      <c r="A99" s="57" t="s">
        <v>112</v>
      </c>
      <c r="B99" s="45">
        <f>SUM(B91:B98)</f>
        <v>3961012</v>
      </c>
      <c r="C99" s="45">
        <f t="shared" ref="C99:M99" si="33">SUM(C91:C98)</f>
        <v>3961012</v>
      </c>
      <c r="D99" s="45">
        <f t="shared" si="33"/>
        <v>3961012</v>
      </c>
      <c r="E99" s="45">
        <f t="shared" si="33"/>
        <v>3961012</v>
      </c>
      <c r="F99" s="45">
        <f t="shared" si="33"/>
        <v>3961012</v>
      </c>
      <c r="G99" s="45">
        <f t="shared" si="33"/>
        <v>3961364</v>
      </c>
      <c r="H99" s="45">
        <f t="shared" si="33"/>
        <v>3961364</v>
      </c>
      <c r="I99" s="45">
        <f t="shared" si="33"/>
        <v>3961364</v>
      </c>
      <c r="J99" s="45">
        <f t="shared" si="33"/>
        <v>3961364</v>
      </c>
      <c r="K99" s="45">
        <f t="shared" si="33"/>
        <v>3961364</v>
      </c>
      <c r="L99" s="45">
        <f t="shared" si="33"/>
        <v>3961364</v>
      </c>
      <c r="M99" s="45">
        <f t="shared" si="33"/>
        <v>3961364</v>
      </c>
      <c r="N99" s="184"/>
      <c r="O99" s="184"/>
    </row>
    <row r="100" spans="1:15">
      <c r="A100" s="56" t="s">
        <v>121</v>
      </c>
      <c r="B100" s="189">
        <v>884854</v>
      </c>
      <c r="C100" s="189">
        <v>884854</v>
      </c>
      <c r="D100" s="189">
        <v>884854</v>
      </c>
      <c r="E100" s="189">
        <v>884854</v>
      </c>
      <c r="F100" s="189">
        <v>884854</v>
      </c>
      <c r="G100" s="189">
        <v>890524</v>
      </c>
      <c r="H100" s="189">
        <v>890524</v>
      </c>
      <c r="I100" s="189">
        <v>890524</v>
      </c>
      <c r="J100" s="189">
        <v>890524</v>
      </c>
      <c r="K100" s="189">
        <v>890524</v>
      </c>
      <c r="L100" s="189">
        <v>890524</v>
      </c>
      <c r="M100" s="189">
        <v>890524</v>
      </c>
      <c r="N100" s="184"/>
      <c r="O100" s="184"/>
    </row>
    <row r="101" spans="1:15">
      <c r="A101" s="56" t="s">
        <v>124</v>
      </c>
      <c r="B101" s="185">
        <v>22280</v>
      </c>
      <c r="C101" s="185">
        <v>22280</v>
      </c>
      <c r="D101" s="185">
        <v>22280</v>
      </c>
      <c r="E101" s="185">
        <v>22280</v>
      </c>
      <c r="F101" s="185">
        <v>22280</v>
      </c>
      <c r="G101" s="187">
        <v>26233</v>
      </c>
      <c r="H101" s="187">
        <v>26233</v>
      </c>
      <c r="I101" s="187">
        <v>26233</v>
      </c>
      <c r="J101" s="187">
        <v>26233</v>
      </c>
      <c r="K101" s="187">
        <v>26233</v>
      </c>
      <c r="L101" s="187">
        <v>26233</v>
      </c>
      <c r="M101" s="187">
        <v>26233</v>
      </c>
      <c r="N101" s="184"/>
      <c r="O101" s="184"/>
    </row>
    <row r="102" spans="1:15">
      <c r="A102" s="57" t="s">
        <v>121</v>
      </c>
      <c r="B102" s="45">
        <f>SUM(B100:B101)</f>
        <v>907134</v>
      </c>
      <c r="C102" s="45">
        <f t="shared" ref="C102:L102" si="34">SUM(C100:C101)</f>
        <v>907134</v>
      </c>
      <c r="D102" s="45">
        <f t="shared" si="34"/>
        <v>907134</v>
      </c>
      <c r="E102" s="45">
        <f t="shared" si="34"/>
        <v>907134</v>
      </c>
      <c r="F102" s="45">
        <f t="shared" si="34"/>
        <v>907134</v>
      </c>
      <c r="G102" s="45">
        <f t="shared" si="34"/>
        <v>916757</v>
      </c>
      <c r="H102" s="45">
        <f t="shared" si="34"/>
        <v>916757</v>
      </c>
      <c r="I102" s="45">
        <f t="shared" si="34"/>
        <v>916757</v>
      </c>
      <c r="J102" s="45">
        <f t="shared" si="34"/>
        <v>916757</v>
      </c>
      <c r="K102" s="45">
        <f t="shared" si="34"/>
        <v>916757</v>
      </c>
      <c r="L102" s="45">
        <f t="shared" si="34"/>
        <v>916757</v>
      </c>
      <c r="M102" s="45">
        <f>SUM(M100:M101)</f>
        <v>916757</v>
      </c>
      <c r="N102" s="184"/>
      <c r="O102" s="184"/>
    </row>
    <row r="103" spans="1:15">
      <c r="A103" s="56" t="s">
        <v>25</v>
      </c>
      <c r="B103" s="189">
        <v>7175041</v>
      </c>
      <c r="C103" s="189">
        <v>7175041</v>
      </c>
      <c r="D103" s="189">
        <v>7175041</v>
      </c>
      <c r="E103" s="189">
        <v>7175041</v>
      </c>
      <c r="F103" s="189">
        <v>7175041</v>
      </c>
      <c r="G103" s="189">
        <v>7175041</v>
      </c>
      <c r="H103" s="189">
        <v>7175041</v>
      </c>
      <c r="I103" s="189">
        <v>7175041</v>
      </c>
      <c r="J103" s="189">
        <v>7175041</v>
      </c>
      <c r="K103" s="189">
        <v>7175041</v>
      </c>
      <c r="L103" s="189">
        <v>7175041</v>
      </c>
      <c r="M103" s="189">
        <v>7175041</v>
      </c>
      <c r="N103" s="184"/>
      <c r="O103" s="184"/>
    </row>
    <row r="104" spans="1:15">
      <c r="A104" s="56" t="s">
        <v>197</v>
      </c>
      <c r="B104" s="185">
        <v>0</v>
      </c>
      <c r="C104" s="185">
        <v>0</v>
      </c>
      <c r="D104" s="185">
        <v>0</v>
      </c>
      <c r="E104" s="185">
        <v>0</v>
      </c>
      <c r="F104" s="185">
        <v>0</v>
      </c>
      <c r="G104" s="187"/>
      <c r="H104" s="187"/>
      <c r="I104" s="187"/>
      <c r="J104" s="187"/>
      <c r="K104" s="187"/>
      <c r="L104" s="187"/>
      <c r="M104" s="187"/>
      <c r="N104" s="184"/>
      <c r="O104" s="184"/>
    </row>
    <row r="105" spans="1:15">
      <c r="A105" s="56" t="s">
        <v>281</v>
      </c>
      <c r="B105" s="271"/>
      <c r="C105" s="271"/>
      <c r="D105" s="271"/>
      <c r="E105" s="271"/>
      <c r="F105" s="271"/>
      <c r="G105" s="271"/>
      <c r="H105" s="271"/>
      <c r="I105" s="271"/>
      <c r="J105" s="271"/>
      <c r="K105" s="271"/>
      <c r="L105" s="271"/>
      <c r="M105" s="271"/>
      <c r="N105" s="184"/>
      <c r="O105" s="184"/>
    </row>
    <row r="106" spans="1:15">
      <c r="A106" s="57" t="s">
        <v>25</v>
      </c>
      <c r="B106" s="45">
        <f t="shared" ref="B106:M106" si="35">SUM(B103:B105)</f>
        <v>7175041</v>
      </c>
      <c r="C106" s="45">
        <f t="shared" si="35"/>
        <v>7175041</v>
      </c>
      <c r="D106" s="45">
        <f t="shared" si="35"/>
        <v>7175041</v>
      </c>
      <c r="E106" s="45">
        <f t="shared" si="35"/>
        <v>7175041</v>
      </c>
      <c r="F106" s="45">
        <f t="shared" si="35"/>
        <v>7175041</v>
      </c>
      <c r="G106" s="45">
        <f t="shared" si="35"/>
        <v>7175041</v>
      </c>
      <c r="H106" s="45">
        <f t="shared" si="35"/>
        <v>7175041</v>
      </c>
      <c r="I106" s="45">
        <f t="shared" si="35"/>
        <v>7175041</v>
      </c>
      <c r="J106" s="45">
        <f t="shared" si="35"/>
        <v>7175041</v>
      </c>
      <c r="K106" s="45">
        <f t="shared" si="35"/>
        <v>7175041</v>
      </c>
      <c r="L106" s="45">
        <f t="shared" si="35"/>
        <v>7175041</v>
      </c>
      <c r="M106" s="45">
        <f t="shared" si="35"/>
        <v>7175041</v>
      </c>
      <c r="N106" s="184"/>
      <c r="O106" s="184"/>
    </row>
    <row r="107" spans="1:15">
      <c r="A107" s="56" t="s">
        <v>32</v>
      </c>
      <c r="B107" s="181">
        <v>241200</v>
      </c>
      <c r="C107" s="181">
        <v>241200</v>
      </c>
      <c r="D107" s="181">
        <v>241200</v>
      </c>
      <c r="E107" s="181">
        <v>241200</v>
      </c>
      <c r="F107" s="181">
        <v>241200</v>
      </c>
      <c r="G107" s="181">
        <v>239600</v>
      </c>
      <c r="H107" s="181">
        <v>239600</v>
      </c>
      <c r="I107" s="181">
        <v>239600</v>
      </c>
      <c r="J107" s="181">
        <v>239600</v>
      </c>
      <c r="K107" s="181">
        <v>239600</v>
      </c>
      <c r="L107" s="181">
        <v>239600</v>
      </c>
      <c r="M107" s="181">
        <v>239600</v>
      </c>
      <c r="N107" s="184"/>
      <c r="O107" s="184"/>
    </row>
    <row r="108" spans="1:15">
      <c r="A108" s="56" t="s">
        <v>33</v>
      </c>
      <c r="B108" s="185">
        <v>4200</v>
      </c>
      <c r="C108" s="185">
        <v>4200</v>
      </c>
      <c r="D108" s="185">
        <v>4200</v>
      </c>
      <c r="E108" s="185">
        <v>4200</v>
      </c>
      <c r="F108" s="185">
        <v>4200</v>
      </c>
      <c r="G108" s="187">
        <v>4200</v>
      </c>
      <c r="H108" s="187">
        <v>4200</v>
      </c>
      <c r="I108" s="187">
        <v>4200</v>
      </c>
      <c r="J108" s="187">
        <v>4200</v>
      </c>
      <c r="K108" s="187">
        <v>4200</v>
      </c>
      <c r="L108" s="187">
        <v>4200</v>
      </c>
      <c r="M108" s="187">
        <v>4200</v>
      </c>
      <c r="N108" s="184"/>
      <c r="O108" s="184"/>
    </row>
    <row r="109" spans="1:15">
      <c r="A109" s="57" t="s">
        <v>32</v>
      </c>
      <c r="B109" s="45">
        <f>SUM(B107:B108)</f>
        <v>245400</v>
      </c>
      <c r="C109" s="45">
        <f t="shared" ref="C109:L109" si="36">SUM(C107:C108)</f>
        <v>245400</v>
      </c>
      <c r="D109" s="45">
        <f t="shared" si="36"/>
        <v>245400</v>
      </c>
      <c r="E109" s="45">
        <f t="shared" si="36"/>
        <v>245400</v>
      </c>
      <c r="F109" s="45">
        <f t="shared" si="36"/>
        <v>245400</v>
      </c>
      <c r="G109" s="45">
        <f t="shared" si="36"/>
        <v>243800</v>
      </c>
      <c r="H109" s="45">
        <f t="shared" si="36"/>
        <v>243800</v>
      </c>
      <c r="I109" s="45">
        <f t="shared" si="36"/>
        <v>243800</v>
      </c>
      <c r="J109" s="45">
        <f t="shared" si="36"/>
        <v>243800</v>
      </c>
      <c r="K109" s="45">
        <f t="shared" si="36"/>
        <v>243800</v>
      </c>
      <c r="L109" s="45">
        <f t="shared" si="36"/>
        <v>243800</v>
      </c>
      <c r="M109" s="45">
        <f>SUM(M107:M108)</f>
        <v>243800</v>
      </c>
      <c r="N109" s="184"/>
      <c r="O109" s="184"/>
    </row>
    <row r="110" spans="1:15">
      <c r="A110" s="63"/>
      <c r="B110" s="64"/>
      <c r="C110" s="64"/>
      <c r="D110" s="64"/>
      <c r="E110" s="64"/>
      <c r="F110" s="64"/>
      <c r="G110" s="64"/>
      <c r="H110" s="64"/>
      <c r="I110" s="64"/>
      <c r="J110" s="64"/>
      <c r="K110" s="64"/>
      <c r="L110" s="64"/>
      <c r="M110" s="64"/>
      <c r="N110" s="184"/>
      <c r="O110" s="184"/>
    </row>
    <row r="111" spans="1:15">
      <c r="A111" s="59" t="s">
        <v>21</v>
      </c>
      <c r="B111" s="181">
        <v>6586000</v>
      </c>
      <c r="C111" s="33">
        <f>+B111</f>
        <v>6586000</v>
      </c>
      <c r="D111" s="33">
        <f t="shared" ref="D111:M111" si="37">+C111</f>
        <v>6586000</v>
      </c>
      <c r="E111" s="33">
        <f t="shared" si="37"/>
        <v>6586000</v>
      </c>
      <c r="F111" s="33">
        <f t="shared" si="37"/>
        <v>6586000</v>
      </c>
      <c r="G111" s="33">
        <f t="shared" si="37"/>
        <v>6586000</v>
      </c>
      <c r="H111" s="33">
        <f t="shared" si="37"/>
        <v>6586000</v>
      </c>
      <c r="I111" s="33">
        <f t="shared" si="37"/>
        <v>6586000</v>
      </c>
      <c r="J111" s="33">
        <f t="shared" si="37"/>
        <v>6586000</v>
      </c>
      <c r="K111" s="33">
        <f t="shared" si="37"/>
        <v>6586000</v>
      </c>
      <c r="L111" s="33">
        <f t="shared" si="37"/>
        <v>6586000</v>
      </c>
      <c r="M111" s="33">
        <f t="shared" si="37"/>
        <v>6586000</v>
      </c>
      <c r="N111" s="184"/>
      <c r="O111" s="184"/>
    </row>
    <row r="112" spans="1:15">
      <c r="A112" s="59" t="s">
        <v>108</v>
      </c>
      <c r="B112" s="185">
        <v>126500</v>
      </c>
      <c r="C112" s="185">
        <v>126500</v>
      </c>
      <c r="D112" s="185">
        <v>126500</v>
      </c>
      <c r="E112" s="185">
        <v>126500</v>
      </c>
      <c r="F112" s="185">
        <v>126500</v>
      </c>
      <c r="G112" s="185">
        <v>126500</v>
      </c>
      <c r="H112" s="185">
        <v>126500</v>
      </c>
      <c r="I112" s="185">
        <v>126500</v>
      </c>
      <c r="J112" s="185">
        <v>126500</v>
      </c>
      <c r="K112" s="185">
        <v>126500</v>
      </c>
      <c r="L112" s="185">
        <v>126500</v>
      </c>
      <c r="M112" s="185">
        <v>126500</v>
      </c>
      <c r="N112" s="184"/>
      <c r="O112" s="184"/>
    </row>
    <row r="113" spans="1:15">
      <c r="A113" s="60" t="s">
        <v>109</v>
      </c>
      <c r="B113" s="197">
        <f>B111+B112</f>
        <v>6712500</v>
      </c>
      <c r="C113" s="197">
        <f t="shared" ref="C113:M113" si="38">C111+C112</f>
        <v>6712500</v>
      </c>
      <c r="D113" s="197">
        <f t="shared" si="38"/>
        <v>6712500</v>
      </c>
      <c r="E113" s="197">
        <f t="shared" si="38"/>
        <v>6712500</v>
      </c>
      <c r="F113" s="197">
        <f t="shared" si="38"/>
        <v>6712500</v>
      </c>
      <c r="G113" s="197">
        <f t="shared" si="38"/>
        <v>6712500</v>
      </c>
      <c r="H113" s="197">
        <f t="shared" si="38"/>
        <v>6712500</v>
      </c>
      <c r="I113" s="197">
        <f t="shared" si="38"/>
        <v>6712500</v>
      </c>
      <c r="J113" s="197">
        <f t="shared" si="38"/>
        <v>6712500</v>
      </c>
      <c r="K113" s="197">
        <f t="shared" si="38"/>
        <v>6712500</v>
      </c>
      <c r="L113" s="197">
        <f t="shared" si="38"/>
        <v>6712500</v>
      </c>
      <c r="M113" s="197">
        <f t="shared" si="38"/>
        <v>6712500</v>
      </c>
      <c r="N113" s="184"/>
      <c r="O113" s="191"/>
    </row>
    <row r="114" spans="1:15">
      <c r="A114" s="232" t="str">
        <f>A113</f>
        <v>Mi Joint Zone (Zone 13)</v>
      </c>
      <c r="B114" s="180">
        <f>B113</f>
        <v>6712500</v>
      </c>
      <c r="C114" s="180">
        <f t="shared" ref="C114:L114" si="39">C113</f>
        <v>6712500</v>
      </c>
      <c r="D114" s="180">
        <f t="shared" si="39"/>
        <v>6712500</v>
      </c>
      <c r="E114" s="180">
        <f t="shared" si="39"/>
        <v>6712500</v>
      </c>
      <c r="F114" s="180">
        <f t="shared" si="39"/>
        <v>6712500</v>
      </c>
      <c r="G114" s="180">
        <f t="shared" si="39"/>
        <v>6712500</v>
      </c>
      <c r="H114" s="180">
        <f t="shared" si="39"/>
        <v>6712500</v>
      </c>
      <c r="I114" s="180">
        <f t="shared" si="39"/>
        <v>6712500</v>
      </c>
      <c r="J114" s="180">
        <f t="shared" si="39"/>
        <v>6712500</v>
      </c>
      <c r="K114" s="180">
        <f t="shared" si="39"/>
        <v>6712500</v>
      </c>
      <c r="L114" s="180">
        <f t="shared" si="39"/>
        <v>6712500</v>
      </c>
      <c r="M114" s="180">
        <f>M113</f>
        <v>6712500</v>
      </c>
      <c r="N114" s="184"/>
      <c r="O114" s="191"/>
    </row>
    <row r="115" spans="1:15">
      <c r="A115" s="59" t="s">
        <v>110</v>
      </c>
      <c r="B115" s="185">
        <v>482725</v>
      </c>
      <c r="C115" s="185">
        <v>482725</v>
      </c>
      <c r="D115" s="185">
        <v>482725</v>
      </c>
      <c r="E115" s="185">
        <v>482725</v>
      </c>
      <c r="F115" s="185">
        <v>482725</v>
      </c>
      <c r="G115" s="185">
        <v>482725</v>
      </c>
      <c r="H115" s="185">
        <v>482725</v>
      </c>
      <c r="I115" s="185">
        <v>482725</v>
      </c>
      <c r="J115" s="185">
        <v>482725</v>
      </c>
      <c r="K115" s="185">
        <v>482725</v>
      </c>
      <c r="L115" s="185">
        <v>482724</v>
      </c>
      <c r="M115" s="185">
        <v>482725</v>
      </c>
      <c r="N115" s="191"/>
      <c r="O115" s="191"/>
    </row>
    <row r="116" spans="1:15">
      <c r="A116" s="60" t="s">
        <v>111</v>
      </c>
      <c r="B116" s="268">
        <f>B114+B115</f>
        <v>7195225</v>
      </c>
      <c r="C116" s="268">
        <f t="shared" ref="C116:L116" si="40">C114+C115</f>
        <v>7195225</v>
      </c>
      <c r="D116" s="268">
        <f t="shared" si="40"/>
        <v>7195225</v>
      </c>
      <c r="E116" s="268">
        <f t="shared" si="40"/>
        <v>7195225</v>
      </c>
      <c r="F116" s="268">
        <f t="shared" si="40"/>
        <v>7195225</v>
      </c>
      <c r="G116" s="268">
        <f t="shared" si="40"/>
        <v>7195225</v>
      </c>
      <c r="H116" s="268">
        <f t="shared" si="40"/>
        <v>7195225</v>
      </c>
      <c r="I116" s="268">
        <f t="shared" si="40"/>
        <v>7195225</v>
      </c>
      <c r="J116" s="268">
        <f t="shared" si="40"/>
        <v>7195225</v>
      </c>
      <c r="K116" s="268">
        <f t="shared" si="40"/>
        <v>7195225</v>
      </c>
      <c r="L116" s="268">
        <f t="shared" si="40"/>
        <v>7195224</v>
      </c>
      <c r="M116" s="268">
        <f>M114+M115</f>
        <v>7195225</v>
      </c>
      <c r="N116" s="191"/>
      <c r="O116" s="191"/>
    </row>
    <row r="117" spans="1:15">
      <c r="A117" s="59" t="s">
        <v>282</v>
      </c>
      <c r="B117" s="241"/>
      <c r="C117" s="241"/>
      <c r="D117" s="241"/>
      <c r="E117" s="241"/>
      <c r="F117" s="241"/>
      <c r="G117" s="241"/>
      <c r="H117" s="241"/>
      <c r="I117" s="241"/>
      <c r="J117" s="241"/>
      <c r="K117" s="241"/>
      <c r="L117" s="241"/>
      <c r="M117" s="242">
        <v>6425268</v>
      </c>
      <c r="N117" s="191"/>
      <c r="O117" s="191"/>
    </row>
    <row r="118" spans="1:15">
      <c r="A118" s="59" t="s">
        <v>283</v>
      </c>
      <c r="B118" s="272"/>
      <c r="C118" s="272"/>
      <c r="D118" s="272"/>
      <c r="E118" s="272"/>
      <c r="F118" s="272"/>
      <c r="G118" s="272"/>
      <c r="H118" s="272"/>
      <c r="I118" s="272"/>
      <c r="J118" s="272"/>
      <c r="K118" s="272"/>
      <c r="L118" s="272"/>
      <c r="M118" s="272"/>
      <c r="N118" s="191"/>
      <c r="O118" s="191"/>
    </row>
    <row r="119" spans="1:15">
      <c r="A119" s="59" t="s">
        <v>282</v>
      </c>
      <c r="B119" s="241">
        <f>SUM(B117:B118)</f>
        <v>0</v>
      </c>
      <c r="C119" s="241">
        <f t="shared" ref="C119:M119" si="41">SUM(C117:C118)</f>
        <v>0</v>
      </c>
      <c r="D119" s="241">
        <f t="shared" si="41"/>
        <v>0</v>
      </c>
      <c r="E119" s="241">
        <f t="shared" si="41"/>
        <v>0</v>
      </c>
      <c r="F119" s="241">
        <f t="shared" si="41"/>
        <v>0</v>
      </c>
      <c r="G119" s="241">
        <f t="shared" si="41"/>
        <v>0</v>
      </c>
      <c r="H119" s="241">
        <f t="shared" si="41"/>
        <v>0</v>
      </c>
      <c r="I119" s="241">
        <f t="shared" si="41"/>
        <v>0</v>
      </c>
      <c r="J119" s="241">
        <f t="shared" si="41"/>
        <v>0</v>
      </c>
      <c r="K119" s="241">
        <f t="shared" si="41"/>
        <v>0</v>
      </c>
      <c r="L119" s="241">
        <f t="shared" si="41"/>
        <v>0</v>
      </c>
      <c r="M119" s="241">
        <f t="shared" si="41"/>
        <v>6425268</v>
      </c>
      <c r="N119" s="191"/>
      <c r="O119" s="191"/>
    </row>
    <row r="120" spans="1:15">
      <c r="A120" s="59" t="s">
        <v>284</v>
      </c>
      <c r="B120" s="273"/>
      <c r="C120" s="273"/>
      <c r="D120" s="273"/>
      <c r="E120" s="273"/>
      <c r="F120" s="273"/>
      <c r="G120" s="273"/>
      <c r="H120" s="273"/>
      <c r="I120" s="273"/>
      <c r="J120" s="273"/>
      <c r="K120" s="273"/>
      <c r="L120" s="273"/>
      <c r="M120" s="274">
        <v>6484489</v>
      </c>
      <c r="N120" s="191"/>
      <c r="O120" s="191"/>
    </row>
    <row r="121" spans="1:15">
      <c r="A121" s="59" t="s">
        <v>285</v>
      </c>
      <c r="B121" s="242"/>
      <c r="C121" s="242"/>
      <c r="D121" s="242"/>
      <c r="E121" s="242"/>
      <c r="F121" s="242"/>
      <c r="G121" s="242"/>
      <c r="H121" s="242"/>
      <c r="I121" s="242"/>
      <c r="J121" s="242"/>
      <c r="K121" s="242"/>
      <c r="L121" s="242"/>
      <c r="M121" s="242">
        <v>0</v>
      </c>
      <c r="N121" s="191"/>
      <c r="O121" s="191"/>
    </row>
    <row r="122" spans="1:15">
      <c r="A122" s="59" t="s">
        <v>286</v>
      </c>
      <c r="B122" s="275"/>
      <c r="C122" s="275"/>
      <c r="D122" s="275"/>
      <c r="E122" s="275"/>
      <c r="F122" s="275"/>
      <c r="G122" s="275"/>
      <c r="H122" s="275"/>
      <c r="I122" s="275"/>
      <c r="J122" s="275"/>
      <c r="K122" s="275"/>
      <c r="L122" s="275"/>
      <c r="M122" s="242">
        <v>855223</v>
      </c>
      <c r="N122" s="191"/>
      <c r="O122" s="191"/>
    </row>
    <row r="123" spans="1:15">
      <c r="A123" s="59" t="s">
        <v>287</v>
      </c>
      <c r="B123" s="275"/>
      <c r="C123" s="275"/>
      <c r="D123" s="275"/>
      <c r="E123" s="275"/>
      <c r="F123" s="275"/>
      <c r="G123" s="275"/>
      <c r="H123" s="275"/>
      <c r="I123" s="275"/>
      <c r="J123" s="275"/>
      <c r="K123" s="275"/>
      <c r="L123" s="275"/>
      <c r="M123" s="242">
        <v>4495090</v>
      </c>
      <c r="N123" s="191"/>
      <c r="O123" s="191"/>
    </row>
    <row r="124" spans="1:15">
      <c r="A124" s="59" t="s">
        <v>284</v>
      </c>
      <c r="B124" s="276"/>
      <c r="C124" s="276"/>
      <c r="D124" s="276"/>
      <c r="E124" s="276"/>
      <c r="F124" s="276"/>
      <c r="G124" s="276"/>
      <c r="H124" s="276"/>
      <c r="I124" s="276"/>
      <c r="J124" s="276"/>
      <c r="K124" s="276"/>
      <c r="L124" s="276"/>
      <c r="M124" s="276">
        <f>SUM(M120:M123)</f>
        <v>11834802</v>
      </c>
      <c r="N124" s="191"/>
      <c r="O124" s="191"/>
    </row>
    <row r="125" spans="1:15">
      <c r="A125" s="59" t="s">
        <v>288</v>
      </c>
      <c r="B125" s="275"/>
      <c r="C125" s="275"/>
      <c r="D125" s="275"/>
      <c r="E125" s="275"/>
      <c r="F125" s="275"/>
      <c r="G125" s="275"/>
      <c r="H125" s="275"/>
      <c r="I125" s="275"/>
      <c r="J125" s="275"/>
      <c r="K125" s="275"/>
      <c r="L125" s="275"/>
      <c r="M125" s="242">
        <v>2909530</v>
      </c>
      <c r="N125" s="191"/>
      <c r="O125" s="191"/>
    </row>
    <row r="126" spans="1:15">
      <c r="A126" s="59" t="s">
        <v>289</v>
      </c>
      <c r="B126" s="275"/>
      <c r="C126" s="275"/>
      <c r="D126" s="275"/>
      <c r="E126" s="275"/>
      <c r="F126" s="275"/>
      <c r="G126" s="275"/>
      <c r="H126" s="275"/>
      <c r="I126" s="275"/>
      <c r="J126" s="275"/>
      <c r="K126" s="275"/>
      <c r="L126" s="275"/>
      <c r="M126" s="242">
        <v>576417</v>
      </c>
      <c r="N126" s="191"/>
      <c r="O126" s="191"/>
    </row>
    <row r="127" spans="1:15">
      <c r="A127" s="59" t="s">
        <v>288</v>
      </c>
      <c r="B127" s="276"/>
      <c r="C127" s="276"/>
      <c r="D127" s="276"/>
      <c r="E127" s="276"/>
      <c r="F127" s="276"/>
      <c r="G127" s="276"/>
      <c r="H127" s="276"/>
      <c r="I127" s="276"/>
      <c r="J127" s="276"/>
      <c r="K127" s="276"/>
      <c r="L127" s="276"/>
      <c r="M127" s="276">
        <f>SUM(M125:M126)</f>
        <v>3485947</v>
      </c>
      <c r="N127" s="191"/>
      <c r="O127" s="191"/>
    </row>
    <row r="128" spans="1:15">
      <c r="A128" s="59" t="s">
        <v>290</v>
      </c>
      <c r="B128" s="275"/>
      <c r="C128" s="275"/>
      <c r="D128" s="275"/>
      <c r="E128" s="275"/>
      <c r="F128" s="275"/>
      <c r="G128" s="275"/>
      <c r="H128" s="275"/>
      <c r="I128" s="275"/>
      <c r="J128" s="275"/>
      <c r="K128" s="275"/>
      <c r="L128" s="275"/>
      <c r="M128" s="242">
        <v>3753332</v>
      </c>
      <c r="N128" s="191"/>
      <c r="O128" s="191"/>
    </row>
    <row r="129" spans="1:15">
      <c r="A129" s="59" t="s">
        <v>291</v>
      </c>
      <c r="B129" s="275"/>
      <c r="C129" s="275"/>
      <c r="D129" s="275"/>
      <c r="E129" s="275"/>
      <c r="F129" s="275"/>
      <c r="G129" s="275"/>
      <c r="H129" s="275"/>
      <c r="I129" s="275"/>
      <c r="J129" s="275"/>
      <c r="K129" s="275"/>
      <c r="L129" s="275"/>
      <c r="M129" s="242">
        <v>0</v>
      </c>
      <c r="N129" s="191"/>
      <c r="O129" s="191"/>
    </row>
    <row r="130" spans="1:15">
      <c r="A130" s="59" t="s">
        <v>292</v>
      </c>
      <c r="B130" s="275"/>
      <c r="C130" s="275"/>
      <c r="D130" s="275"/>
      <c r="E130" s="275"/>
      <c r="F130" s="275"/>
      <c r="G130" s="275"/>
      <c r="H130" s="275"/>
      <c r="I130" s="275"/>
      <c r="J130" s="275"/>
      <c r="K130" s="275"/>
      <c r="L130" s="275"/>
      <c r="M130" s="242">
        <v>0</v>
      </c>
      <c r="N130" s="191"/>
      <c r="O130" s="191"/>
    </row>
    <row r="131" spans="1:15">
      <c r="A131" s="59" t="s">
        <v>298</v>
      </c>
      <c r="B131" s="275"/>
      <c r="C131" s="275"/>
      <c r="D131" s="275"/>
      <c r="E131" s="275"/>
      <c r="F131" s="275"/>
      <c r="G131" s="275"/>
      <c r="H131" s="275"/>
      <c r="I131" s="275"/>
      <c r="J131" s="275"/>
      <c r="K131" s="275"/>
      <c r="L131" s="275"/>
      <c r="M131" s="242">
        <v>0</v>
      </c>
      <c r="N131" s="191"/>
      <c r="O131" s="191"/>
    </row>
    <row r="132" spans="1:15">
      <c r="A132" s="59" t="s">
        <v>294</v>
      </c>
      <c r="B132" s="275"/>
      <c r="C132" s="275"/>
      <c r="D132" s="275"/>
      <c r="E132" s="275"/>
      <c r="F132" s="275"/>
      <c r="G132" s="275"/>
      <c r="H132" s="275"/>
      <c r="I132" s="275"/>
      <c r="J132" s="275"/>
      <c r="K132" s="275"/>
      <c r="L132" s="275"/>
      <c r="M132" s="242">
        <v>0</v>
      </c>
      <c r="N132" s="191"/>
      <c r="O132" s="191"/>
    </row>
    <row r="133" spans="1:15">
      <c r="A133" s="59" t="s">
        <v>290</v>
      </c>
      <c r="B133" s="276"/>
      <c r="C133" s="276"/>
      <c r="D133" s="276"/>
      <c r="E133" s="276"/>
      <c r="F133" s="276"/>
      <c r="G133" s="276"/>
      <c r="H133" s="276"/>
      <c r="I133" s="276"/>
      <c r="J133" s="276"/>
      <c r="K133" s="276"/>
      <c r="L133" s="276"/>
      <c r="M133" s="276">
        <f>SUM(M128:M132)</f>
        <v>3753332</v>
      </c>
      <c r="N133" s="191"/>
      <c r="O133" s="191"/>
    </row>
    <row r="134" spans="1:15">
      <c r="A134" s="191"/>
      <c r="B134" s="191"/>
      <c r="C134" s="191"/>
      <c r="D134" s="191"/>
      <c r="E134" s="191"/>
      <c r="F134" s="191"/>
      <c r="G134" s="191"/>
      <c r="H134" s="191"/>
      <c r="I134" s="191"/>
      <c r="J134" s="191"/>
      <c r="K134" s="191"/>
      <c r="L134" s="191"/>
      <c r="M134" s="191"/>
      <c r="N134" s="191"/>
      <c r="O134" s="191"/>
    </row>
    <row r="135" spans="1:15">
      <c r="A135" s="191"/>
      <c r="B135" s="191"/>
      <c r="C135" s="191"/>
      <c r="D135" s="191"/>
      <c r="E135" s="191"/>
      <c r="F135" s="191"/>
      <c r="G135" s="191"/>
      <c r="H135" s="191"/>
      <c r="I135" s="191"/>
      <c r="J135" s="191"/>
      <c r="K135" s="191"/>
      <c r="L135" s="191"/>
      <c r="M135" s="191"/>
      <c r="N135" s="191"/>
      <c r="O135" s="191"/>
    </row>
    <row r="136" spans="1:15">
      <c r="A136" s="191"/>
      <c r="B136" s="191"/>
      <c r="C136" s="191"/>
      <c r="D136" s="191"/>
      <c r="E136" s="191"/>
      <c r="F136" s="191"/>
      <c r="G136" s="191"/>
      <c r="H136" s="191"/>
      <c r="I136" s="191"/>
      <c r="J136" s="191"/>
      <c r="K136" s="191"/>
      <c r="L136" s="191"/>
      <c r="M136" s="191"/>
      <c r="N136" s="191"/>
      <c r="O136" s="191"/>
    </row>
    <row r="137" spans="1:15">
      <c r="A137" s="191"/>
      <c r="B137" s="191"/>
      <c r="C137" s="191"/>
      <c r="D137" s="191"/>
      <c r="E137" s="191"/>
      <c r="F137" s="191"/>
      <c r="G137" s="191"/>
      <c r="H137" s="191"/>
      <c r="I137" s="191"/>
      <c r="J137" s="191"/>
      <c r="K137" s="191"/>
      <c r="L137" s="191"/>
      <c r="M137" s="191"/>
      <c r="N137" s="191"/>
      <c r="O137" s="191"/>
    </row>
    <row r="138" spans="1:15">
      <c r="A138" s="191"/>
      <c r="B138" s="191"/>
      <c r="C138" s="191"/>
      <c r="D138" s="191"/>
      <c r="E138" s="191"/>
      <c r="F138" s="191"/>
      <c r="G138" s="191"/>
      <c r="H138" s="191"/>
      <c r="I138" s="191"/>
      <c r="J138" s="191"/>
      <c r="K138" s="191"/>
      <c r="L138" s="191"/>
      <c r="M138" s="191"/>
      <c r="N138" s="191"/>
      <c r="O138" s="191"/>
    </row>
    <row r="139" spans="1:15">
      <c r="A139" s="191"/>
      <c r="B139" s="191"/>
      <c r="C139" s="191"/>
      <c r="D139" s="191"/>
      <c r="E139" s="191"/>
      <c r="F139" s="191"/>
      <c r="G139" s="191"/>
      <c r="H139" s="191"/>
      <c r="I139" s="191"/>
      <c r="J139" s="191"/>
      <c r="K139" s="191"/>
      <c r="L139" s="191"/>
      <c r="M139" s="191"/>
      <c r="N139" s="191"/>
      <c r="O139" s="191"/>
    </row>
    <row r="140" spans="1:15">
      <c r="A140" s="191"/>
      <c r="B140" s="191"/>
      <c r="C140" s="191"/>
      <c r="D140" s="191"/>
      <c r="E140" s="191"/>
      <c r="F140" s="191"/>
      <c r="G140" s="191"/>
      <c r="H140" s="191"/>
      <c r="I140" s="191"/>
      <c r="J140" s="191"/>
      <c r="K140" s="191"/>
      <c r="L140" s="191"/>
      <c r="M140" s="191"/>
      <c r="N140" s="191"/>
      <c r="O140" s="191"/>
    </row>
  </sheetData>
  <phoneticPr fontId="4" type="noConversion"/>
  <pageMargins left="0.25" right="0.25" top="0.5" bottom="0.5" header="0.5" footer="0.5"/>
  <pageSetup scale="61" fitToHeight="4" orientation="landscape" r:id="rId1"/>
  <headerFooter alignWithMargins="0"/>
  <rowBreaks count="2" manualBreakCount="2">
    <brk id="41" max="15" man="1"/>
    <brk id="9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3FBB3"/>
    <pageSetUpPr fitToPage="1"/>
  </sheetPr>
  <dimension ref="A1:AL34"/>
  <sheetViews>
    <sheetView showGridLines="0" workbookViewId="0">
      <selection activeCell="A2" sqref="A2"/>
    </sheetView>
  </sheetViews>
  <sheetFormatPr defaultRowHeight="15.75"/>
  <cols>
    <col min="1" max="1" width="18.125" style="2" customWidth="1"/>
    <col min="2" max="2" width="11.75" style="2" bestFit="1" customWidth="1"/>
    <col min="3" max="3" width="11.125" style="2" customWidth="1"/>
    <col min="4" max="4" width="2.375" style="2" customWidth="1"/>
    <col min="5" max="5" width="9" style="2"/>
    <col min="6" max="6" width="14.75" style="2" bestFit="1" customWidth="1"/>
    <col min="7" max="7" width="1.625" style="2" customWidth="1"/>
    <col min="8" max="8" width="11.125" style="2" bestFit="1" customWidth="1"/>
    <col min="9" max="9" width="1.625" style="2" customWidth="1"/>
    <col min="10" max="10" width="11.75" style="2" bestFit="1" customWidth="1"/>
    <col min="11" max="11" width="9" style="2"/>
    <col min="12" max="12" width="39.5" style="2" bestFit="1" customWidth="1"/>
    <col min="13" max="16384" width="9" style="2"/>
  </cols>
  <sheetData>
    <row r="1" spans="1:14" ht="18.75">
      <c r="A1" s="38" t="s">
        <v>114</v>
      </c>
    </row>
    <row r="2" spans="1:14">
      <c r="E2" s="3"/>
      <c r="F2" s="3" t="s">
        <v>181</v>
      </c>
      <c r="G2" s="3"/>
      <c r="H2" s="3" t="s">
        <v>98</v>
      </c>
      <c r="I2" s="3"/>
      <c r="J2" s="3" t="s">
        <v>12</v>
      </c>
    </row>
    <row r="3" spans="1:14">
      <c r="A3" s="209" t="s">
        <v>196</v>
      </c>
      <c r="B3" s="209"/>
      <c r="C3" s="87"/>
      <c r="E3" s="3"/>
      <c r="F3" s="3" t="s">
        <v>99</v>
      </c>
      <c r="G3" s="3"/>
      <c r="H3" s="3" t="s">
        <v>100</v>
      </c>
      <c r="I3" s="3"/>
      <c r="J3" s="3" t="s">
        <v>101</v>
      </c>
    </row>
    <row r="4" spans="1:14">
      <c r="A4" s="30"/>
      <c r="B4" s="30"/>
      <c r="E4" s="3" t="s">
        <v>103</v>
      </c>
      <c r="F4" s="3" t="s">
        <v>102</v>
      </c>
      <c r="G4" s="3"/>
      <c r="H4" s="3" t="s">
        <v>102</v>
      </c>
      <c r="I4" s="3"/>
      <c r="J4" s="3" t="s">
        <v>52</v>
      </c>
    </row>
    <row r="5" spans="1:14">
      <c r="A5" s="28" t="s">
        <v>30</v>
      </c>
      <c r="B5" s="31">
        <f>C28</f>
        <v>-3809</v>
      </c>
      <c r="E5" s="74"/>
      <c r="F5" s="22"/>
      <c r="G5" s="32"/>
      <c r="H5" s="32"/>
      <c r="I5" s="32"/>
      <c r="J5" s="22"/>
    </row>
    <row r="6" spans="1:14">
      <c r="A6" s="28"/>
      <c r="B6" s="31"/>
      <c r="E6" s="74" t="s">
        <v>150</v>
      </c>
      <c r="F6" s="22">
        <f>ROUND('Att GG True Up'!F320,0)</f>
        <v>6315029</v>
      </c>
      <c r="G6" s="32"/>
      <c r="H6" s="219">
        <f t="shared" ref="H6:H11" si="0">ROUND(F6/F$12,4)</f>
        <v>1</v>
      </c>
      <c r="I6" s="32"/>
      <c r="J6" s="22">
        <f t="shared" ref="J6:J11" si="1">ROUND(H6*$B$5,1)</f>
        <v>-3809</v>
      </c>
      <c r="L6" s="218"/>
      <c r="N6" s="21"/>
    </row>
    <row r="7" spans="1:14">
      <c r="A7" s="28"/>
      <c r="B7" s="31"/>
      <c r="E7" s="74" t="s">
        <v>305</v>
      </c>
      <c r="F7" s="22">
        <f>ROUND('Att GG True Up'!F657,0)</f>
        <v>0</v>
      </c>
      <c r="G7" s="32"/>
      <c r="H7" s="219">
        <f t="shared" si="0"/>
        <v>0</v>
      </c>
      <c r="I7" s="32"/>
      <c r="J7" s="22">
        <f t="shared" si="1"/>
        <v>0</v>
      </c>
      <c r="L7" s="218"/>
      <c r="N7" s="21"/>
    </row>
    <row r="8" spans="1:14">
      <c r="A8" s="30"/>
      <c r="B8" s="30"/>
      <c r="E8" s="74"/>
      <c r="F8" s="151"/>
      <c r="G8" s="32"/>
      <c r="H8" s="219">
        <f t="shared" si="0"/>
        <v>0</v>
      </c>
      <c r="I8" s="32"/>
      <c r="J8" s="22">
        <f t="shared" si="1"/>
        <v>0</v>
      </c>
      <c r="L8" s="218"/>
      <c r="N8" s="21"/>
    </row>
    <row r="9" spans="1:14">
      <c r="A9" s="30"/>
      <c r="B9" s="30"/>
      <c r="E9" s="74"/>
      <c r="F9" s="22"/>
      <c r="G9" s="32"/>
      <c r="H9" s="219">
        <f t="shared" si="0"/>
        <v>0</v>
      </c>
      <c r="I9" s="32"/>
      <c r="J9" s="22">
        <f t="shared" si="1"/>
        <v>0</v>
      </c>
      <c r="L9" s="218"/>
      <c r="N9" s="21"/>
    </row>
    <row r="10" spans="1:14">
      <c r="A10" s="30"/>
      <c r="B10" s="30"/>
      <c r="E10" s="74"/>
      <c r="F10" s="22"/>
      <c r="G10" s="32"/>
      <c r="H10" s="219">
        <f t="shared" si="0"/>
        <v>0</v>
      </c>
      <c r="I10" s="32"/>
      <c r="J10" s="22">
        <f t="shared" si="1"/>
        <v>0</v>
      </c>
      <c r="L10" s="218"/>
      <c r="N10" s="21"/>
    </row>
    <row r="11" spans="1:14">
      <c r="A11" s="30"/>
      <c r="B11" s="30"/>
      <c r="E11" s="74"/>
      <c r="F11" s="22"/>
      <c r="G11" s="32"/>
      <c r="H11" s="219">
        <f t="shared" si="0"/>
        <v>0</v>
      </c>
      <c r="I11" s="32"/>
      <c r="J11" s="22">
        <f t="shared" si="1"/>
        <v>0</v>
      </c>
      <c r="L11" s="218"/>
      <c r="N11" s="21"/>
    </row>
    <row r="12" spans="1:14" ht="16.5" thickBot="1">
      <c r="A12" s="30"/>
      <c r="B12" s="30"/>
      <c r="F12" s="68">
        <f>ROUND(SUM(F5:F11),0)</f>
        <v>6315029</v>
      </c>
      <c r="G12" s="70"/>
      <c r="H12" s="217">
        <f>SUM(H5:H11)</f>
        <v>1</v>
      </c>
      <c r="I12" s="70"/>
      <c r="J12" s="213">
        <f>SUM(J6:J11)</f>
        <v>-3809</v>
      </c>
    </row>
    <row r="13" spans="1:14" ht="16.5" thickTop="1">
      <c r="A13" s="30"/>
      <c r="B13" s="30"/>
    </row>
    <row r="14" spans="1:14">
      <c r="A14" s="30"/>
      <c r="B14" s="30"/>
    </row>
    <row r="15" spans="1:14">
      <c r="A15" s="30"/>
      <c r="B15" s="30"/>
    </row>
    <row r="17" spans="1:38">
      <c r="A17" s="2" t="s">
        <v>104</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row>
    <row r="18" spans="1:38">
      <c r="B18" s="37" t="s">
        <v>154</v>
      </c>
      <c r="E18" s="30"/>
      <c r="F18" s="30"/>
      <c r="G18" s="30"/>
      <c r="H18" s="30"/>
      <c r="I18" s="30"/>
      <c r="J18" s="69"/>
      <c r="K18" s="30"/>
      <c r="L18" s="30"/>
      <c r="M18" s="69"/>
      <c r="N18" s="30"/>
      <c r="O18" s="30"/>
      <c r="P18" s="69"/>
      <c r="Q18" s="30"/>
      <c r="R18" s="30"/>
      <c r="S18" s="69"/>
      <c r="T18" s="30"/>
      <c r="U18" s="30"/>
      <c r="V18" s="69"/>
      <c r="W18" s="30"/>
      <c r="X18" s="30"/>
      <c r="Y18" s="69"/>
      <c r="Z18" s="30"/>
      <c r="AA18" s="30"/>
      <c r="AB18" s="69"/>
      <c r="AC18" s="30"/>
      <c r="AD18" s="30"/>
      <c r="AE18" s="30"/>
      <c r="AF18" s="30"/>
      <c r="AG18" s="30"/>
      <c r="AH18" s="30"/>
      <c r="AI18" s="30"/>
      <c r="AJ18" s="30"/>
      <c r="AK18" s="30"/>
      <c r="AL18" s="30"/>
    </row>
    <row r="19" spans="1:38">
      <c r="B19" s="36" t="s">
        <v>105</v>
      </c>
      <c r="C19" s="3" t="s">
        <v>52</v>
      </c>
      <c r="E19" s="69"/>
      <c r="F19" s="30"/>
      <c r="G19" s="30"/>
      <c r="H19" s="30"/>
      <c r="I19" s="30"/>
      <c r="J19" s="69"/>
      <c r="K19" s="69"/>
      <c r="L19" s="30"/>
      <c r="M19" s="69"/>
      <c r="N19" s="69"/>
      <c r="O19" s="30"/>
      <c r="P19" s="69"/>
      <c r="Q19" s="69"/>
      <c r="R19" s="30"/>
      <c r="S19" s="69"/>
      <c r="T19" s="69"/>
      <c r="U19" s="30"/>
      <c r="V19" s="69"/>
      <c r="W19" s="69"/>
      <c r="X19" s="30"/>
      <c r="Y19" s="69"/>
      <c r="Z19" s="69"/>
      <c r="AA19" s="30"/>
      <c r="AB19" s="69"/>
      <c r="AC19" s="69"/>
      <c r="AD19" s="30"/>
      <c r="AE19" s="30"/>
      <c r="AF19" s="30"/>
      <c r="AG19" s="30"/>
      <c r="AH19" s="30"/>
      <c r="AI19" s="30"/>
      <c r="AJ19" s="30"/>
      <c r="AK19" s="30"/>
      <c r="AL19" s="30"/>
    </row>
    <row r="20" spans="1:38">
      <c r="A20" s="2" t="s">
        <v>261</v>
      </c>
      <c r="B20" s="211">
        <f>ROUND('Att GG True Up'!K317+'Att GG True Up'!K654,0)</f>
        <v>-655166</v>
      </c>
      <c r="C20" s="33">
        <f>ROUND(B20*$C$30/4,0)</f>
        <v>-475</v>
      </c>
      <c r="E20" s="72"/>
      <c r="F20" s="30"/>
      <c r="G20" s="30"/>
      <c r="H20" s="30"/>
      <c r="I20" s="30"/>
      <c r="J20" s="72"/>
      <c r="K20" s="72"/>
      <c r="L20" s="30"/>
      <c r="M20" s="72"/>
      <c r="N20" s="72"/>
      <c r="O20" s="30"/>
      <c r="P20" s="72"/>
      <c r="Q20" s="72"/>
      <c r="R20" s="30"/>
      <c r="S20" s="72"/>
      <c r="T20" s="72"/>
      <c r="U20" s="30"/>
      <c r="V20" s="72"/>
      <c r="W20" s="72"/>
      <c r="X20" s="30"/>
      <c r="Y20" s="72"/>
      <c r="Z20" s="72"/>
      <c r="AA20" s="30"/>
      <c r="AB20" s="72"/>
      <c r="AC20" s="72"/>
      <c r="AD20" s="30"/>
      <c r="AE20" s="30"/>
      <c r="AF20" s="30"/>
      <c r="AG20" s="30"/>
      <c r="AH20" s="30"/>
      <c r="AI20" s="30"/>
      <c r="AJ20" s="30"/>
      <c r="AK20" s="30"/>
      <c r="AL20" s="30"/>
    </row>
    <row r="21" spans="1:38">
      <c r="A21" s="2" t="s">
        <v>262</v>
      </c>
      <c r="B21" s="33">
        <f t="shared" ref="B21:B27" si="2">B20+C20</f>
        <v>-655641</v>
      </c>
      <c r="C21" s="33">
        <f t="shared" ref="C21:C27" si="3">ROUND(B21*$C$30/4,0)</f>
        <v>-475</v>
      </c>
      <c r="E21" s="72"/>
      <c r="F21" s="30"/>
      <c r="G21" s="30"/>
      <c r="H21" s="30"/>
      <c r="I21" s="30"/>
      <c r="J21" s="72"/>
      <c r="K21" s="72"/>
      <c r="L21" s="30"/>
      <c r="M21" s="72"/>
      <c r="N21" s="72"/>
      <c r="O21" s="30"/>
      <c r="P21" s="72"/>
      <c r="Q21" s="72"/>
      <c r="R21" s="30"/>
      <c r="S21" s="72"/>
      <c r="T21" s="72"/>
      <c r="U21" s="30"/>
      <c r="V21" s="72"/>
      <c r="W21" s="72"/>
      <c r="X21" s="30"/>
      <c r="Y21" s="72"/>
      <c r="Z21" s="72"/>
      <c r="AA21" s="30"/>
      <c r="AB21" s="72"/>
      <c r="AC21" s="72"/>
      <c r="AD21" s="30"/>
      <c r="AE21" s="30"/>
      <c r="AF21" s="30"/>
      <c r="AG21" s="30"/>
      <c r="AH21" s="30"/>
      <c r="AI21" s="30"/>
      <c r="AJ21" s="30"/>
      <c r="AK21" s="30"/>
      <c r="AL21" s="30"/>
    </row>
    <row r="22" spans="1:38">
      <c r="A22" s="2" t="s">
        <v>263</v>
      </c>
      <c r="B22" s="33">
        <f t="shared" si="2"/>
        <v>-656116</v>
      </c>
      <c r="C22" s="33">
        <f t="shared" si="3"/>
        <v>-476</v>
      </c>
      <c r="E22" s="72"/>
      <c r="F22" s="30"/>
      <c r="G22" s="30"/>
      <c r="H22" s="30"/>
      <c r="I22" s="30"/>
      <c r="J22" s="72"/>
      <c r="K22" s="72"/>
      <c r="L22" s="30"/>
      <c r="M22" s="72"/>
      <c r="N22" s="72"/>
      <c r="O22" s="30"/>
      <c r="P22" s="72"/>
      <c r="Q22" s="72"/>
      <c r="R22" s="30"/>
      <c r="S22" s="72"/>
      <c r="T22" s="72"/>
      <c r="U22" s="30"/>
      <c r="V22" s="72"/>
      <c r="W22" s="72"/>
      <c r="X22" s="30"/>
      <c r="Y22" s="72"/>
      <c r="Z22" s="72"/>
      <c r="AA22" s="30"/>
      <c r="AB22" s="72"/>
      <c r="AC22" s="72"/>
      <c r="AD22" s="30"/>
      <c r="AE22" s="30"/>
      <c r="AF22" s="30"/>
      <c r="AG22" s="30"/>
      <c r="AH22" s="30"/>
      <c r="AI22" s="30"/>
      <c r="AJ22" s="30"/>
      <c r="AK22" s="30"/>
      <c r="AL22" s="30"/>
    </row>
    <row r="23" spans="1:38">
      <c r="A23" s="2" t="s">
        <v>264</v>
      </c>
      <c r="B23" s="33">
        <f t="shared" si="2"/>
        <v>-656592</v>
      </c>
      <c r="C23" s="33">
        <f t="shared" si="3"/>
        <v>-476</v>
      </c>
      <c r="E23" s="72"/>
      <c r="F23" s="30"/>
      <c r="G23" s="30"/>
      <c r="H23" s="30"/>
      <c r="I23" s="30"/>
      <c r="J23" s="72"/>
      <c r="K23" s="72"/>
      <c r="L23" s="30"/>
      <c r="M23" s="72"/>
      <c r="N23" s="72"/>
      <c r="O23" s="30"/>
      <c r="P23" s="72"/>
      <c r="Q23" s="72"/>
      <c r="R23" s="30"/>
      <c r="S23" s="72"/>
      <c r="T23" s="72"/>
      <c r="U23" s="30"/>
      <c r="V23" s="72"/>
      <c r="W23" s="72"/>
      <c r="X23" s="30"/>
      <c r="Y23" s="72"/>
      <c r="Z23" s="72"/>
      <c r="AA23" s="30"/>
      <c r="AB23" s="72"/>
      <c r="AC23" s="72"/>
      <c r="AD23" s="30"/>
      <c r="AE23" s="30"/>
      <c r="AF23" s="30"/>
      <c r="AG23" s="30"/>
      <c r="AH23" s="30"/>
      <c r="AI23" s="30"/>
      <c r="AJ23" s="30"/>
      <c r="AK23" s="30"/>
      <c r="AL23" s="30"/>
    </row>
    <row r="24" spans="1:38">
      <c r="A24" s="2" t="s">
        <v>560</v>
      </c>
      <c r="B24" s="33">
        <f t="shared" si="2"/>
        <v>-657068</v>
      </c>
      <c r="C24" s="33">
        <f t="shared" si="3"/>
        <v>-476</v>
      </c>
      <c r="E24" s="72"/>
      <c r="F24" s="30"/>
      <c r="G24" s="30"/>
      <c r="H24" s="30"/>
      <c r="I24" s="30"/>
      <c r="J24" s="72"/>
      <c r="K24" s="72"/>
      <c r="L24" s="30"/>
      <c r="M24" s="72"/>
      <c r="N24" s="72"/>
      <c r="O24" s="30"/>
      <c r="P24" s="72"/>
      <c r="Q24" s="72"/>
      <c r="R24" s="30"/>
      <c r="S24" s="72"/>
      <c r="T24" s="72"/>
      <c r="U24" s="30"/>
      <c r="V24" s="72"/>
      <c r="W24" s="72"/>
      <c r="X24" s="30"/>
      <c r="Y24" s="72"/>
      <c r="Z24" s="72"/>
      <c r="AA24" s="30"/>
      <c r="AB24" s="72"/>
      <c r="AC24" s="72"/>
      <c r="AD24" s="30"/>
      <c r="AE24" s="30"/>
      <c r="AF24" s="30"/>
      <c r="AG24" s="30"/>
      <c r="AH24" s="30"/>
      <c r="AI24" s="30"/>
      <c r="AJ24" s="30"/>
      <c r="AK24" s="30"/>
      <c r="AL24" s="30"/>
    </row>
    <row r="25" spans="1:38">
      <c r="A25" s="2" t="s">
        <v>561</v>
      </c>
      <c r="B25" s="33">
        <f t="shared" si="2"/>
        <v>-657544</v>
      </c>
      <c r="C25" s="33">
        <f t="shared" si="3"/>
        <v>-477</v>
      </c>
      <c r="E25" s="72"/>
      <c r="F25" s="30"/>
      <c r="G25" s="30"/>
      <c r="H25" s="30"/>
      <c r="I25" s="30"/>
      <c r="J25" s="72"/>
      <c r="K25" s="72"/>
      <c r="L25" s="30"/>
      <c r="M25" s="72"/>
      <c r="N25" s="72"/>
      <c r="O25" s="30"/>
      <c r="P25" s="72"/>
      <c r="Q25" s="72"/>
      <c r="R25" s="30"/>
      <c r="S25" s="72"/>
      <c r="T25" s="72"/>
      <c r="U25" s="30"/>
      <c r="V25" s="72"/>
      <c r="W25" s="72"/>
      <c r="X25" s="30"/>
      <c r="Y25" s="72"/>
      <c r="Z25" s="72"/>
      <c r="AA25" s="30"/>
      <c r="AB25" s="72"/>
      <c r="AC25" s="72"/>
      <c r="AD25" s="30"/>
      <c r="AE25" s="30"/>
      <c r="AF25" s="30"/>
      <c r="AG25" s="30"/>
      <c r="AH25" s="30"/>
      <c r="AI25" s="30"/>
      <c r="AJ25" s="30"/>
      <c r="AK25" s="30"/>
      <c r="AL25" s="30"/>
    </row>
    <row r="26" spans="1:38">
      <c r="A26" s="2" t="s">
        <v>562</v>
      </c>
      <c r="B26" s="33">
        <f t="shared" si="2"/>
        <v>-658021</v>
      </c>
      <c r="C26" s="33">
        <f t="shared" si="3"/>
        <v>-477</v>
      </c>
      <c r="E26" s="72"/>
      <c r="F26" s="30"/>
      <c r="G26" s="30"/>
      <c r="H26" s="30"/>
      <c r="I26" s="30"/>
      <c r="J26" s="72"/>
      <c r="K26" s="72"/>
      <c r="L26" s="30"/>
      <c r="M26" s="72"/>
      <c r="N26" s="72"/>
      <c r="O26" s="30"/>
      <c r="P26" s="72"/>
      <c r="Q26" s="72"/>
      <c r="R26" s="30"/>
      <c r="S26" s="72"/>
      <c r="T26" s="72"/>
      <c r="U26" s="30"/>
      <c r="V26" s="72"/>
      <c r="W26" s="72"/>
      <c r="X26" s="30"/>
      <c r="Y26" s="72"/>
      <c r="Z26" s="72"/>
      <c r="AA26" s="30"/>
      <c r="AB26" s="72"/>
      <c r="AC26" s="72"/>
      <c r="AD26" s="30"/>
      <c r="AE26" s="30"/>
      <c r="AF26" s="30"/>
      <c r="AG26" s="30"/>
      <c r="AH26" s="30"/>
      <c r="AI26" s="30"/>
      <c r="AJ26" s="30"/>
      <c r="AK26" s="30"/>
      <c r="AL26" s="30"/>
    </row>
    <row r="27" spans="1:38">
      <c r="A27" s="2" t="s">
        <v>563</v>
      </c>
      <c r="B27" s="33">
        <f t="shared" si="2"/>
        <v>-658498</v>
      </c>
      <c r="C27" s="33">
        <f t="shared" si="3"/>
        <v>-477</v>
      </c>
      <c r="E27" s="72"/>
      <c r="F27" s="30"/>
      <c r="G27" s="30"/>
      <c r="H27" s="30"/>
      <c r="I27" s="30"/>
      <c r="J27" s="72"/>
      <c r="K27" s="72"/>
      <c r="L27" s="30"/>
      <c r="M27" s="72"/>
      <c r="N27" s="72"/>
      <c r="O27" s="30"/>
      <c r="P27" s="72"/>
      <c r="Q27" s="72"/>
      <c r="R27" s="30"/>
      <c r="S27" s="72"/>
      <c r="T27" s="72"/>
      <c r="U27" s="30"/>
      <c r="V27" s="72"/>
      <c r="W27" s="72"/>
      <c r="X27" s="30"/>
      <c r="Y27" s="72"/>
      <c r="Z27" s="72"/>
      <c r="AA27" s="30"/>
      <c r="AB27" s="72"/>
      <c r="AC27" s="72"/>
      <c r="AD27" s="30"/>
      <c r="AE27" s="30"/>
      <c r="AF27" s="30"/>
      <c r="AG27" s="30"/>
      <c r="AH27" s="30"/>
      <c r="AI27" s="30"/>
      <c r="AJ27" s="30"/>
      <c r="AK27" s="30"/>
      <c r="AL27" s="30"/>
    </row>
    <row r="28" spans="1:38">
      <c r="A28" s="2" t="s">
        <v>106</v>
      </c>
      <c r="B28" s="34"/>
      <c r="C28" s="35">
        <f>SUM(C20:C27)</f>
        <v>-3809</v>
      </c>
      <c r="E28" s="73"/>
      <c r="F28" s="30"/>
      <c r="G28" s="30"/>
      <c r="H28" s="30"/>
      <c r="I28" s="30"/>
      <c r="J28" s="73"/>
      <c r="K28" s="73"/>
      <c r="L28" s="30"/>
      <c r="M28" s="73"/>
      <c r="N28" s="73"/>
      <c r="O28" s="30"/>
      <c r="P28" s="73"/>
      <c r="Q28" s="73"/>
      <c r="R28" s="30"/>
      <c r="S28" s="73"/>
      <c r="T28" s="73"/>
      <c r="U28" s="30"/>
      <c r="V28" s="73"/>
      <c r="W28" s="73"/>
      <c r="X28" s="30"/>
      <c r="Y28" s="73"/>
      <c r="Z28" s="73"/>
      <c r="AA28" s="30"/>
      <c r="AB28" s="73"/>
      <c r="AC28" s="73"/>
      <c r="AD28" s="30"/>
      <c r="AE28" s="30"/>
      <c r="AF28" s="30"/>
      <c r="AG28" s="30"/>
      <c r="AH28" s="30"/>
      <c r="AI28" s="30"/>
      <c r="AJ28" s="30"/>
      <c r="AK28" s="30"/>
      <c r="AL28" s="30"/>
    </row>
    <row r="29" spans="1:38">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38">
      <c r="A30" s="2" t="s">
        <v>193</v>
      </c>
      <c r="C30" s="79">
        <v>2.8999999999999998E-3</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2" spans="1:38">
      <c r="A32" s="80"/>
    </row>
    <row r="34" spans="2:2">
      <c r="B34" s="34"/>
    </row>
  </sheetData>
  <phoneticPr fontId="4" type="noConversion"/>
  <pageMargins left="0.5" right="0.25" top="1" bottom="0.5" header="0.5" footer="0.5"/>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3FBB3"/>
    <pageSetUpPr fitToPage="1"/>
  </sheetPr>
  <dimension ref="A1:AL36"/>
  <sheetViews>
    <sheetView showGridLines="0" workbookViewId="0">
      <selection activeCell="A2" sqref="A2"/>
    </sheetView>
  </sheetViews>
  <sheetFormatPr defaultRowHeight="15.75"/>
  <cols>
    <col min="1" max="1" width="18.125" style="2" customWidth="1"/>
    <col min="2" max="2" width="12.625" style="2" bestFit="1" customWidth="1"/>
    <col min="3" max="3" width="10.625" style="2" bestFit="1" customWidth="1"/>
    <col min="4" max="4" width="2.375" style="2" customWidth="1"/>
    <col min="5" max="5" width="9" style="2"/>
    <col min="6" max="6" width="14.75" style="2" bestFit="1" customWidth="1"/>
    <col min="7" max="7" width="1.625" style="2" customWidth="1"/>
    <col min="8" max="8" width="11.125" style="2" bestFit="1" customWidth="1"/>
    <col min="9" max="9" width="1.625" style="2" customWidth="1"/>
    <col min="10" max="10" width="12.875" style="2" customWidth="1"/>
    <col min="11" max="11" width="9" style="2"/>
    <col min="12" max="12" width="10.125" style="2" bestFit="1" customWidth="1"/>
    <col min="13" max="16384" width="9" style="2"/>
  </cols>
  <sheetData>
    <row r="1" spans="1:16" ht="18.75">
      <c r="A1" s="38" t="s">
        <v>114</v>
      </c>
    </row>
    <row r="2" spans="1:16">
      <c r="E2" s="3"/>
      <c r="F2" s="3" t="s">
        <v>97</v>
      </c>
      <c r="G2" s="3"/>
      <c r="H2" s="3" t="s">
        <v>98</v>
      </c>
      <c r="I2" s="3"/>
      <c r="J2" s="3" t="s">
        <v>12</v>
      </c>
    </row>
    <row r="3" spans="1:16">
      <c r="A3" s="2" t="s">
        <v>155</v>
      </c>
      <c r="E3" s="3"/>
      <c r="F3" s="3" t="s">
        <v>99</v>
      </c>
      <c r="G3" s="3"/>
      <c r="H3" s="3" t="s">
        <v>100</v>
      </c>
      <c r="I3" s="3"/>
      <c r="J3" s="3" t="s">
        <v>101</v>
      </c>
    </row>
    <row r="4" spans="1:16">
      <c r="A4" s="30"/>
      <c r="B4" s="30"/>
      <c r="E4" s="3" t="s">
        <v>103</v>
      </c>
      <c r="F4" s="3" t="s">
        <v>102</v>
      </c>
      <c r="G4" s="3"/>
      <c r="H4" s="3" t="s">
        <v>102</v>
      </c>
      <c r="I4" s="3"/>
      <c r="J4" s="3" t="s">
        <v>52</v>
      </c>
    </row>
    <row r="5" spans="1:16">
      <c r="A5" s="28" t="s">
        <v>30</v>
      </c>
      <c r="B5" s="31">
        <f>ROUND(C34,0)</f>
        <v>456607</v>
      </c>
      <c r="E5" s="104" t="s">
        <v>145</v>
      </c>
      <c r="F5" s="151">
        <f>ROUND('Att GG True Up'!F73,0)</f>
        <v>1078348</v>
      </c>
      <c r="G5" s="32"/>
      <c r="H5" s="216">
        <f>F5/F$18</f>
        <v>3.2378419163351629E-2</v>
      </c>
      <c r="I5" s="32"/>
      <c r="J5" s="22">
        <f t="shared" ref="J5:J17" si="0">ROUND(H5*$B$5,2)</f>
        <v>14784.21</v>
      </c>
      <c r="L5" s="288"/>
      <c r="P5" s="21"/>
    </row>
    <row r="6" spans="1:16">
      <c r="A6" s="28"/>
      <c r="B6" s="31"/>
      <c r="E6" s="104" t="s">
        <v>146</v>
      </c>
      <c r="F6" s="151">
        <f>ROUND('Att GG True Up'!F113,0)</f>
        <v>532587</v>
      </c>
      <c r="G6" s="32"/>
      <c r="H6" s="216">
        <f t="shared" ref="H6:H17" si="1">F6/F$18</f>
        <v>1.5991428673259422E-2</v>
      </c>
      <c r="I6" s="32"/>
      <c r="J6" s="22">
        <f t="shared" si="0"/>
        <v>7301.8</v>
      </c>
      <c r="L6" s="288"/>
      <c r="P6" s="21"/>
    </row>
    <row r="7" spans="1:16">
      <c r="A7" s="28"/>
      <c r="B7" s="31"/>
      <c r="E7" s="104" t="s">
        <v>147</v>
      </c>
      <c r="F7" s="151">
        <f>ROUND('Att GG True Up'!F153,0)</f>
        <v>707716</v>
      </c>
      <c r="G7" s="32"/>
      <c r="H7" s="216">
        <f t="shared" si="1"/>
        <v>2.1249842626508846E-2</v>
      </c>
      <c r="I7" s="32"/>
      <c r="J7" s="22">
        <f t="shared" si="0"/>
        <v>9702.83</v>
      </c>
      <c r="L7" s="288"/>
      <c r="P7" s="21"/>
    </row>
    <row r="8" spans="1:16">
      <c r="A8" s="28"/>
      <c r="B8" s="31"/>
      <c r="E8" s="104" t="s">
        <v>148</v>
      </c>
      <c r="F8" s="151">
        <f>ROUND('Att GG True Up'!F195,0)</f>
        <v>1221602</v>
      </c>
      <c r="G8" s="32"/>
      <c r="H8" s="216">
        <f t="shared" si="1"/>
        <v>3.6679756077619356E-2</v>
      </c>
      <c r="I8" s="32"/>
      <c r="J8" s="22">
        <f t="shared" si="0"/>
        <v>16748.23</v>
      </c>
      <c r="L8" s="288"/>
      <c r="P8" s="21"/>
    </row>
    <row r="9" spans="1:16">
      <c r="A9" s="28"/>
      <c r="B9" s="31"/>
      <c r="E9" s="104" t="s">
        <v>149</v>
      </c>
      <c r="F9" s="151">
        <f>ROUND('Att GG True Up'!F235,0)</f>
        <v>5438440</v>
      </c>
      <c r="G9" s="32"/>
      <c r="H9" s="216">
        <f t="shared" si="1"/>
        <v>0.16329430750994858</v>
      </c>
      <c r="I9" s="32"/>
      <c r="J9" s="22">
        <f t="shared" si="0"/>
        <v>74561.320000000007</v>
      </c>
      <c r="L9" s="288"/>
      <c r="P9" s="21"/>
    </row>
    <row r="10" spans="1:16">
      <c r="A10" s="28"/>
      <c r="B10" s="31"/>
      <c r="E10" s="104" t="s">
        <v>301</v>
      </c>
      <c r="F10" s="151">
        <f>ROUND('Att GG True Up'!F277,0)</f>
        <v>20614196</v>
      </c>
      <c r="G10" s="32"/>
      <c r="H10" s="216">
        <f t="shared" si="1"/>
        <v>0.61896074254645672</v>
      </c>
      <c r="I10" s="32"/>
      <c r="J10" s="22">
        <f t="shared" si="0"/>
        <v>282621.81</v>
      </c>
      <c r="L10" s="288"/>
      <c r="P10" s="21"/>
    </row>
    <row r="11" spans="1:16">
      <c r="A11" s="28"/>
      <c r="B11" s="31"/>
      <c r="E11" s="104" t="s">
        <v>151</v>
      </c>
      <c r="F11" s="151">
        <f>ROUND('Att GG True Up'!F359,0)</f>
        <v>74815</v>
      </c>
      <c r="G11" s="32"/>
      <c r="H11" s="216">
        <f t="shared" si="1"/>
        <v>2.246391174005193E-3</v>
      </c>
      <c r="I11" s="32"/>
      <c r="J11" s="22">
        <f t="shared" si="0"/>
        <v>1025.72</v>
      </c>
      <c r="L11" s="288"/>
      <c r="P11" s="21"/>
    </row>
    <row r="12" spans="1:16">
      <c r="A12" s="28"/>
      <c r="B12" s="31"/>
      <c r="E12" s="104" t="s">
        <v>152</v>
      </c>
      <c r="F12" s="151">
        <f>ROUND('Att GG True Up'!F401,0)</f>
        <v>19936</v>
      </c>
      <c r="G12" s="32"/>
      <c r="H12" s="216">
        <f t="shared" si="1"/>
        <v>5.9859726585534357E-4</v>
      </c>
      <c r="I12" s="32"/>
      <c r="J12" s="22">
        <f t="shared" si="0"/>
        <v>273.32</v>
      </c>
      <c r="L12" s="288"/>
      <c r="P12" s="21"/>
    </row>
    <row r="13" spans="1:16">
      <c r="A13" s="28"/>
      <c r="B13" s="31"/>
      <c r="E13" s="104" t="s">
        <v>191</v>
      </c>
      <c r="F13" s="151">
        <f>ROUND('Att GG True Up'!F443,0)</f>
        <v>14979</v>
      </c>
      <c r="G13" s="32"/>
      <c r="H13" s="216">
        <f t="shared" si="1"/>
        <v>4.4975864994217454E-4</v>
      </c>
      <c r="I13" s="32"/>
      <c r="J13" s="22">
        <f t="shared" si="0"/>
        <v>205.36</v>
      </c>
      <c r="L13" s="288"/>
      <c r="P13" s="21"/>
    </row>
    <row r="14" spans="1:16">
      <c r="A14" s="28"/>
      <c r="B14" s="31"/>
      <c r="E14" s="104" t="s">
        <v>192</v>
      </c>
      <c r="F14" s="151">
        <f>ROUND('Att GG True Up'!F485,0)</f>
        <v>73929</v>
      </c>
      <c r="G14" s="32"/>
      <c r="H14" s="216">
        <f t="shared" si="1"/>
        <v>2.2197881855647921E-3</v>
      </c>
      <c r="I14" s="32"/>
      <c r="J14" s="22">
        <f t="shared" si="0"/>
        <v>1013.57</v>
      </c>
      <c r="L14" s="288"/>
      <c r="P14" s="21"/>
    </row>
    <row r="15" spans="1:16">
      <c r="A15" s="28"/>
      <c r="B15" s="31"/>
      <c r="E15" s="104" t="s">
        <v>302</v>
      </c>
      <c r="F15" s="151">
        <f>ROUND('Att GG True Up'!F527,0)</f>
        <v>713252</v>
      </c>
      <c r="G15" s="32"/>
      <c r="H15" s="216">
        <f t="shared" si="1"/>
        <v>2.1416066265341871E-2</v>
      </c>
      <c r="I15" s="32"/>
      <c r="J15" s="22">
        <f t="shared" si="0"/>
        <v>9778.73</v>
      </c>
      <c r="L15" s="288"/>
      <c r="P15" s="21"/>
    </row>
    <row r="16" spans="1:16">
      <c r="A16" s="30"/>
      <c r="B16" s="30"/>
      <c r="E16" s="74" t="s">
        <v>303</v>
      </c>
      <c r="F16" s="151">
        <f>ROUND('Att GG True Up'!F569,0)</f>
        <v>1724364</v>
      </c>
      <c r="G16" s="32"/>
      <c r="H16" s="216">
        <f t="shared" si="1"/>
        <v>5.1775660901855119E-2</v>
      </c>
      <c r="I16" s="32"/>
      <c r="J16" s="22">
        <f t="shared" si="0"/>
        <v>23641.13</v>
      </c>
      <c r="L16" s="288"/>
    </row>
    <row r="17" spans="1:38">
      <c r="A17" s="30"/>
      <c r="B17" s="30"/>
      <c r="E17" s="74" t="s">
        <v>304</v>
      </c>
      <c r="F17" s="151">
        <f>ROUND('Att GG True Up'!F611,0)</f>
        <v>1090365</v>
      </c>
      <c r="G17" s="32"/>
      <c r="H17" s="216">
        <f t="shared" si="1"/>
        <v>3.2739240960291016E-2</v>
      </c>
      <c r="I17" s="32"/>
      <c r="J17" s="22">
        <f t="shared" si="0"/>
        <v>14948.97</v>
      </c>
      <c r="L17" s="288"/>
    </row>
    <row r="18" spans="1:38" ht="16.5" thickBot="1">
      <c r="A18" s="30"/>
      <c r="B18" s="30"/>
      <c r="F18" s="68">
        <f>SUM(F5:F17)</f>
        <v>33304529</v>
      </c>
      <c r="G18" s="70"/>
      <c r="H18" s="217">
        <f>SUM(H5:H17)</f>
        <v>1</v>
      </c>
      <c r="I18" s="70"/>
      <c r="J18" s="213">
        <f>SUM(J5:J17)</f>
        <v>456606.99999999994</v>
      </c>
    </row>
    <row r="19" spans="1:38" ht="16.5" thickTop="1">
      <c r="A19" s="30"/>
      <c r="B19" s="30"/>
    </row>
    <row r="20" spans="1:38">
      <c r="A20" s="30"/>
      <c r="B20" s="30"/>
    </row>
    <row r="21" spans="1:38">
      <c r="A21" s="30"/>
      <c r="B21" s="30"/>
    </row>
    <row r="22" spans="1:38">
      <c r="H22" s="170"/>
    </row>
    <row r="23" spans="1:38">
      <c r="A23" s="2" t="s">
        <v>104</v>
      </c>
      <c r="E23" s="30"/>
      <c r="F23" s="30"/>
      <c r="G23" s="30"/>
      <c r="H23" s="171"/>
      <c r="I23" s="30"/>
      <c r="J23" s="30"/>
      <c r="K23" s="30"/>
      <c r="L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c r="B24" s="37" t="s">
        <v>154</v>
      </c>
      <c r="E24" s="30"/>
      <c r="F24" s="30"/>
      <c r="G24" s="30"/>
      <c r="H24" s="171"/>
      <c r="I24" s="30"/>
      <c r="J24" s="69"/>
      <c r="K24" s="30"/>
      <c r="L24" s="30"/>
      <c r="O24" s="30"/>
      <c r="P24" s="69"/>
      <c r="Q24" s="30"/>
      <c r="R24" s="30"/>
      <c r="S24" s="69"/>
      <c r="T24" s="30"/>
      <c r="U24" s="30"/>
      <c r="V24" s="69"/>
      <c r="W24" s="30"/>
      <c r="X24" s="30"/>
      <c r="Y24" s="69"/>
      <c r="Z24" s="30"/>
      <c r="AA24" s="30"/>
      <c r="AB24" s="69"/>
      <c r="AC24" s="30"/>
      <c r="AD24" s="30"/>
      <c r="AE24" s="30"/>
      <c r="AF24" s="30"/>
      <c r="AG24" s="30"/>
      <c r="AH24" s="30"/>
      <c r="AI24" s="30"/>
      <c r="AJ24" s="30"/>
      <c r="AK24" s="30"/>
      <c r="AL24" s="30"/>
    </row>
    <row r="25" spans="1:38">
      <c r="B25" s="36" t="s">
        <v>105</v>
      </c>
      <c r="C25" s="3" t="s">
        <v>52</v>
      </c>
      <c r="E25" s="69"/>
      <c r="F25" s="30"/>
      <c r="G25" s="30"/>
      <c r="H25" s="171"/>
      <c r="I25" s="30"/>
      <c r="J25" s="69"/>
      <c r="K25" s="69"/>
      <c r="L25" s="30"/>
      <c r="O25" s="30"/>
      <c r="P25" s="69"/>
      <c r="Q25" s="69"/>
      <c r="R25" s="30"/>
      <c r="S25" s="69"/>
      <c r="T25" s="69"/>
      <c r="U25" s="30"/>
      <c r="V25" s="69"/>
      <c r="W25" s="69"/>
      <c r="X25" s="30"/>
      <c r="Y25" s="69"/>
      <c r="Z25" s="69"/>
      <c r="AA25" s="30"/>
      <c r="AB25" s="69"/>
      <c r="AC25" s="69"/>
      <c r="AD25" s="30"/>
      <c r="AE25" s="30"/>
      <c r="AF25" s="30"/>
      <c r="AG25" s="30"/>
      <c r="AH25" s="30"/>
      <c r="AI25" s="30"/>
      <c r="AJ25" s="30"/>
      <c r="AK25" s="30"/>
      <c r="AL25" s="30"/>
    </row>
    <row r="26" spans="1:38">
      <c r="A26" s="2" t="s">
        <v>261</v>
      </c>
      <c r="B26" s="33">
        <f>ROUND('Att GG True Up'!K71+'Att GG True Up'!K111+'Att GG True Up'!K151+'Att GG True Up'!K193+'Att GG True Up'!K233+'Att GG True Up'!K275+'Att GG True Up'!K357+'Att GG True Up'!K399+'Att GG True Up'!K441+'Att GG True Up'!K483+'Att GG True Up'!K525+'Att GG True Up'!K567+'Att GG True Up'!K609,0)</f>
        <v>6827389</v>
      </c>
      <c r="C26" s="33">
        <f t="shared" ref="C26:C33" si="2">ROUND(B26*$C$36/4,0)</f>
        <v>55473</v>
      </c>
      <c r="E26" s="72"/>
      <c r="F26" s="30"/>
      <c r="G26" s="30"/>
      <c r="H26" s="172"/>
      <c r="I26" s="30"/>
      <c r="J26" s="72"/>
      <c r="K26" s="72"/>
      <c r="L26" s="30"/>
      <c r="O26" s="30"/>
      <c r="P26" s="72"/>
      <c r="Q26" s="72"/>
      <c r="R26" s="30"/>
      <c r="S26" s="72"/>
      <c r="T26" s="72"/>
      <c r="U26" s="30"/>
      <c r="V26" s="72"/>
      <c r="W26" s="72"/>
      <c r="X26" s="30"/>
      <c r="Y26" s="72"/>
      <c r="Z26" s="72"/>
      <c r="AA26" s="30"/>
      <c r="AB26" s="72"/>
      <c r="AC26" s="72"/>
      <c r="AD26" s="30"/>
      <c r="AE26" s="30"/>
      <c r="AF26" s="30"/>
      <c r="AG26" s="30"/>
      <c r="AH26" s="30"/>
      <c r="AI26" s="30"/>
      <c r="AJ26" s="30"/>
      <c r="AK26" s="30"/>
      <c r="AL26" s="30"/>
    </row>
    <row r="27" spans="1:38">
      <c r="A27" s="2" t="s">
        <v>262</v>
      </c>
      <c r="B27" s="33">
        <f t="shared" ref="B27:B33" si="3">B26+C26</f>
        <v>6882862</v>
      </c>
      <c r="C27" s="33">
        <f t="shared" si="2"/>
        <v>55923</v>
      </c>
      <c r="E27" s="72"/>
      <c r="F27" s="30">
        <f>F26/4</f>
        <v>0</v>
      </c>
      <c r="G27" s="30"/>
      <c r="H27" s="30"/>
      <c r="I27" s="30"/>
      <c r="J27" s="72"/>
      <c r="K27" s="72"/>
      <c r="L27" s="30"/>
      <c r="O27" s="30"/>
      <c r="P27" s="72"/>
      <c r="Q27" s="72"/>
      <c r="R27" s="30"/>
      <c r="S27" s="72"/>
      <c r="T27" s="72"/>
      <c r="U27" s="30"/>
      <c r="V27" s="72"/>
      <c r="W27" s="72"/>
      <c r="X27" s="30"/>
      <c r="Y27" s="72"/>
      <c r="Z27" s="72"/>
      <c r="AA27" s="30"/>
      <c r="AB27" s="72"/>
      <c r="AC27" s="72"/>
      <c r="AD27" s="30"/>
      <c r="AE27" s="30"/>
      <c r="AF27" s="30"/>
      <c r="AG27" s="30"/>
      <c r="AH27" s="30"/>
      <c r="AI27" s="30"/>
      <c r="AJ27" s="30"/>
      <c r="AK27" s="30"/>
      <c r="AL27" s="30"/>
    </row>
    <row r="28" spans="1:38">
      <c r="A28" s="2" t="s">
        <v>263</v>
      </c>
      <c r="B28" s="33">
        <f t="shared" si="3"/>
        <v>6938785</v>
      </c>
      <c r="C28" s="33">
        <f t="shared" si="2"/>
        <v>56378</v>
      </c>
      <c r="E28" s="72"/>
      <c r="F28" s="30"/>
      <c r="G28" s="30"/>
      <c r="H28" s="30"/>
      <c r="I28" s="30"/>
      <c r="J28" s="72"/>
      <c r="K28" s="72"/>
      <c r="L28" s="30"/>
      <c r="O28" s="30"/>
      <c r="P28" s="72"/>
      <c r="Q28" s="72"/>
      <c r="R28" s="30"/>
      <c r="S28" s="72"/>
      <c r="T28" s="72"/>
      <c r="U28" s="30"/>
      <c r="V28" s="72"/>
      <c r="W28" s="72"/>
      <c r="X28" s="30"/>
      <c r="Y28" s="72"/>
      <c r="Z28" s="72"/>
      <c r="AA28" s="30"/>
      <c r="AB28" s="72"/>
      <c r="AC28" s="72"/>
      <c r="AD28" s="30"/>
      <c r="AE28" s="30"/>
      <c r="AF28" s="30"/>
      <c r="AG28" s="30"/>
      <c r="AH28" s="30"/>
      <c r="AI28" s="30"/>
      <c r="AJ28" s="30"/>
      <c r="AK28" s="30"/>
      <c r="AL28" s="30"/>
    </row>
    <row r="29" spans="1:38">
      <c r="A29" s="2" t="s">
        <v>264</v>
      </c>
      <c r="B29" s="33">
        <f t="shared" si="3"/>
        <v>6995163</v>
      </c>
      <c r="C29" s="33">
        <f t="shared" si="2"/>
        <v>56836</v>
      </c>
      <c r="E29" s="72"/>
      <c r="F29" s="30"/>
      <c r="G29" s="30"/>
      <c r="H29" s="30"/>
      <c r="I29" s="30"/>
      <c r="J29" s="72"/>
      <c r="K29" s="72"/>
      <c r="L29" s="30"/>
      <c r="O29" s="30"/>
      <c r="P29" s="72"/>
      <c r="Q29" s="72"/>
      <c r="R29" s="30"/>
      <c r="S29" s="72"/>
      <c r="T29" s="72"/>
      <c r="U29" s="30"/>
      <c r="V29" s="72"/>
      <c r="W29" s="72"/>
      <c r="X29" s="30"/>
      <c r="Y29" s="72"/>
      <c r="Z29" s="72"/>
      <c r="AA29" s="30"/>
      <c r="AB29" s="72"/>
      <c r="AC29" s="72"/>
      <c r="AD29" s="30"/>
      <c r="AE29" s="30"/>
      <c r="AF29" s="30"/>
      <c r="AG29" s="30"/>
      <c r="AH29" s="30"/>
      <c r="AI29" s="30"/>
      <c r="AJ29" s="30"/>
      <c r="AK29" s="30"/>
      <c r="AL29" s="30"/>
    </row>
    <row r="30" spans="1:38">
      <c r="A30" s="2" t="s">
        <v>560</v>
      </c>
      <c r="B30" s="33">
        <f t="shared" si="3"/>
        <v>7051999</v>
      </c>
      <c r="C30" s="33">
        <f t="shared" si="2"/>
        <v>57297</v>
      </c>
      <c r="E30" s="72"/>
      <c r="F30" s="30"/>
      <c r="G30" s="30"/>
      <c r="H30" s="30"/>
      <c r="I30" s="30"/>
      <c r="J30" s="72"/>
      <c r="K30" s="72"/>
      <c r="L30" s="30"/>
      <c r="O30" s="30"/>
      <c r="P30" s="72"/>
      <c r="Q30" s="72"/>
      <c r="R30" s="30"/>
      <c r="S30" s="72"/>
      <c r="T30" s="72"/>
      <c r="U30" s="30"/>
      <c r="V30" s="72"/>
      <c r="W30" s="72"/>
      <c r="X30" s="30"/>
      <c r="Y30" s="72"/>
      <c r="Z30" s="72"/>
      <c r="AA30" s="30"/>
      <c r="AB30" s="72"/>
      <c r="AC30" s="72"/>
      <c r="AD30" s="30"/>
      <c r="AE30" s="30"/>
      <c r="AF30" s="30"/>
      <c r="AG30" s="30"/>
      <c r="AH30" s="30"/>
      <c r="AI30" s="30"/>
      <c r="AJ30" s="30"/>
      <c r="AK30" s="30"/>
      <c r="AL30" s="30"/>
    </row>
    <row r="31" spans="1:38">
      <c r="A31" s="2" t="s">
        <v>561</v>
      </c>
      <c r="B31" s="33">
        <f t="shared" si="3"/>
        <v>7109296</v>
      </c>
      <c r="C31" s="33">
        <f t="shared" si="2"/>
        <v>57763</v>
      </c>
      <c r="E31" s="72"/>
      <c r="F31" s="30"/>
      <c r="G31" s="30"/>
      <c r="H31" s="30"/>
      <c r="I31" s="30"/>
      <c r="J31" s="72"/>
      <c r="K31" s="72"/>
      <c r="L31" s="30"/>
      <c r="O31" s="30"/>
      <c r="P31" s="72"/>
      <c r="Q31" s="72"/>
      <c r="R31" s="30"/>
      <c r="S31" s="72"/>
      <c r="T31" s="72"/>
      <c r="U31" s="30"/>
      <c r="V31" s="72"/>
      <c r="W31" s="72"/>
      <c r="X31" s="30"/>
      <c r="Y31" s="72"/>
      <c r="Z31" s="72"/>
      <c r="AA31" s="30"/>
      <c r="AB31" s="72"/>
      <c r="AC31" s="72"/>
      <c r="AD31" s="30"/>
      <c r="AE31" s="30"/>
      <c r="AF31" s="30"/>
      <c r="AG31" s="30"/>
      <c r="AH31" s="30"/>
      <c r="AI31" s="30"/>
      <c r="AJ31" s="30"/>
      <c r="AK31" s="30"/>
      <c r="AL31" s="30"/>
    </row>
    <row r="32" spans="1:38">
      <c r="A32" s="2" t="s">
        <v>562</v>
      </c>
      <c r="B32" s="33">
        <f t="shared" si="3"/>
        <v>7167059</v>
      </c>
      <c r="C32" s="33">
        <f t="shared" si="2"/>
        <v>58232</v>
      </c>
      <c r="E32" s="72"/>
      <c r="F32" s="30"/>
      <c r="G32" s="30"/>
      <c r="H32" s="30"/>
      <c r="I32" s="30"/>
      <c r="J32" s="72"/>
      <c r="K32" s="72"/>
      <c r="L32" s="30"/>
      <c r="O32" s="30"/>
      <c r="P32" s="72"/>
      <c r="Q32" s="72"/>
      <c r="R32" s="30"/>
      <c r="S32" s="72"/>
      <c r="T32" s="72"/>
      <c r="U32" s="30"/>
      <c r="V32" s="72"/>
      <c r="W32" s="72"/>
      <c r="X32" s="30"/>
      <c r="Y32" s="72"/>
      <c r="Z32" s="72"/>
      <c r="AA32" s="30"/>
      <c r="AB32" s="72"/>
      <c r="AC32" s="72"/>
      <c r="AD32" s="30"/>
      <c r="AE32" s="30"/>
      <c r="AF32" s="30"/>
      <c r="AG32" s="30"/>
      <c r="AH32" s="30"/>
      <c r="AI32" s="30"/>
      <c r="AJ32" s="30"/>
      <c r="AK32" s="30"/>
      <c r="AL32" s="30"/>
    </row>
    <row r="33" spans="1:38">
      <c r="A33" s="2" t="s">
        <v>563</v>
      </c>
      <c r="B33" s="33">
        <f t="shared" si="3"/>
        <v>7225291</v>
      </c>
      <c r="C33" s="33">
        <f t="shared" si="2"/>
        <v>58705</v>
      </c>
      <c r="E33" s="72"/>
      <c r="F33" s="30"/>
      <c r="G33" s="30"/>
      <c r="H33" s="30"/>
      <c r="I33" s="30"/>
      <c r="J33" s="72"/>
      <c r="K33" s="72"/>
      <c r="L33" s="30"/>
      <c r="O33" s="30"/>
      <c r="P33" s="72"/>
      <c r="Q33" s="72"/>
      <c r="R33" s="30"/>
      <c r="S33" s="72"/>
      <c r="T33" s="72"/>
      <c r="U33" s="30"/>
      <c r="V33" s="72"/>
      <c r="W33" s="72"/>
      <c r="X33" s="30"/>
      <c r="Y33" s="72"/>
      <c r="Z33" s="72"/>
      <c r="AA33" s="30"/>
      <c r="AB33" s="72"/>
      <c r="AC33" s="72"/>
      <c r="AD33" s="30"/>
      <c r="AE33" s="30"/>
      <c r="AF33" s="30"/>
      <c r="AG33" s="30"/>
      <c r="AH33" s="30"/>
      <c r="AI33" s="30"/>
      <c r="AJ33" s="30"/>
      <c r="AK33" s="30"/>
      <c r="AL33" s="30"/>
    </row>
    <row r="34" spans="1:38">
      <c r="A34" s="2" t="s">
        <v>106</v>
      </c>
      <c r="B34" s="34"/>
      <c r="C34" s="35">
        <f>SUM(C26:C33)</f>
        <v>456607</v>
      </c>
      <c r="E34" s="73"/>
      <c r="F34" s="73"/>
      <c r="G34" s="30"/>
      <c r="H34" s="30"/>
      <c r="I34" s="30"/>
      <c r="J34" s="73"/>
      <c r="K34" s="73"/>
      <c r="L34" s="30"/>
      <c r="O34" s="30"/>
      <c r="P34" s="73"/>
      <c r="Q34" s="73"/>
      <c r="R34" s="30"/>
      <c r="S34" s="73"/>
      <c r="T34" s="73"/>
      <c r="U34" s="30"/>
      <c r="V34" s="73"/>
      <c r="W34" s="73"/>
      <c r="X34" s="30"/>
      <c r="Y34" s="73"/>
      <c r="Z34" s="73"/>
      <c r="AA34" s="30"/>
      <c r="AB34" s="73"/>
      <c r="AC34" s="73"/>
      <c r="AD34" s="30"/>
      <c r="AE34" s="30"/>
      <c r="AF34" s="30"/>
      <c r="AG34" s="30"/>
      <c r="AH34" s="30"/>
      <c r="AI34" s="30"/>
      <c r="AJ34" s="30"/>
      <c r="AK34" s="30"/>
      <c r="AL34" s="30"/>
    </row>
    <row r="35" spans="1:38">
      <c r="E35" s="30"/>
      <c r="F35" s="30"/>
      <c r="G35" s="30"/>
      <c r="H35" s="30"/>
      <c r="I35" s="30"/>
      <c r="J35" s="30"/>
      <c r="K35" s="30"/>
      <c r="L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38">
      <c r="A36" s="2" t="s">
        <v>156</v>
      </c>
      <c r="C36" s="79">
        <v>3.2500000000000001E-2</v>
      </c>
      <c r="E36" s="30"/>
      <c r="F36" s="30"/>
      <c r="G36" s="30"/>
      <c r="H36" s="30"/>
      <c r="I36" s="30"/>
      <c r="J36" s="30"/>
      <c r="K36" s="30"/>
      <c r="L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phoneticPr fontId="4" type="noConversion"/>
  <pageMargins left="0.5" right="0.25" top="1" bottom="1" header="0.5" footer="0.5"/>
  <pageSetup orientation="portrait" r:id="rId1"/>
  <headerFooter alignWithMargins="0"/>
  <ignoredErrors>
    <ignoredError sqref="E5:E8 E9:E1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3FBB3"/>
    <pageSetUpPr fitToPage="1"/>
  </sheetPr>
  <dimension ref="A1:BM305"/>
  <sheetViews>
    <sheetView showGridLines="0" topLeftCell="A67" zoomScaleNormal="100" zoomScaleSheetLayoutView="85" workbookViewId="0">
      <selection activeCell="E78" sqref="E78"/>
    </sheetView>
  </sheetViews>
  <sheetFormatPr defaultRowHeight="12.75"/>
  <cols>
    <col min="1" max="1" width="6.75" style="289" customWidth="1"/>
    <col min="2" max="2" width="1.625" style="289" customWidth="1"/>
    <col min="3" max="3" width="44" style="289" customWidth="1"/>
    <col min="4" max="4" width="13.5" style="289" customWidth="1"/>
    <col min="5" max="5" width="16.25" style="289" customWidth="1"/>
    <col min="6" max="6" width="13.375" style="289" customWidth="1"/>
    <col min="7" max="7" width="15.875" style="289" customWidth="1"/>
    <col min="8" max="8" width="15.625" style="289" customWidth="1"/>
    <col min="9" max="9" width="14.375" style="289" customWidth="1"/>
    <col min="10" max="10" width="16.25" style="289" customWidth="1"/>
    <col min="11" max="11" width="15.25" style="289" customWidth="1"/>
    <col min="12" max="12" width="17.25" style="289" customWidth="1"/>
    <col min="13" max="13" width="14.375" style="289" customWidth="1"/>
    <col min="14" max="14" width="15.625" style="289" customWidth="1"/>
    <col min="15" max="15" width="2.125" style="289" customWidth="1"/>
    <col min="16" max="16" width="15.625" style="289" customWidth="1"/>
    <col min="17" max="17" width="3.125" style="289" customWidth="1"/>
    <col min="18" max="18" width="16.5" style="289" bestFit="1" customWidth="1"/>
    <col min="19" max="16384" width="9" style="289"/>
  </cols>
  <sheetData>
    <row r="1" spans="1:65" ht="15" customHeight="1">
      <c r="N1" s="290"/>
    </row>
    <row r="2" spans="1:65" ht="15" customHeight="1">
      <c r="N2" s="290"/>
    </row>
    <row r="3" spans="1:65" ht="15" customHeight="1"/>
    <row r="4" spans="1:65" ht="15" customHeight="1">
      <c r="N4" s="290" t="s">
        <v>44</v>
      </c>
    </row>
    <row r="5" spans="1:65" ht="15" customHeight="1">
      <c r="C5" s="291" t="s">
        <v>309</v>
      </c>
      <c r="D5" s="291"/>
      <c r="E5" s="291"/>
      <c r="F5" s="291"/>
      <c r="G5" s="292" t="s">
        <v>310</v>
      </c>
      <c r="H5" s="291"/>
      <c r="I5" s="291"/>
      <c r="J5" s="291"/>
      <c r="K5" s="293"/>
      <c r="M5" s="294"/>
      <c r="N5" s="295" t="s">
        <v>311</v>
      </c>
      <c r="O5" s="296"/>
      <c r="P5" s="297"/>
      <c r="Q5" s="297"/>
      <c r="R5" s="296"/>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row>
    <row r="6" spans="1:65" ht="15" customHeight="1">
      <c r="C6" s="291"/>
      <c r="D6" s="291"/>
      <c r="E6" s="299" t="s">
        <v>312</v>
      </c>
      <c r="F6" s="299"/>
      <c r="G6" s="299" t="s">
        <v>313</v>
      </c>
      <c r="H6" s="299"/>
      <c r="I6" s="299"/>
      <c r="J6" s="299"/>
      <c r="K6" s="293"/>
      <c r="M6" s="294"/>
      <c r="N6" s="293"/>
      <c r="O6" s="296"/>
      <c r="P6" s="300"/>
      <c r="Q6" s="297"/>
      <c r="R6" s="296"/>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row>
    <row r="7" spans="1:65" ht="15" customHeight="1">
      <c r="C7" s="294"/>
      <c r="D7" s="294"/>
      <c r="E7" s="294"/>
      <c r="F7" s="294"/>
      <c r="G7" s="294"/>
      <c r="H7" s="294"/>
      <c r="I7" s="294"/>
      <c r="J7" s="294"/>
      <c r="K7" s="294"/>
      <c r="M7" s="294"/>
      <c r="N7" s="294" t="s">
        <v>314</v>
      </c>
      <c r="O7" s="296"/>
      <c r="P7" s="297"/>
      <c r="Q7" s="297"/>
      <c r="R7" s="296"/>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row>
    <row r="8" spans="1:65" ht="15" customHeight="1">
      <c r="A8" s="301"/>
      <c r="C8" s="294"/>
      <c r="D8" s="294"/>
      <c r="E8" s="294"/>
      <c r="F8" s="302"/>
      <c r="G8" s="303" t="s">
        <v>315</v>
      </c>
      <c r="H8" s="302"/>
      <c r="I8" s="294"/>
      <c r="J8" s="294"/>
      <c r="K8" s="294"/>
      <c r="L8" s="294"/>
      <c r="M8" s="294"/>
      <c r="N8" s="294"/>
      <c r="O8" s="296"/>
      <c r="P8" s="297"/>
      <c r="Q8" s="297"/>
      <c r="R8" s="296"/>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row>
    <row r="9" spans="1:65" ht="15" customHeight="1">
      <c r="A9" s="301"/>
      <c r="C9" s="294"/>
      <c r="D9" s="294"/>
      <c r="E9" s="294"/>
      <c r="F9" s="294"/>
      <c r="G9" s="304"/>
      <c r="H9" s="294"/>
      <c r="I9" s="294"/>
      <c r="J9" s="294"/>
      <c r="K9" s="294"/>
      <c r="L9" s="294"/>
      <c r="M9" s="294"/>
      <c r="N9" s="294"/>
      <c r="O9" s="296"/>
      <c r="P9" s="297"/>
      <c r="Q9" s="297"/>
      <c r="R9" s="296"/>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row>
    <row r="10" spans="1:65" ht="15" customHeight="1">
      <c r="A10" s="301"/>
      <c r="C10" s="294" t="s">
        <v>316</v>
      </c>
      <c r="D10" s="294"/>
      <c r="E10" s="294"/>
      <c r="F10" s="294"/>
      <c r="G10" s="304"/>
      <c r="H10" s="294"/>
      <c r="I10" s="294"/>
      <c r="J10" s="294"/>
      <c r="K10" s="294"/>
      <c r="L10" s="294"/>
      <c r="M10" s="294"/>
      <c r="N10" s="294"/>
      <c r="O10" s="296"/>
      <c r="P10" s="297"/>
      <c r="Q10" s="297"/>
      <c r="R10" s="296"/>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row>
    <row r="11" spans="1:65" ht="15" customHeight="1">
      <c r="A11" s="301"/>
      <c r="C11" s="294"/>
      <c r="D11" s="294"/>
      <c r="E11" s="294"/>
      <c r="F11" s="294"/>
      <c r="G11" s="304"/>
      <c r="L11" s="294"/>
      <c r="M11" s="294"/>
      <c r="N11" s="294"/>
      <c r="O11" s="296"/>
      <c r="P11" s="296"/>
      <c r="Q11" s="296"/>
      <c r="R11" s="296"/>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row>
    <row r="12" spans="1:65" ht="15" customHeight="1">
      <c r="A12" s="301"/>
      <c r="C12" s="294"/>
      <c r="D12" s="294"/>
      <c r="E12" s="294"/>
      <c r="F12" s="294"/>
      <c r="G12" s="294"/>
      <c r="L12" s="305"/>
      <c r="M12" s="294"/>
      <c r="N12" s="294"/>
      <c r="O12" s="296"/>
      <c r="P12" s="296"/>
      <c r="Q12" s="296"/>
      <c r="R12" s="296"/>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row>
    <row r="13" spans="1:65" ht="15" customHeight="1">
      <c r="C13" s="306" t="s">
        <v>317</v>
      </c>
      <c r="D13" s="306"/>
      <c r="E13" s="306" t="s">
        <v>318</v>
      </c>
      <c r="F13" s="306"/>
      <c r="G13" s="306" t="s">
        <v>319</v>
      </c>
      <c r="L13" s="307" t="s">
        <v>320</v>
      </c>
      <c r="M13" s="299"/>
      <c r="N13" s="307"/>
      <c r="O13" s="308"/>
      <c r="P13" s="307"/>
      <c r="Q13" s="308"/>
      <c r="R13" s="309"/>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row>
    <row r="14" spans="1:65" ht="15" customHeight="1">
      <c r="C14" s="310"/>
      <c r="D14" s="310"/>
      <c r="E14" s="311" t="s">
        <v>321</v>
      </c>
      <c r="F14" s="311"/>
      <c r="G14" s="299"/>
      <c r="M14" s="299"/>
      <c r="O14" s="308"/>
      <c r="P14" s="312"/>
      <c r="Q14" s="312"/>
      <c r="R14" s="309"/>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row>
    <row r="15" spans="1:65" ht="15" customHeight="1">
      <c r="A15" s="301" t="s">
        <v>322</v>
      </c>
      <c r="C15" s="310"/>
      <c r="D15" s="310"/>
      <c r="E15" s="313" t="s">
        <v>323</v>
      </c>
      <c r="F15" s="313"/>
      <c r="G15" s="314" t="s">
        <v>324</v>
      </c>
      <c r="L15" s="314" t="s">
        <v>325</v>
      </c>
      <c r="M15" s="299"/>
      <c r="O15" s="296"/>
      <c r="P15" s="315"/>
      <c r="Q15" s="312"/>
      <c r="R15" s="309"/>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row>
    <row r="16" spans="1:65" ht="15" customHeight="1">
      <c r="A16" s="301" t="s">
        <v>326</v>
      </c>
      <c r="C16" s="316"/>
      <c r="D16" s="316"/>
      <c r="E16" s="299"/>
      <c r="F16" s="299"/>
      <c r="G16" s="299"/>
      <c r="L16" s="299"/>
      <c r="M16" s="299"/>
      <c r="N16" s="299"/>
      <c r="O16" s="296"/>
      <c r="P16" s="308"/>
      <c r="Q16" s="308"/>
      <c r="R16" s="309"/>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row>
    <row r="17" spans="1:65" ht="15" customHeight="1">
      <c r="A17" s="317"/>
      <c r="C17" s="310"/>
      <c r="D17" s="310"/>
      <c r="E17" s="299"/>
      <c r="F17" s="299"/>
      <c r="G17" s="299"/>
      <c r="L17" s="299"/>
      <c r="M17" s="299"/>
      <c r="N17" s="299"/>
      <c r="O17" s="296"/>
      <c r="P17" s="308"/>
      <c r="Q17" s="308"/>
      <c r="R17" s="309"/>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row>
    <row r="18" spans="1:65" ht="15" customHeight="1">
      <c r="A18" s="318">
        <v>1</v>
      </c>
      <c r="C18" s="310" t="s">
        <v>327</v>
      </c>
      <c r="D18" s="310"/>
      <c r="E18" s="319" t="s">
        <v>328</v>
      </c>
      <c r="F18" s="319"/>
      <c r="G18" s="320">
        <v>2996420266.9571095</v>
      </c>
      <c r="M18" s="299"/>
      <c r="N18" s="299"/>
      <c r="O18" s="296"/>
      <c r="P18" s="308"/>
      <c r="Q18" s="308"/>
      <c r="R18" s="309"/>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row>
    <row r="19" spans="1:65" ht="15" customHeight="1">
      <c r="A19" s="318">
        <v>2</v>
      </c>
      <c r="C19" s="310" t="s">
        <v>329</v>
      </c>
      <c r="D19" s="310"/>
      <c r="E19" s="319" t="s">
        <v>330</v>
      </c>
      <c r="F19" s="319"/>
      <c r="G19" s="320">
        <v>2155348071.0832019</v>
      </c>
      <c r="M19" s="299"/>
      <c r="N19" s="299"/>
      <c r="O19" s="296"/>
      <c r="P19" s="308"/>
      <c r="Q19" s="308"/>
      <c r="R19" s="309"/>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row>
    <row r="20" spans="1:65" ht="15" customHeight="1">
      <c r="A20" s="318"/>
      <c r="E20" s="319"/>
      <c r="F20" s="319"/>
      <c r="M20" s="299"/>
      <c r="N20" s="299"/>
      <c r="O20" s="296"/>
      <c r="P20" s="308"/>
      <c r="Q20" s="308"/>
      <c r="R20" s="309"/>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row>
    <row r="21" spans="1:65" ht="15" customHeight="1">
      <c r="A21" s="318"/>
      <c r="C21" s="310" t="s">
        <v>331</v>
      </c>
      <c r="D21" s="310"/>
      <c r="E21" s="319"/>
      <c r="F21" s="319"/>
      <c r="G21" s="299"/>
      <c r="L21" s="299"/>
      <c r="M21" s="299"/>
      <c r="N21" s="299"/>
      <c r="O21" s="308"/>
      <c r="P21" s="308"/>
      <c r="Q21" s="308"/>
      <c r="R21" s="309"/>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row>
    <row r="22" spans="1:65" ht="15" customHeight="1">
      <c r="A22" s="318">
        <v>3</v>
      </c>
      <c r="C22" s="310" t="s">
        <v>332</v>
      </c>
      <c r="D22" s="310"/>
      <c r="E22" s="319" t="s">
        <v>333</v>
      </c>
      <c r="F22" s="319"/>
      <c r="G22" s="321">
        <v>61625468.237831876</v>
      </c>
      <c r="M22" s="299"/>
      <c r="N22" s="299"/>
      <c r="O22" s="308"/>
      <c r="P22" s="308"/>
      <c r="Q22" s="308"/>
      <c r="R22" s="309"/>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row>
    <row r="23" spans="1:65" ht="15" customHeight="1">
      <c r="A23" s="318">
        <v>4</v>
      </c>
      <c r="C23" s="310" t="s">
        <v>334</v>
      </c>
      <c r="D23" s="310"/>
      <c r="E23" s="319" t="s">
        <v>335</v>
      </c>
      <c r="F23" s="319"/>
      <c r="G23" s="322">
        <f>IF(G22=0,0,G22/G18)</f>
        <v>2.0566363442873475E-2</v>
      </c>
      <c r="L23" s="323">
        <f>G23</f>
        <v>2.0566363442873475E-2</v>
      </c>
      <c r="M23" s="299"/>
      <c r="N23" s="324"/>
      <c r="O23" s="325"/>
      <c r="P23" s="326"/>
      <c r="Q23" s="308"/>
      <c r="R23" s="309"/>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row>
    <row r="24" spans="1:65" ht="15" customHeight="1">
      <c r="A24" s="318"/>
      <c r="C24" s="310"/>
      <c r="D24" s="310"/>
      <c r="E24" s="319"/>
      <c r="F24" s="319"/>
      <c r="G24" s="322"/>
      <c r="L24" s="327"/>
      <c r="M24" s="299"/>
      <c r="N24" s="324"/>
      <c r="O24" s="325"/>
      <c r="P24" s="326"/>
      <c r="Q24" s="308"/>
      <c r="R24" s="309"/>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row>
    <row r="25" spans="1:65" ht="15" customHeight="1">
      <c r="A25" s="328"/>
      <c r="B25" s="298"/>
      <c r="C25" s="310" t="s">
        <v>336</v>
      </c>
      <c r="D25" s="310"/>
      <c r="E25" s="329"/>
      <c r="F25" s="329"/>
      <c r="G25" s="299"/>
      <c r="I25" s="298"/>
      <c r="J25" s="298"/>
      <c r="K25" s="298"/>
      <c r="L25" s="299"/>
      <c r="M25" s="299"/>
      <c r="N25" s="324"/>
      <c r="O25" s="325"/>
      <c r="P25" s="326"/>
      <c r="Q25" s="308"/>
      <c r="R25" s="309"/>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row>
    <row r="26" spans="1:65" ht="15" customHeight="1">
      <c r="A26" s="328" t="s">
        <v>337</v>
      </c>
      <c r="B26" s="298"/>
      <c r="C26" s="310" t="s">
        <v>338</v>
      </c>
      <c r="D26" s="310"/>
      <c r="E26" s="319" t="s">
        <v>339</v>
      </c>
      <c r="F26" s="319"/>
      <c r="G26" s="321">
        <v>2853914.3205961036</v>
      </c>
      <c r="I26" s="298"/>
      <c r="J26" s="298"/>
      <c r="K26" s="298"/>
      <c r="L26" s="298"/>
      <c r="M26" s="299"/>
      <c r="N26" s="324"/>
      <c r="O26" s="325"/>
      <c r="P26" s="326"/>
      <c r="Q26" s="308"/>
      <c r="R26" s="309"/>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row>
    <row r="27" spans="1:65" ht="15" customHeight="1">
      <c r="A27" s="328" t="s">
        <v>340</v>
      </c>
      <c r="B27" s="298"/>
      <c r="C27" s="310" t="s">
        <v>341</v>
      </c>
      <c r="D27" s="310"/>
      <c r="E27" s="319" t="s">
        <v>342</v>
      </c>
      <c r="F27" s="319"/>
      <c r="G27" s="322">
        <f>IF(G26=0,0,G26/G18)</f>
        <v>9.5244126869235141E-4</v>
      </c>
      <c r="I27" s="298"/>
      <c r="J27" s="298"/>
      <c r="K27" s="298"/>
      <c r="L27" s="323">
        <f>G27</f>
        <v>9.5244126869235141E-4</v>
      </c>
      <c r="M27" s="299"/>
      <c r="N27" s="324"/>
      <c r="O27" s="325"/>
      <c r="P27" s="326"/>
      <c r="Q27" s="308"/>
      <c r="R27" s="309"/>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row>
    <row r="28" spans="1:65" ht="15" customHeight="1">
      <c r="A28" s="318"/>
      <c r="C28" s="310"/>
      <c r="D28" s="310"/>
      <c r="E28" s="319"/>
      <c r="F28" s="319"/>
      <c r="G28" s="322"/>
      <c r="L28" s="327"/>
      <c r="M28" s="299"/>
      <c r="N28" s="324"/>
      <c r="O28" s="325"/>
      <c r="P28" s="326"/>
      <c r="Q28" s="308"/>
      <c r="R28" s="309"/>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row>
    <row r="29" spans="1:65" ht="15" customHeight="1">
      <c r="A29" s="330"/>
      <c r="C29" s="310" t="s">
        <v>343</v>
      </c>
      <c r="D29" s="310"/>
      <c r="E29" s="329"/>
      <c r="F29" s="329"/>
      <c r="G29" s="299"/>
      <c r="L29" s="299"/>
      <c r="M29" s="299"/>
      <c r="N29" s="299"/>
      <c r="O29" s="308"/>
      <c r="P29" s="299"/>
      <c r="Q29" s="308"/>
      <c r="R29" s="309"/>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row>
    <row r="30" spans="1:65" ht="15" customHeight="1">
      <c r="A30" s="330" t="s">
        <v>344</v>
      </c>
      <c r="C30" s="310" t="s">
        <v>345</v>
      </c>
      <c r="D30" s="310"/>
      <c r="E30" s="319" t="s">
        <v>346</v>
      </c>
      <c r="F30" s="319"/>
      <c r="G30" s="321">
        <v>30103846.675272793</v>
      </c>
      <c r="M30" s="299"/>
      <c r="N30" s="331"/>
      <c r="O30" s="308"/>
      <c r="P30" s="332"/>
      <c r="Q30" s="312"/>
      <c r="R30" s="309"/>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row>
    <row r="31" spans="1:65" ht="15" customHeight="1">
      <c r="A31" s="330" t="s">
        <v>347</v>
      </c>
      <c r="C31" s="310" t="s">
        <v>348</v>
      </c>
      <c r="D31" s="310"/>
      <c r="E31" s="319" t="s">
        <v>349</v>
      </c>
      <c r="F31" s="319"/>
      <c r="G31" s="322">
        <f>IF(G30=0,0,G30/G18)</f>
        <v>1.0046603611396443E-2</v>
      </c>
      <c r="L31" s="323">
        <f>G31</f>
        <v>1.0046603611396443E-2</v>
      </c>
      <c r="M31" s="299"/>
      <c r="N31" s="324"/>
      <c r="O31" s="308"/>
      <c r="P31" s="326"/>
      <c r="Q31" s="312"/>
      <c r="R31" s="309"/>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row>
    <row r="32" spans="1:65" ht="15" customHeight="1">
      <c r="A32" s="330"/>
      <c r="C32" s="310"/>
      <c r="D32" s="310"/>
      <c r="E32" s="319"/>
      <c r="F32" s="319"/>
      <c r="G32" s="299"/>
      <c r="L32" s="299"/>
      <c r="M32" s="299"/>
      <c r="Q32" s="308"/>
      <c r="R32" s="309"/>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row>
    <row r="33" spans="1:65" ht="15" customHeight="1">
      <c r="A33" s="333" t="s">
        <v>350</v>
      </c>
      <c r="B33" s="334"/>
      <c r="C33" s="316" t="s">
        <v>351</v>
      </c>
      <c r="D33" s="316"/>
      <c r="E33" s="311" t="s">
        <v>352</v>
      </c>
      <c r="F33" s="311"/>
      <c r="G33" s="335"/>
      <c r="L33" s="336">
        <f>L23+L27+L31</f>
        <v>3.1565408322962271E-2</v>
      </c>
      <c r="M33" s="299"/>
      <c r="Q33" s="308"/>
      <c r="R33" s="309"/>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row>
    <row r="34" spans="1:65" ht="15" customHeight="1">
      <c r="A34" s="330"/>
      <c r="C34" s="310"/>
      <c r="D34" s="310"/>
      <c r="E34" s="319"/>
      <c r="F34" s="319"/>
      <c r="G34" s="299"/>
      <c r="L34" s="299"/>
      <c r="M34" s="299"/>
      <c r="N34" s="299"/>
      <c r="O34" s="308"/>
      <c r="P34" s="337"/>
      <c r="Q34" s="308"/>
      <c r="R34" s="309"/>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row>
    <row r="35" spans="1:65" ht="15" customHeight="1">
      <c r="A35" s="328"/>
      <c r="B35" s="338"/>
      <c r="C35" s="299" t="s">
        <v>353</v>
      </c>
      <c r="D35" s="299"/>
      <c r="E35" s="319"/>
      <c r="F35" s="319"/>
      <c r="G35" s="299"/>
      <c r="L35" s="299"/>
      <c r="M35" s="339"/>
      <c r="N35" s="338"/>
      <c r="Q35" s="312"/>
      <c r="R35" s="308" t="s">
        <v>312</v>
      </c>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row>
    <row r="36" spans="1:65" ht="15" customHeight="1">
      <c r="A36" s="330" t="s">
        <v>354</v>
      </c>
      <c r="B36" s="338"/>
      <c r="C36" s="299" t="s">
        <v>355</v>
      </c>
      <c r="D36" s="299"/>
      <c r="E36" s="319" t="s">
        <v>356</v>
      </c>
      <c r="F36" s="319"/>
      <c r="G36" s="321">
        <v>80552156.144771695</v>
      </c>
      <c r="L36" s="299"/>
      <c r="M36" s="339"/>
      <c r="N36" s="338"/>
      <c r="Q36" s="312"/>
      <c r="R36" s="30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row>
    <row r="37" spans="1:65" ht="15" customHeight="1">
      <c r="A37" s="330" t="s">
        <v>357</v>
      </c>
      <c r="B37" s="338"/>
      <c r="C37" s="299" t="s">
        <v>358</v>
      </c>
      <c r="D37" s="299"/>
      <c r="E37" s="319" t="s">
        <v>359</v>
      </c>
      <c r="F37" s="319"/>
      <c r="G37" s="322">
        <f>IF(G36=0,0,G36/G19)</f>
        <v>3.7373154352878614E-2</v>
      </c>
      <c r="L37" s="323">
        <f>G37</f>
        <v>3.7373154352878614E-2</v>
      </c>
      <c r="M37" s="339"/>
      <c r="N37" s="338"/>
      <c r="O37" s="308"/>
      <c r="P37" s="308"/>
      <c r="Q37" s="312"/>
      <c r="R37" s="30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row>
    <row r="38" spans="1:65" ht="15" customHeight="1">
      <c r="A38" s="330"/>
      <c r="C38" s="299"/>
      <c r="D38" s="299"/>
      <c r="E38" s="319"/>
      <c r="F38" s="319"/>
      <c r="G38" s="299"/>
      <c r="L38" s="299"/>
      <c r="M38" s="299"/>
      <c r="O38" s="296"/>
      <c r="P38" s="308"/>
      <c r="Q38" s="296"/>
      <c r="R38" s="309"/>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65" ht="15" customHeight="1">
      <c r="A39" s="330"/>
      <c r="C39" s="310" t="s">
        <v>360</v>
      </c>
      <c r="D39" s="310"/>
      <c r="E39" s="340"/>
      <c r="F39" s="340"/>
      <c r="M39" s="299"/>
      <c r="O39" s="308"/>
      <c r="P39" s="308"/>
      <c r="Q39" s="308"/>
      <c r="R39" s="309"/>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row>
    <row r="40" spans="1:65" ht="15" customHeight="1">
      <c r="A40" s="330" t="s">
        <v>361</v>
      </c>
      <c r="C40" s="310" t="s">
        <v>362</v>
      </c>
      <c r="D40" s="310"/>
      <c r="E40" s="319" t="s">
        <v>363</v>
      </c>
      <c r="F40" s="319"/>
      <c r="G40" s="321">
        <v>156985487.41421127</v>
      </c>
      <c r="L40" s="299"/>
      <c r="M40" s="299"/>
      <c r="O40" s="308"/>
      <c r="P40" s="308"/>
      <c r="Q40" s="308"/>
      <c r="R40" s="309"/>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row>
    <row r="41" spans="1:65" ht="15" customHeight="1">
      <c r="A41" s="330" t="s">
        <v>364</v>
      </c>
      <c r="B41" s="338"/>
      <c r="C41" s="299" t="s">
        <v>365</v>
      </c>
      <c r="D41" s="299"/>
      <c r="E41" s="319" t="s">
        <v>366</v>
      </c>
      <c r="F41" s="319"/>
      <c r="G41" s="341">
        <f>IF(G40=0,0,G40/G19)</f>
        <v>7.2835329717912289E-2</v>
      </c>
      <c r="L41" s="323">
        <f>G41</f>
        <v>7.2835329717912289E-2</v>
      </c>
      <c r="M41" s="299"/>
      <c r="P41" s="342"/>
      <c r="Q41" s="312"/>
      <c r="R41" s="30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row>
    <row r="42" spans="1:65" ht="15" customHeight="1">
      <c r="A42" s="330"/>
      <c r="C42" s="310"/>
      <c r="D42" s="310"/>
      <c r="E42" s="319"/>
      <c r="F42" s="319"/>
      <c r="G42" s="299"/>
      <c r="L42" s="299"/>
      <c r="M42" s="299"/>
      <c r="N42" s="340"/>
      <c r="O42" s="308"/>
      <c r="P42" s="308"/>
      <c r="Q42" s="308"/>
      <c r="R42" s="309"/>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row>
    <row r="43" spans="1:65" ht="15" customHeight="1">
      <c r="A43" s="333" t="s">
        <v>367</v>
      </c>
      <c r="B43" s="334"/>
      <c r="C43" s="316" t="s">
        <v>368</v>
      </c>
      <c r="D43" s="316"/>
      <c r="E43" s="311" t="s">
        <v>369</v>
      </c>
      <c r="F43" s="311"/>
      <c r="G43" s="335"/>
      <c r="L43" s="336">
        <f>L37+L41</f>
        <v>0.1102084840707909</v>
      </c>
      <c r="M43" s="299"/>
      <c r="N43" s="340"/>
      <c r="O43" s="308"/>
      <c r="P43" s="308"/>
      <c r="Q43" s="308"/>
      <c r="R43" s="309"/>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row>
    <row r="44" spans="1:65" ht="15" customHeight="1">
      <c r="M44" s="343"/>
      <c r="N44" s="343"/>
      <c r="O44" s="308"/>
      <c r="P44" s="308"/>
      <c r="Q44" s="308"/>
      <c r="R44" s="309"/>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row>
    <row r="45" spans="1:65" ht="15" customHeight="1">
      <c r="M45" s="343"/>
      <c r="N45" s="343"/>
      <c r="O45" s="308"/>
      <c r="P45" s="308"/>
      <c r="Q45" s="308"/>
      <c r="R45" s="309"/>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row>
    <row r="46" spans="1:65" ht="15" customHeight="1">
      <c r="M46" s="343"/>
      <c r="N46" s="343"/>
      <c r="O46" s="308"/>
      <c r="P46" s="308"/>
      <c r="Q46" s="308"/>
      <c r="R46" s="309"/>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row>
    <row r="47" spans="1:65" ht="15" customHeight="1">
      <c r="M47" s="294"/>
      <c r="N47" s="294"/>
      <c r="O47" s="309"/>
      <c r="P47" s="309"/>
      <c r="Q47" s="309"/>
      <c r="R47" s="309"/>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row>
    <row r="48" spans="1:65" ht="15" customHeight="1">
      <c r="M48" s="299"/>
      <c r="N48" s="299"/>
      <c r="O48" s="308"/>
      <c r="P48" s="296"/>
      <c r="Q48" s="308"/>
      <c r="R48" s="309"/>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row>
    <row r="49" spans="1:65" ht="15" customHeight="1">
      <c r="M49" s="299"/>
      <c r="N49" s="324"/>
      <c r="O49" s="308"/>
      <c r="P49" s="308"/>
      <c r="Q49" s="332"/>
      <c r="R49" s="30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row>
    <row r="50" spans="1:65" ht="15" customHeight="1">
      <c r="M50" s="299"/>
      <c r="N50" s="324"/>
      <c r="O50" s="308"/>
      <c r="P50" s="308"/>
      <c r="Q50" s="332"/>
      <c r="R50" s="30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row>
    <row r="51" spans="1:65" ht="15" customHeight="1">
      <c r="M51" s="299"/>
      <c r="N51" s="324"/>
      <c r="O51" s="308"/>
      <c r="P51" s="308"/>
      <c r="Q51" s="332"/>
      <c r="R51" s="30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row>
    <row r="52" spans="1:65" ht="15" customHeight="1">
      <c r="A52" s="328"/>
      <c r="B52" s="338"/>
      <c r="C52" s="344"/>
      <c r="D52" s="344"/>
      <c r="E52" s="329"/>
      <c r="F52" s="329"/>
      <c r="G52" s="299"/>
      <c r="H52" s="344"/>
      <c r="I52" s="344"/>
      <c r="J52" s="322"/>
      <c r="K52" s="344"/>
      <c r="L52" s="299"/>
      <c r="M52" s="299"/>
      <c r="N52" s="324"/>
      <c r="O52" s="308"/>
      <c r="P52" s="308"/>
      <c r="Q52" s="332"/>
      <c r="R52" s="30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row>
    <row r="53" spans="1:65" ht="15" customHeight="1">
      <c r="A53" s="328"/>
      <c r="B53" s="338"/>
      <c r="C53" s="344"/>
      <c r="D53" s="344"/>
      <c r="E53" s="329"/>
      <c r="F53" s="329"/>
      <c r="G53" s="299"/>
      <c r="H53" s="344"/>
      <c r="I53" s="344"/>
      <c r="J53" s="322"/>
      <c r="K53" s="344"/>
      <c r="L53" s="299"/>
      <c r="M53" s="299"/>
      <c r="N53" s="324"/>
      <c r="O53" s="308"/>
      <c r="P53" s="308"/>
      <c r="Q53" s="332"/>
      <c r="R53" s="30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row>
    <row r="54" spans="1:65" ht="15" customHeight="1">
      <c r="A54" s="345"/>
      <c r="B54" s="298"/>
      <c r="C54" s="328"/>
      <c r="D54" s="328"/>
      <c r="E54" s="329"/>
      <c r="F54" s="329"/>
      <c r="G54" s="299"/>
      <c r="H54" s="344"/>
      <c r="I54" s="344"/>
      <c r="J54" s="322"/>
      <c r="K54" s="344"/>
      <c r="M54" s="299"/>
      <c r="N54" s="346"/>
      <c r="O54" s="347"/>
      <c r="P54" s="308"/>
      <c r="Q54" s="332"/>
      <c r="R54" s="30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row>
    <row r="55" spans="1:65" ht="15" customHeight="1">
      <c r="A55" s="345"/>
      <c r="B55" s="298"/>
      <c r="C55" s="328"/>
      <c r="D55" s="328"/>
      <c r="E55" s="329"/>
      <c r="F55" s="329"/>
      <c r="G55" s="299"/>
      <c r="H55" s="344"/>
      <c r="I55" s="344"/>
      <c r="J55" s="322"/>
      <c r="K55" s="344"/>
      <c r="M55" s="299"/>
      <c r="N55" s="324"/>
      <c r="O55" s="347"/>
      <c r="P55" s="308"/>
      <c r="Q55" s="332"/>
      <c r="R55" s="30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row>
    <row r="56" spans="1:65" ht="15" customHeight="1">
      <c r="A56" s="348"/>
      <c r="B56" s="298"/>
      <c r="C56" s="328"/>
      <c r="D56" s="328"/>
      <c r="E56" s="329"/>
      <c r="F56" s="329"/>
      <c r="G56" s="299"/>
      <c r="H56" s="344"/>
      <c r="I56" s="344"/>
      <c r="J56" s="322"/>
      <c r="K56" s="344"/>
      <c r="M56" s="299"/>
      <c r="N56" s="324"/>
      <c r="O56" s="347"/>
      <c r="P56" s="308"/>
      <c r="Q56" s="332"/>
      <c r="R56" s="30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row>
    <row r="57" spans="1:65" ht="15" customHeight="1">
      <c r="A57" s="301"/>
      <c r="C57" s="344"/>
      <c r="D57" s="344"/>
      <c r="E57" s="344"/>
      <c r="F57" s="344"/>
      <c r="G57" s="299"/>
      <c r="H57" s="344"/>
      <c r="I57" s="344"/>
      <c r="J57" s="344"/>
      <c r="K57" s="344"/>
      <c r="M57" s="299"/>
      <c r="N57" s="299"/>
      <c r="O57" s="308"/>
      <c r="P57" s="308"/>
      <c r="Q57" s="312"/>
      <c r="R57" s="308" t="s">
        <v>312</v>
      </c>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row>
    <row r="58" spans="1:65" ht="15" customHeight="1">
      <c r="N58" s="290"/>
    </row>
    <row r="59" spans="1:65" ht="15" customHeight="1">
      <c r="N59" s="290"/>
    </row>
    <row r="60" spans="1:65" ht="15" customHeight="1"/>
    <row r="61" spans="1:65" ht="15.75">
      <c r="A61" s="301"/>
      <c r="C61" s="344"/>
      <c r="D61" s="344"/>
      <c r="E61" s="344"/>
      <c r="F61" s="344"/>
      <c r="G61" s="299"/>
      <c r="H61" s="344"/>
      <c r="I61" s="344"/>
      <c r="J61" s="344"/>
      <c r="K61" s="344"/>
      <c r="M61" s="299"/>
      <c r="N61" s="290" t="s">
        <v>44</v>
      </c>
      <c r="O61" s="308"/>
      <c r="P61" s="296"/>
      <c r="Q61" s="308"/>
      <c r="R61" s="309"/>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row>
    <row r="62" spans="1:65" ht="15.75">
      <c r="A62" s="301"/>
      <c r="C62" s="310" t="str">
        <f>C5</f>
        <v>Formula Rate calculation</v>
      </c>
      <c r="D62" s="310"/>
      <c r="E62" s="344"/>
      <c r="F62" s="344"/>
      <c r="G62" s="344" t="str">
        <f>G5</f>
        <v xml:space="preserve">     Rate Formula Template</v>
      </c>
      <c r="H62" s="344"/>
      <c r="I62" s="344"/>
      <c r="J62" s="344"/>
      <c r="K62" s="344"/>
      <c r="M62" s="299"/>
      <c r="N62" s="349" t="str">
        <f>N5</f>
        <v>For  the 12 months ended 12/31/13</v>
      </c>
      <c r="O62" s="308"/>
      <c r="P62" s="296"/>
      <c r="Q62" s="308"/>
      <c r="R62" s="309"/>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row>
    <row r="63" spans="1:65" ht="15.75">
      <c r="A63" s="301"/>
      <c r="C63" s="310"/>
      <c r="D63" s="310"/>
      <c r="E63" s="344"/>
      <c r="F63" s="344"/>
      <c r="G63" s="344" t="str">
        <f>G6</f>
        <v xml:space="preserve"> Utilizing Attachment O Data</v>
      </c>
      <c r="H63" s="344"/>
      <c r="I63" s="344"/>
      <c r="J63" s="344"/>
      <c r="K63" s="344"/>
      <c r="L63" s="299"/>
      <c r="M63" s="299"/>
      <c r="O63" s="308"/>
      <c r="P63" s="296"/>
      <c r="Q63" s="308"/>
      <c r="R63" s="309"/>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row>
    <row r="64" spans="1:65" ht="14.25" customHeight="1">
      <c r="A64" s="301"/>
      <c r="C64" s="344"/>
      <c r="D64" s="344"/>
      <c r="E64" s="344"/>
      <c r="F64" s="344"/>
      <c r="G64" s="344"/>
      <c r="H64" s="344"/>
      <c r="I64" s="344"/>
      <c r="J64" s="344"/>
      <c r="K64" s="344"/>
      <c r="M64" s="299"/>
      <c r="N64" s="344" t="s">
        <v>370</v>
      </c>
      <c r="O64" s="308"/>
      <c r="P64" s="296"/>
      <c r="Q64" s="308"/>
      <c r="R64" s="309"/>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row>
    <row r="65" spans="1:65" ht="15.75">
      <c r="A65" s="301"/>
      <c r="E65" s="344"/>
      <c r="F65" s="574" t="str">
        <f>G8</f>
        <v>Northern States Power Companies</v>
      </c>
      <c r="G65" s="574"/>
      <c r="H65" s="574"/>
      <c r="I65" s="344"/>
      <c r="J65" s="344"/>
      <c r="K65" s="344"/>
      <c r="L65" s="344"/>
      <c r="M65" s="299"/>
      <c r="N65" s="299"/>
      <c r="O65" s="308"/>
      <c r="P65" s="296"/>
      <c r="Q65" s="308"/>
      <c r="R65" s="309"/>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row>
    <row r="66" spans="1:65" ht="15.75">
      <c r="A66" s="301"/>
      <c r="E66" s="310"/>
      <c r="F66" s="310"/>
      <c r="G66" s="310"/>
      <c r="H66" s="310"/>
      <c r="I66" s="310"/>
      <c r="J66" s="310"/>
      <c r="K66" s="310"/>
      <c r="L66" s="310"/>
      <c r="M66" s="310"/>
      <c r="N66" s="310"/>
      <c r="O66" s="308"/>
      <c r="P66" s="296"/>
      <c r="Q66" s="308"/>
      <c r="R66" s="309"/>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row>
    <row r="67" spans="1:65" ht="15.75">
      <c r="A67" s="301"/>
      <c r="C67" s="344"/>
      <c r="D67" s="344"/>
      <c r="E67" s="316" t="s">
        <v>371</v>
      </c>
      <c r="F67" s="316"/>
      <c r="H67" s="294"/>
      <c r="I67" s="294"/>
      <c r="J67" s="294"/>
      <c r="K67" s="294"/>
      <c r="L67" s="294"/>
      <c r="M67" s="299"/>
      <c r="N67" s="299"/>
      <c r="O67" s="308"/>
      <c r="P67" s="296"/>
      <c r="Q67" s="308"/>
      <c r="R67" s="309"/>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row>
    <row r="68" spans="1:65" ht="15.75">
      <c r="A68" s="301"/>
      <c r="C68" s="344"/>
      <c r="D68" s="344"/>
      <c r="E68" s="316"/>
      <c r="F68" s="316"/>
      <c r="H68" s="294"/>
      <c r="I68" s="294"/>
      <c r="J68" s="294"/>
      <c r="K68" s="294"/>
      <c r="L68" s="294"/>
      <c r="M68" s="299"/>
      <c r="N68" s="299"/>
      <c r="O68" s="308"/>
      <c r="P68" s="296"/>
      <c r="Q68" s="308"/>
      <c r="R68" s="309"/>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row>
    <row r="69" spans="1:65" ht="15.75">
      <c r="A69" s="301"/>
      <c r="C69" s="350">
        <v>-1</v>
      </c>
      <c r="D69" s="350">
        <v>-2</v>
      </c>
      <c r="E69" s="350">
        <v>-3</v>
      </c>
      <c r="F69" s="350">
        <v>-4</v>
      </c>
      <c r="G69" s="350">
        <v>-5</v>
      </c>
      <c r="H69" s="350">
        <v>-6</v>
      </c>
      <c r="I69" s="350">
        <v>-7</v>
      </c>
      <c r="J69" s="350">
        <v>-8</v>
      </c>
      <c r="K69" s="350">
        <v>-9</v>
      </c>
      <c r="L69" s="350">
        <v>-10</v>
      </c>
      <c r="M69" s="350">
        <v>-11</v>
      </c>
      <c r="N69" s="350">
        <v>-12</v>
      </c>
      <c r="O69" s="308"/>
      <c r="P69" s="296"/>
      <c r="Q69" s="308"/>
      <c r="R69" s="309"/>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row>
    <row r="70" spans="1:65" ht="63">
      <c r="A70" s="351" t="s">
        <v>372</v>
      </c>
      <c r="B70" s="352"/>
      <c r="C70" s="352" t="s">
        <v>373</v>
      </c>
      <c r="D70" s="353" t="s">
        <v>374</v>
      </c>
      <c r="E70" s="354" t="s">
        <v>375</v>
      </c>
      <c r="F70" s="354" t="s">
        <v>351</v>
      </c>
      <c r="G70" s="355" t="s">
        <v>376</v>
      </c>
      <c r="H70" s="354" t="s">
        <v>377</v>
      </c>
      <c r="I70" s="354" t="s">
        <v>368</v>
      </c>
      <c r="J70" s="355" t="s">
        <v>378</v>
      </c>
      <c r="K70" s="354" t="s">
        <v>379</v>
      </c>
      <c r="L70" s="356" t="s">
        <v>380</v>
      </c>
      <c r="M70" s="357" t="s">
        <v>381</v>
      </c>
      <c r="N70" s="356" t="s">
        <v>382</v>
      </c>
      <c r="O70" s="325"/>
      <c r="P70" s="296"/>
      <c r="Q70" s="308"/>
      <c r="R70" s="309"/>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row>
    <row r="71" spans="1:65" ht="46.5" customHeight="1">
      <c r="A71" s="358"/>
      <c r="B71" s="359"/>
      <c r="C71" s="359"/>
      <c r="D71" s="359"/>
      <c r="E71" s="360" t="s">
        <v>383</v>
      </c>
      <c r="F71" s="360" t="s">
        <v>384</v>
      </c>
      <c r="G71" s="361" t="s">
        <v>385</v>
      </c>
      <c r="H71" s="360" t="s">
        <v>386</v>
      </c>
      <c r="I71" s="360" t="s">
        <v>387</v>
      </c>
      <c r="J71" s="361" t="s">
        <v>388</v>
      </c>
      <c r="K71" s="360" t="s">
        <v>389</v>
      </c>
      <c r="L71" s="361" t="s">
        <v>390</v>
      </c>
      <c r="M71" s="362" t="s">
        <v>391</v>
      </c>
      <c r="N71" s="363" t="s">
        <v>392</v>
      </c>
      <c r="O71" s="308"/>
      <c r="P71" s="364" t="s">
        <v>393</v>
      </c>
      <c r="Q71" s="365"/>
      <c r="R71" s="309"/>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row>
    <row r="72" spans="1:65" ht="15.75">
      <c r="A72" s="366"/>
      <c r="B72" s="294"/>
      <c r="C72" s="294"/>
      <c r="D72" s="294"/>
      <c r="E72" s="294"/>
      <c r="F72" s="294"/>
      <c r="G72" s="367"/>
      <c r="H72" s="294"/>
      <c r="I72" s="294"/>
      <c r="J72" s="367"/>
      <c r="K72" s="294"/>
      <c r="L72" s="367"/>
      <c r="M72" s="299"/>
      <c r="N72" s="368"/>
      <c r="O72" s="308"/>
      <c r="P72" s="369"/>
      <c r="Q72" s="365"/>
      <c r="R72" s="309"/>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row>
    <row r="73" spans="1:65" s="496" customFormat="1" ht="14.25">
      <c r="A73" s="495" t="s">
        <v>394</v>
      </c>
      <c r="C73" s="459" t="s">
        <v>395</v>
      </c>
      <c r="D73" s="497" t="s">
        <v>145</v>
      </c>
      <c r="E73" s="498">
        <v>7072818.700000002</v>
      </c>
      <c r="F73" s="499">
        <f>ROUND(L33,4)</f>
        <v>3.1600000000000003E-2</v>
      </c>
      <c r="G73" s="500">
        <f t="shared" ref="G73:G83" si="0">E73*F73</f>
        <v>223501.07092000009</v>
      </c>
      <c r="H73" s="498">
        <v>6120832.5200000014</v>
      </c>
      <c r="I73" s="499">
        <f>ROUND(L43,4)</f>
        <v>0.11020000000000001</v>
      </c>
      <c r="J73" s="500">
        <f t="shared" ref="J73:J85" si="1">H73*I73</f>
        <v>674515.74370400014</v>
      </c>
      <c r="K73" s="501">
        <v>185753.4</v>
      </c>
      <c r="L73" s="500">
        <f t="shared" ref="L73:L85" si="2">G73+J73+K73</f>
        <v>1083770.2146240002</v>
      </c>
      <c r="M73" s="498">
        <v>-45475</v>
      </c>
      <c r="N73" s="502">
        <f t="shared" ref="N73:N85" si="3">L73+M73</f>
        <v>1038295.2146240002</v>
      </c>
      <c r="O73" s="503"/>
      <c r="P73" s="504">
        <v>1078347.5067152423</v>
      </c>
      <c r="Q73" s="505"/>
      <c r="R73" s="506"/>
      <c r="S73" s="503"/>
      <c r="T73" s="503"/>
      <c r="U73" s="503"/>
    </row>
    <row r="74" spans="1:65" s="496" customFormat="1" ht="14.25">
      <c r="A74" s="495" t="s">
        <v>396</v>
      </c>
      <c r="C74" s="459" t="s">
        <v>397</v>
      </c>
      <c r="D74" s="497" t="s">
        <v>146</v>
      </c>
      <c r="E74" s="498">
        <v>3487897.5099999984</v>
      </c>
      <c r="F74" s="499">
        <f t="shared" ref="F74:F83" si="4">F73</f>
        <v>3.1600000000000003E-2</v>
      </c>
      <c r="G74" s="500">
        <f t="shared" si="0"/>
        <v>110217.56131599996</v>
      </c>
      <c r="H74" s="498">
        <v>3026067.73</v>
      </c>
      <c r="I74" s="499">
        <f t="shared" ref="I74:I83" si="5">I73</f>
        <v>0.11020000000000001</v>
      </c>
      <c r="J74" s="500">
        <f t="shared" si="1"/>
        <v>333472.66384600004</v>
      </c>
      <c r="K74" s="501">
        <v>91602.6</v>
      </c>
      <c r="L74" s="500">
        <f t="shared" si="2"/>
        <v>535292.82516200002</v>
      </c>
      <c r="M74" s="498">
        <v>-22477</v>
      </c>
      <c r="N74" s="502">
        <f t="shared" si="3"/>
        <v>512815.82516200002</v>
      </c>
      <c r="O74" s="503"/>
      <c r="P74" s="504">
        <v>532587.37058261014</v>
      </c>
      <c r="Q74" s="505"/>
      <c r="R74" s="506"/>
      <c r="S74" s="503"/>
      <c r="T74" s="503"/>
      <c r="U74" s="503"/>
    </row>
    <row r="75" spans="1:65" s="496" customFormat="1" ht="14.25">
      <c r="A75" s="495" t="s">
        <v>398</v>
      </c>
      <c r="C75" s="459" t="s">
        <v>399</v>
      </c>
      <c r="D75" s="497" t="s">
        <v>147</v>
      </c>
      <c r="E75" s="498">
        <v>4462295.25</v>
      </c>
      <c r="F75" s="499">
        <f t="shared" si="4"/>
        <v>3.1600000000000003E-2</v>
      </c>
      <c r="G75" s="500">
        <f t="shared" si="0"/>
        <v>141008.52990000002</v>
      </c>
      <c r="H75" s="498">
        <v>4164429.0449999995</v>
      </c>
      <c r="I75" s="499">
        <f t="shared" si="5"/>
        <v>0.11020000000000001</v>
      </c>
      <c r="J75" s="500">
        <f t="shared" si="1"/>
        <v>458920.08075899997</v>
      </c>
      <c r="K75" s="501">
        <v>117193.26</v>
      </c>
      <c r="L75" s="500">
        <f t="shared" si="2"/>
        <v>717121.87065900001</v>
      </c>
      <c r="M75" s="498">
        <v>-35439</v>
      </c>
      <c r="N75" s="502">
        <f t="shared" si="3"/>
        <v>681682.87065900001</v>
      </c>
      <c r="O75" s="503"/>
      <c r="P75" s="504">
        <v>707716.36494510062</v>
      </c>
      <c r="Q75" s="505"/>
      <c r="R75" s="506"/>
      <c r="S75" s="503"/>
      <c r="T75" s="503"/>
      <c r="U75" s="503"/>
    </row>
    <row r="76" spans="1:65" s="496" customFormat="1" ht="14.25">
      <c r="A76" s="495" t="s">
        <v>400</v>
      </c>
      <c r="C76" s="459" t="s">
        <v>401</v>
      </c>
      <c r="D76" s="497" t="s">
        <v>148</v>
      </c>
      <c r="E76" s="498">
        <v>7706681.2699999968</v>
      </c>
      <c r="F76" s="499">
        <f t="shared" si="4"/>
        <v>3.1600000000000003E-2</v>
      </c>
      <c r="G76" s="500">
        <f t="shared" si="0"/>
        <v>243531.12813199993</v>
      </c>
      <c r="H76" s="498">
        <v>7192246.6099999985</v>
      </c>
      <c r="I76" s="499">
        <f t="shared" si="5"/>
        <v>0.11020000000000001</v>
      </c>
      <c r="J76" s="500">
        <f t="shared" si="1"/>
        <v>792585.57642199984</v>
      </c>
      <c r="K76" s="501">
        <v>202400.52</v>
      </c>
      <c r="L76" s="500">
        <f t="shared" si="2"/>
        <v>1238517.2245539997</v>
      </c>
      <c r="M76" s="498">
        <v>-61879</v>
      </c>
      <c r="N76" s="502">
        <f t="shared" si="3"/>
        <v>1176638.2245539997</v>
      </c>
      <c r="O76" s="503"/>
      <c r="P76" s="504">
        <v>1221601.5884880461</v>
      </c>
      <c r="Q76" s="505"/>
      <c r="R76" s="506"/>
      <c r="S76" s="503"/>
      <c r="T76" s="503"/>
      <c r="U76" s="503"/>
    </row>
    <row r="77" spans="1:65" s="496" customFormat="1" ht="14.25">
      <c r="A77" s="495" t="s">
        <v>402</v>
      </c>
      <c r="C77" s="459" t="s">
        <v>403</v>
      </c>
      <c r="D77" s="497" t="s">
        <v>149</v>
      </c>
      <c r="E77" s="498">
        <v>30043674.50260777</v>
      </c>
      <c r="F77" s="499">
        <f t="shared" si="4"/>
        <v>3.1600000000000003E-2</v>
      </c>
      <c r="G77" s="500">
        <f t="shared" si="0"/>
        <v>949380.11428240559</v>
      </c>
      <c r="H77" s="498">
        <v>29594229.049756166</v>
      </c>
      <c r="I77" s="499">
        <f t="shared" si="5"/>
        <v>0.11020000000000001</v>
      </c>
      <c r="J77" s="500">
        <f t="shared" si="1"/>
        <v>3261284.0412831297</v>
      </c>
      <c r="K77" s="501">
        <v>588325.08080741658</v>
      </c>
      <c r="L77" s="500">
        <f t="shared" si="2"/>
        <v>4798989.2363729523</v>
      </c>
      <c r="M77" s="498">
        <v>271153</v>
      </c>
      <c r="N77" s="502">
        <f t="shared" si="3"/>
        <v>5070142.2363729523</v>
      </c>
      <c r="O77" s="503"/>
      <c r="P77" s="504">
        <v>5438440.1819042638</v>
      </c>
      <c r="Q77" s="505"/>
      <c r="R77" s="506"/>
      <c r="S77" s="503"/>
      <c r="T77" s="503"/>
      <c r="U77" s="503"/>
    </row>
    <row r="78" spans="1:65" s="496" customFormat="1" ht="14.25">
      <c r="A78" s="495" t="s">
        <v>404</v>
      </c>
      <c r="C78" s="494" t="s">
        <v>405</v>
      </c>
      <c r="D78" s="497" t="s">
        <v>301</v>
      </c>
      <c r="E78" s="498">
        <v>110304039.95198463</v>
      </c>
      <c r="F78" s="499">
        <f t="shared" si="4"/>
        <v>3.1600000000000003E-2</v>
      </c>
      <c r="G78" s="500">
        <f t="shared" si="0"/>
        <v>3485607.6624827147</v>
      </c>
      <c r="H78" s="498">
        <v>109298963.18718694</v>
      </c>
      <c r="I78" s="499">
        <f t="shared" si="5"/>
        <v>0.11020000000000001</v>
      </c>
      <c r="J78" s="500">
        <f t="shared" si="1"/>
        <v>12044745.743228002</v>
      </c>
      <c r="K78" s="501">
        <v>566472.17324876622</v>
      </c>
      <c r="L78" s="500">
        <f t="shared" si="2"/>
        <v>16096825.578959482</v>
      </c>
      <c r="M78" s="498">
        <v>846675</v>
      </c>
      <c r="N78" s="502">
        <f t="shared" si="3"/>
        <v>16943500.57895948</v>
      </c>
      <c r="O78" s="503"/>
      <c r="P78" s="504">
        <v>20614195.921828002</v>
      </c>
      <c r="Q78" s="505"/>
      <c r="R78" s="506"/>
      <c r="S78" s="503"/>
      <c r="T78" s="503"/>
      <c r="U78" s="503"/>
    </row>
    <row r="79" spans="1:65" s="496" customFormat="1" ht="14.25">
      <c r="A79" s="495" t="s">
        <v>406</v>
      </c>
      <c r="C79" s="459" t="s">
        <v>407</v>
      </c>
      <c r="D79" s="497" t="s">
        <v>150</v>
      </c>
      <c r="E79" s="498">
        <v>41405034.442307681</v>
      </c>
      <c r="F79" s="499">
        <f t="shared" si="4"/>
        <v>3.1600000000000003E-2</v>
      </c>
      <c r="G79" s="500">
        <f t="shared" si="0"/>
        <v>1308399.0883769228</v>
      </c>
      <c r="H79" s="498">
        <v>41402571.247196309</v>
      </c>
      <c r="I79" s="499">
        <f t="shared" si="5"/>
        <v>0.11020000000000001</v>
      </c>
      <c r="J79" s="500">
        <f t="shared" si="1"/>
        <v>4562563.3514410332</v>
      </c>
      <c r="K79" s="501">
        <v>6084.0919251195583</v>
      </c>
      <c r="L79" s="500">
        <f t="shared" si="2"/>
        <v>5877046.5317430757</v>
      </c>
      <c r="M79" s="498">
        <v>437982</v>
      </c>
      <c r="N79" s="502">
        <f t="shared" si="3"/>
        <v>6315028.5317430757</v>
      </c>
      <c r="O79" s="503"/>
      <c r="P79" s="504">
        <v>5395840.651750138</v>
      </c>
      <c r="Q79" s="505"/>
      <c r="R79" s="506"/>
      <c r="S79" s="503"/>
      <c r="T79" s="503"/>
      <c r="U79" s="503"/>
    </row>
    <row r="80" spans="1:65" s="496" customFormat="1" ht="14.25">
      <c r="A80" s="495" t="s">
        <v>408</v>
      </c>
      <c r="C80" s="373" t="s">
        <v>409</v>
      </c>
      <c r="D80" s="497" t="s">
        <v>151</v>
      </c>
      <c r="E80" s="498">
        <v>468201.80999999988</v>
      </c>
      <c r="F80" s="499">
        <f t="shared" si="4"/>
        <v>3.1600000000000003E-2</v>
      </c>
      <c r="G80" s="500">
        <f t="shared" si="0"/>
        <v>14795.177195999997</v>
      </c>
      <c r="H80" s="498">
        <v>437125.92</v>
      </c>
      <c r="I80" s="499">
        <f t="shared" si="5"/>
        <v>0.11020000000000001</v>
      </c>
      <c r="J80" s="500">
        <f t="shared" si="1"/>
        <v>48171.276384000004</v>
      </c>
      <c r="K80" s="501">
        <v>12296.4</v>
      </c>
      <c r="L80" s="500">
        <f t="shared" si="2"/>
        <v>75262.853579999995</v>
      </c>
      <c r="M80" s="498">
        <v>-3179</v>
      </c>
      <c r="N80" s="502">
        <f t="shared" si="3"/>
        <v>72083.853579999995</v>
      </c>
      <c r="O80" s="503"/>
      <c r="P80" s="504">
        <v>74815.119514769845</v>
      </c>
      <c r="Q80" s="505"/>
      <c r="R80" s="506"/>
      <c r="S80" s="503"/>
      <c r="T80" s="503"/>
      <c r="U80" s="503"/>
    </row>
    <row r="81" spans="1:21" s="496" customFormat="1" ht="14.25">
      <c r="A81" s="495" t="s">
        <v>410</v>
      </c>
      <c r="C81" s="373" t="s">
        <v>153</v>
      </c>
      <c r="D81" s="497" t="s">
        <v>152</v>
      </c>
      <c r="E81" s="498">
        <v>127736.33000000002</v>
      </c>
      <c r="F81" s="499">
        <f t="shared" si="4"/>
        <v>3.1600000000000003E-2</v>
      </c>
      <c r="G81" s="500">
        <f t="shared" si="0"/>
        <v>4036.4680280000007</v>
      </c>
      <c r="H81" s="498">
        <v>114782.44999999998</v>
      </c>
      <c r="I81" s="499">
        <f t="shared" si="5"/>
        <v>0.11020000000000001</v>
      </c>
      <c r="J81" s="500">
        <f t="shared" si="1"/>
        <v>12649.025989999998</v>
      </c>
      <c r="K81" s="501">
        <v>3354.72</v>
      </c>
      <c r="L81" s="500">
        <f t="shared" si="2"/>
        <v>20040.214017999999</v>
      </c>
      <c r="M81" s="498">
        <v>-838</v>
      </c>
      <c r="N81" s="502">
        <f t="shared" si="3"/>
        <v>19202.214017999999</v>
      </c>
      <c r="O81" s="503"/>
      <c r="P81" s="504">
        <v>19936.393247869284</v>
      </c>
      <c r="Q81" s="505"/>
      <c r="R81" s="506"/>
      <c r="S81" s="503"/>
      <c r="T81" s="503"/>
      <c r="U81" s="503"/>
    </row>
    <row r="82" spans="1:21" s="496" customFormat="1" ht="14.25">
      <c r="A82" s="495" t="s">
        <v>411</v>
      </c>
      <c r="C82" s="374" t="s">
        <v>412</v>
      </c>
      <c r="D82" s="497" t="s">
        <v>191</v>
      </c>
      <c r="E82" s="498">
        <v>47486.63</v>
      </c>
      <c r="F82" s="499">
        <f t="shared" si="4"/>
        <v>3.1600000000000003E-2</v>
      </c>
      <c r="G82" s="500">
        <f t="shared" si="0"/>
        <v>1500.5775080000001</v>
      </c>
      <c r="H82" s="498">
        <v>40230.259999999995</v>
      </c>
      <c r="I82" s="499">
        <f t="shared" si="5"/>
        <v>0.11020000000000001</v>
      </c>
      <c r="J82" s="500">
        <f t="shared" si="1"/>
        <v>4433.3746519999995</v>
      </c>
      <c r="K82" s="501">
        <v>1118.04</v>
      </c>
      <c r="L82" s="500">
        <f t="shared" si="2"/>
        <v>7051.9921599999998</v>
      </c>
      <c r="M82" s="498">
        <v>7661</v>
      </c>
      <c r="N82" s="502">
        <f t="shared" si="3"/>
        <v>14712.99216</v>
      </c>
      <c r="O82" s="503"/>
      <c r="P82" s="504">
        <v>14979.071393076869</v>
      </c>
      <c r="Q82" s="505"/>
      <c r="R82" s="506"/>
      <c r="S82" s="503"/>
      <c r="T82" s="503"/>
      <c r="U82" s="503"/>
    </row>
    <row r="83" spans="1:21" s="496" customFormat="1" ht="14.25">
      <c r="A83" s="495" t="s">
        <v>413</v>
      </c>
      <c r="C83" s="374" t="s">
        <v>414</v>
      </c>
      <c r="D83" s="497" t="s">
        <v>192</v>
      </c>
      <c r="E83" s="498">
        <v>230828.43999999997</v>
      </c>
      <c r="F83" s="499">
        <f t="shared" si="4"/>
        <v>3.1600000000000003E-2</v>
      </c>
      <c r="G83" s="500">
        <f t="shared" si="0"/>
        <v>7294.1787039999999</v>
      </c>
      <c r="H83" s="498">
        <v>205179.71</v>
      </c>
      <c r="I83" s="499">
        <f t="shared" si="5"/>
        <v>0.11020000000000001</v>
      </c>
      <c r="J83" s="500">
        <f t="shared" si="1"/>
        <v>22610.804042</v>
      </c>
      <c r="K83" s="501">
        <v>4957</v>
      </c>
      <c r="L83" s="500">
        <f t="shared" si="2"/>
        <v>34861.982746000001</v>
      </c>
      <c r="M83" s="498">
        <v>37746</v>
      </c>
      <c r="N83" s="502">
        <f t="shared" si="3"/>
        <v>72607.982745999994</v>
      </c>
      <c r="O83" s="503"/>
      <c r="P83" s="504">
        <v>73928.84937886869</v>
      </c>
      <c r="Q83" s="505"/>
      <c r="R83" s="506"/>
      <c r="S83" s="503"/>
      <c r="T83" s="503"/>
      <c r="U83" s="503"/>
    </row>
    <row r="84" spans="1:21" s="496" customFormat="1" ht="14.25">
      <c r="A84" s="495" t="s">
        <v>415</v>
      </c>
      <c r="C84" s="374" t="s">
        <v>195</v>
      </c>
      <c r="D84" s="497" t="s">
        <v>302</v>
      </c>
      <c r="E84" s="498">
        <v>4000618.9250818565</v>
      </c>
      <c r="F84" s="499">
        <f>F83</f>
        <v>3.1600000000000003E-2</v>
      </c>
      <c r="G84" s="500">
        <f>E84*F84</f>
        <v>126419.55803258668</v>
      </c>
      <c r="H84" s="498">
        <v>3898930.6017545592</v>
      </c>
      <c r="I84" s="499">
        <f>I83</f>
        <v>0.11020000000000001</v>
      </c>
      <c r="J84" s="500">
        <f t="shared" si="1"/>
        <v>429662.15231335245</v>
      </c>
      <c r="K84" s="501">
        <v>71420</v>
      </c>
      <c r="L84" s="500">
        <f t="shared" si="2"/>
        <v>627501.71034593915</v>
      </c>
      <c r="M84" s="498">
        <v>29896</v>
      </c>
      <c r="N84" s="502">
        <f t="shared" si="3"/>
        <v>657397.71034593915</v>
      </c>
      <c r="O84" s="503"/>
      <c r="P84" s="504">
        <v>713252.14335367607</v>
      </c>
      <c r="Q84" s="505"/>
      <c r="R84" s="506"/>
      <c r="S84" s="503"/>
      <c r="T84" s="503"/>
      <c r="U84" s="503"/>
    </row>
    <row r="85" spans="1:21" s="496" customFormat="1" ht="14.25">
      <c r="A85" s="495" t="s">
        <v>416</v>
      </c>
      <c r="C85" s="374" t="s">
        <v>417</v>
      </c>
      <c r="D85" s="497" t="s">
        <v>303</v>
      </c>
      <c r="E85" s="498">
        <v>8222280.5625929693</v>
      </c>
      <c r="F85" s="499">
        <f>F84</f>
        <v>3.1600000000000003E-2</v>
      </c>
      <c r="G85" s="500">
        <f>E85*F85</f>
        <v>259824.06577793785</v>
      </c>
      <c r="H85" s="498">
        <v>8175852.4340934865</v>
      </c>
      <c r="I85" s="499">
        <f>I84</f>
        <v>0.11020000000000001</v>
      </c>
      <c r="J85" s="500">
        <f t="shared" si="1"/>
        <v>900978.93823710224</v>
      </c>
      <c r="K85" s="501">
        <v>157694</v>
      </c>
      <c r="L85" s="500">
        <f t="shared" si="2"/>
        <v>1318497.0040150401</v>
      </c>
      <c r="M85" s="498">
        <v>0</v>
      </c>
      <c r="N85" s="502">
        <f t="shared" si="3"/>
        <v>1318497.0040150401</v>
      </c>
      <c r="O85" s="503"/>
      <c r="P85" s="504">
        <v>1724363.6374223602</v>
      </c>
      <c r="Q85" s="505"/>
      <c r="R85" s="506"/>
      <c r="S85" s="503"/>
      <c r="T85" s="503"/>
      <c r="U85" s="503"/>
    </row>
    <row r="86" spans="1:21" s="496" customFormat="1" ht="14.25">
      <c r="A86" s="495" t="s">
        <v>418</v>
      </c>
      <c r="C86" s="503" t="s">
        <v>564</v>
      </c>
      <c r="D86" s="497" t="s">
        <v>305</v>
      </c>
      <c r="E86" s="498">
        <v>0</v>
      </c>
      <c r="F86" s="499">
        <f>F85</f>
        <v>3.1600000000000003E-2</v>
      </c>
      <c r="G86" s="500">
        <f>E86*F86</f>
        <v>0</v>
      </c>
      <c r="H86" s="498">
        <v>0</v>
      </c>
      <c r="I86" s="499">
        <f>I85</f>
        <v>0.11020000000000001</v>
      </c>
      <c r="J86" s="500">
        <f>H86*I86</f>
        <v>0</v>
      </c>
      <c r="K86" s="501">
        <v>0</v>
      </c>
      <c r="L86" s="500">
        <f>G86+J86+K86</f>
        <v>0</v>
      </c>
      <c r="M86" s="498">
        <v>0</v>
      </c>
      <c r="N86" s="502">
        <f>L86+M86</f>
        <v>0</v>
      </c>
      <c r="O86" s="503"/>
      <c r="P86" s="504">
        <v>0</v>
      </c>
      <c r="Q86" s="505"/>
      <c r="R86" s="506"/>
      <c r="S86" s="503"/>
      <c r="T86" s="503"/>
      <c r="U86" s="503"/>
    </row>
    <row r="87" spans="1:21" s="496" customFormat="1" ht="14.25">
      <c r="A87" s="495" t="s">
        <v>419</v>
      </c>
      <c r="C87" s="503" t="s">
        <v>420</v>
      </c>
      <c r="D87" s="497" t="s">
        <v>304</v>
      </c>
      <c r="E87" s="498">
        <v>0</v>
      </c>
      <c r="F87" s="499">
        <f>F86</f>
        <v>3.1600000000000003E-2</v>
      </c>
      <c r="G87" s="500">
        <f>E87*F87</f>
        <v>0</v>
      </c>
      <c r="H87" s="498">
        <v>0</v>
      </c>
      <c r="I87" s="499">
        <f>I86</f>
        <v>0.11020000000000001</v>
      </c>
      <c r="J87" s="500">
        <f>H87*I87</f>
        <v>0</v>
      </c>
      <c r="K87" s="501">
        <v>0</v>
      </c>
      <c r="L87" s="500">
        <f>G87+J87+K87</f>
        <v>0</v>
      </c>
      <c r="M87" s="498">
        <v>0</v>
      </c>
      <c r="N87" s="502">
        <f>L87+M87</f>
        <v>0</v>
      </c>
      <c r="O87" s="503"/>
      <c r="P87" s="504">
        <v>1090365</v>
      </c>
      <c r="Q87" s="505"/>
      <c r="R87" s="506"/>
      <c r="S87" s="503"/>
      <c r="T87" s="503"/>
      <c r="U87" s="503"/>
    </row>
    <row r="88" spans="1:21" ht="15.75">
      <c r="A88" s="370"/>
      <c r="C88" s="371"/>
      <c r="D88" s="371"/>
      <c r="E88" s="371"/>
      <c r="F88" s="371"/>
      <c r="G88" s="375"/>
      <c r="H88" s="371"/>
      <c r="I88" s="371"/>
      <c r="J88" s="375"/>
      <c r="K88" s="371"/>
      <c r="L88" s="375"/>
      <c r="M88" s="371"/>
      <c r="N88" s="375"/>
      <c r="O88" s="371"/>
      <c r="P88" s="372"/>
      <c r="Q88" s="372"/>
      <c r="R88" s="309"/>
      <c r="S88" s="371"/>
      <c r="T88" s="371"/>
      <c r="U88" s="371"/>
    </row>
    <row r="89" spans="1:21" ht="15.75">
      <c r="A89" s="370"/>
      <c r="C89" s="371"/>
      <c r="D89" s="371"/>
      <c r="E89" s="371"/>
      <c r="F89" s="371"/>
      <c r="G89" s="375"/>
      <c r="H89" s="371"/>
      <c r="I89" s="371"/>
      <c r="J89" s="375"/>
      <c r="K89" s="371"/>
      <c r="L89" s="375"/>
      <c r="M89" s="371"/>
      <c r="N89" s="375"/>
      <c r="O89" s="371"/>
      <c r="P89" s="372"/>
      <c r="Q89" s="372"/>
      <c r="R89" s="309"/>
      <c r="S89" s="371"/>
      <c r="T89" s="371"/>
      <c r="U89" s="371"/>
    </row>
    <row r="90" spans="1:21" ht="15.75">
      <c r="A90" s="370"/>
      <c r="C90" s="371"/>
      <c r="D90" s="371"/>
      <c r="E90" s="371"/>
      <c r="F90" s="371"/>
      <c r="G90" s="375"/>
      <c r="H90" s="371"/>
      <c r="I90" s="371"/>
      <c r="J90" s="375"/>
      <c r="K90" s="371"/>
      <c r="L90" s="375"/>
      <c r="M90" s="371"/>
      <c r="N90" s="375"/>
      <c r="O90" s="371"/>
      <c r="P90" s="372"/>
      <c r="Q90" s="372"/>
      <c r="R90" s="309"/>
      <c r="S90" s="371"/>
      <c r="T90" s="371"/>
      <c r="U90" s="371"/>
    </row>
    <row r="91" spans="1:21" ht="15.75">
      <c r="A91" s="370"/>
      <c r="C91" s="371"/>
      <c r="D91" s="371"/>
      <c r="E91" s="371"/>
      <c r="F91" s="371"/>
      <c r="G91" s="375"/>
      <c r="H91" s="371"/>
      <c r="I91" s="371"/>
      <c r="J91" s="375"/>
      <c r="K91" s="371"/>
      <c r="L91" s="375"/>
      <c r="M91" s="371"/>
      <c r="N91" s="375"/>
      <c r="O91" s="371"/>
      <c r="P91" s="372"/>
      <c r="Q91" s="372"/>
      <c r="R91" s="309"/>
      <c r="S91" s="371"/>
      <c r="T91" s="371"/>
      <c r="U91" s="371"/>
    </row>
    <row r="92" spans="1:21" ht="15.75">
      <c r="A92" s="376"/>
      <c r="B92" s="377"/>
      <c r="C92" s="378"/>
      <c r="D92" s="378"/>
      <c r="E92" s="378"/>
      <c r="F92" s="378"/>
      <c r="G92" s="379"/>
      <c r="H92" s="378"/>
      <c r="I92" s="378"/>
      <c r="J92" s="379"/>
      <c r="K92" s="378"/>
      <c r="L92" s="379"/>
      <c r="M92" s="378"/>
      <c r="N92" s="379"/>
      <c r="O92" s="371"/>
      <c r="P92" s="372"/>
      <c r="Q92" s="372"/>
      <c r="R92" s="309"/>
      <c r="S92" s="371"/>
      <c r="T92" s="371"/>
      <c r="U92" s="371"/>
    </row>
    <row r="93" spans="1:21" ht="15.75">
      <c r="A93" s="307" t="s">
        <v>421</v>
      </c>
      <c r="B93" s="338"/>
      <c r="C93" s="310" t="s">
        <v>422</v>
      </c>
      <c r="D93" s="310"/>
      <c r="E93" s="329"/>
      <c r="F93" s="329"/>
      <c r="G93" s="299"/>
      <c r="H93" s="299"/>
      <c r="I93" s="299"/>
      <c r="J93" s="299"/>
      <c r="K93" s="299"/>
      <c r="L93" s="299">
        <f>SUM(L73:L92)</f>
        <v>32430779.23893949</v>
      </c>
      <c r="M93" s="380">
        <f>SUM(M73:M92)</f>
        <v>1461826</v>
      </c>
      <c r="N93" s="381">
        <f>SUM(N73:N92)</f>
        <v>33892605.238939486</v>
      </c>
      <c r="O93" s="371"/>
      <c r="P93" s="382">
        <f>SUM(P73:P92)</f>
        <v>38700369.800524034</v>
      </c>
      <c r="Q93" s="372"/>
      <c r="R93" s="309"/>
      <c r="S93" s="371"/>
      <c r="T93" s="371"/>
      <c r="U93" s="371"/>
    </row>
    <row r="94" spans="1:21" ht="15.75">
      <c r="A94" s="383"/>
      <c r="B94" s="371"/>
      <c r="C94" s="371"/>
      <c r="D94" s="371"/>
      <c r="E94" s="371"/>
      <c r="F94" s="371"/>
      <c r="G94" s="371"/>
      <c r="H94" s="371"/>
      <c r="I94" s="371"/>
      <c r="J94" s="371"/>
      <c r="K94" s="371"/>
      <c r="L94" s="371"/>
      <c r="M94" s="371"/>
      <c r="N94" s="371"/>
      <c r="O94" s="371"/>
      <c r="P94" s="384"/>
      <c r="Q94" s="384"/>
      <c r="R94" s="309"/>
      <c r="S94" s="371"/>
      <c r="T94" s="371"/>
      <c r="U94" s="371"/>
    </row>
    <row r="95" spans="1:21" ht="15.75">
      <c r="A95" s="385">
        <v>3</v>
      </c>
      <c r="B95" s="371"/>
      <c r="C95" s="344" t="s">
        <v>423</v>
      </c>
      <c r="D95" s="371"/>
      <c r="E95" s="371"/>
      <c r="F95" s="371"/>
      <c r="G95" s="371"/>
      <c r="H95" s="371"/>
      <c r="I95" s="371"/>
      <c r="J95" s="371"/>
      <c r="K95" s="371"/>
      <c r="L95" s="386">
        <f>L93</f>
        <v>32430779.23893949</v>
      </c>
      <c r="M95" s="371"/>
      <c r="N95" s="387" t="s">
        <v>424</v>
      </c>
      <c r="O95" s="371"/>
      <c r="P95" s="371"/>
      <c r="Q95" s="371"/>
      <c r="R95" s="309"/>
      <c r="S95" s="371"/>
      <c r="T95" s="371"/>
      <c r="U95" s="371"/>
    </row>
    <row r="96" spans="1:21">
      <c r="A96" s="371"/>
      <c r="B96" s="371"/>
      <c r="C96" s="371"/>
      <c r="D96" s="371"/>
      <c r="E96" s="371"/>
      <c r="F96" s="371"/>
      <c r="G96" s="371"/>
      <c r="H96" s="371"/>
      <c r="I96" s="371"/>
      <c r="J96" s="371"/>
      <c r="K96" s="371"/>
      <c r="L96" s="371"/>
      <c r="M96" s="371"/>
      <c r="N96" s="371"/>
      <c r="O96" s="371"/>
      <c r="P96" s="371"/>
      <c r="Q96" s="371"/>
      <c r="R96" s="371"/>
      <c r="S96" s="371"/>
      <c r="T96" s="371"/>
      <c r="U96" s="371"/>
    </row>
    <row r="97" spans="1:21">
      <c r="A97" s="371"/>
      <c r="B97" s="371"/>
      <c r="C97" s="371"/>
      <c r="D97" s="371"/>
      <c r="E97" s="371"/>
      <c r="F97" s="371"/>
      <c r="G97" s="371"/>
      <c r="H97" s="371"/>
      <c r="I97" s="371"/>
      <c r="J97" s="371"/>
      <c r="K97" s="371"/>
      <c r="L97" s="371"/>
      <c r="M97" s="371"/>
      <c r="N97" s="371"/>
      <c r="O97" s="371"/>
      <c r="P97" s="371"/>
      <c r="Q97" s="371"/>
      <c r="R97" s="371"/>
      <c r="S97" s="371"/>
      <c r="T97" s="371"/>
      <c r="U97" s="371"/>
    </row>
    <row r="98" spans="1:21" ht="15" customHeight="1">
      <c r="A98" s="344" t="s">
        <v>425</v>
      </c>
      <c r="B98" s="371"/>
      <c r="C98" s="371"/>
      <c r="D98" s="371"/>
      <c r="E98" s="371"/>
      <c r="F98" s="371"/>
      <c r="G98" s="371"/>
      <c r="H98" s="371"/>
      <c r="I98" s="371"/>
      <c r="J98" s="371"/>
      <c r="K98" s="371"/>
      <c r="L98" s="371"/>
      <c r="M98" s="371"/>
      <c r="N98" s="371"/>
      <c r="O98" s="371"/>
      <c r="P98" s="371"/>
      <c r="Q98" s="371"/>
      <c r="R98" s="371"/>
      <c r="S98" s="371"/>
      <c r="T98" s="371"/>
      <c r="U98" s="371"/>
    </row>
    <row r="99" spans="1:21" ht="15" customHeight="1" thickBot="1">
      <c r="A99" s="388" t="s">
        <v>426</v>
      </c>
      <c r="B99" s="371"/>
      <c r="C99" s="371"/>
      <c r="D99" s="371"/>
      <c r="E99" s="371"/>
      <c r="F99" s="371"/>
      <c r="G99" s="371"/>
      <c r="H99" s="371"/>
      <c r="I99" s="371"/>
      <c r="J99" s="371"/>
      <c r="K99" s="371"/>
      <c r="L99" s="371"/>
      <c r="M99" s="371"/>
      <c r="N99" s="371"/>
      <c r="O99" s="371"/>
      <c r="P99" s="371"/>
      <c r="Q99" s="371"/>
      <c r="R99" s="371"/>
      <c r="S99" s="371"/>
      <c r="T99" s="371"/>
      <c r="U99" s="371"/>
    </row>
    <row r="100" spans="1:21" ht="15" customHeight="1">
      <c r="A100" s="389" t="s">
        <v>39</v>
      </c>
      <c r="B100" s="387"/>
      <c r="C100" s="575" t="s">
        <v>427</v>
      </c>
      <c r="D100" s="575"/>
      <c r="E100" s="575"/>
      <c r="F100" s="575"/>
      <c r="G100" s="575"/>
      <c r="H100" s="575"/>
      <c r="I100" s="575"/>
      <c r="J100" s="575"/>
      <c r="K100" s="575"/>
      <c r="L100" s="575"/>
      <c r="M100" s="575"/>
      <c r="N100" s="575"/>
      <c r="O100" s="371"/>
      <c r="P100" s="371"/>
      <c r="Q100" s="371"/>
      <c r="R100" s="371"/>
      <c r="S100" s="371"/>
      <c r="T100" s="371"/>
      <c r="U100" s="371"/>
    </row>
    <row r="101" spans="1:21" ht="15" customHeight="1">
      <c r="A101" s="389" t="s">
        <v>40</v>
      </c>
      <c r="B101" s="387"/>
      <c r="C101" s="575" t="s">
        <v>428</v>
      </c>
      <c r="D101" s="575"/>
      <c r="E101" s="575"/>
      <c r="F101" s="575"/>
      <c r="G101" s="575"/>
      <c r="H101" s="575"/>
      <c r="I101" s="575"/>
      <c r="J101" s="575"/>
      <c r="K101" s="575"/>
      <c r="L101" s="575"/>
      <c r="M101" s="575"/>
      <c r="N101" s="575"/>
      <c r="O101" s="371"/>
      <c r="P101" s="371"/>
      <c r="Q101" s="371"/>
      <c r="R101" s="371"/>
      <c r="S101" s="371"/>
      <c r="T101" s="371"/>
      <c r="U101" s="371"/>
    </row>
    <row r="102" spans="1:21" ht="15" customHeight="1">
      <c r="A102" s="389" t="s">
        <v>41</v>
      </c>
      <c r="B102" s="387"/>
      <c r="C102" s="576" t="s">
        <v>429</v>
      </c>
      <c r="D102" s="577"/>
      <c r="E102" s="577"/>
      <c r="F102" s="577"/>
      <c r="G102" s="577"/>
      <c r="H102" s="577"/>
      <c r="I102" s="577"/>
      <c r="J102" s="577"/>
      <c r="K102" s="577"/>
      <c r="L102" s="577"/>
      <c r="M102" s="577"/>
      <c r="N102" s="577"/>
      <c r="O102" s="371"/>
      <c r="P102" s="371"/>
      <c r="Q102" s="371"/>
      <c r="R102" s="371"/>
      <c r="S102" s="371"/>
      <c r="T102" s="371"/>
      <c r="U102" s="371"/>
    </row>
    <row r="103" spans="1:21" ht="15" customHeight="1">
      <c r="A103" s="389" t="s">
        <v>430</v>
      </c>
      <c r="B103" s="387"/>
      <c r="C103" s="579" t="s">
        <v>431</v>
      </c>
      <c r="D103" s="579"/>
      <c r="E103" s="579"/>
      <c r="F103" s="579"/>
      <c r="G103" s="579"/>
      <c r="H103" s="579"/>
      <c r="I103" s="579"/>
      <c r="J103" s="579"/>
      <c r="K103" s="579"/>
      <c r="L103" s="579"/>
      <c r="M103" s="579"/>
      <c r="N103" s="579"/>
      <c r="O103" s="371"/>
      <c r="P103" s="371"/>
      <c r="Q103" s="371"/>
      <c r="R103" s="371"/>
      <c r="S103" s="371"/>
      <c r="T103" s="371"/>
      <c r="U103" s="371"/>
    </row>
    <row r="104" spans="1:21" ht="15" customHeight="1">
      <c r="A104" s="390" t="s">
        <v>42</v>
      </c>
      <c r="B104" s="387"/>
      <c r="C104" s="580" t="s">
        <v>432</v>
      </c>
      <c r="D104" s="580"/>
      <c r="E104" s="580"/>
      <c r="F104" s="580"/>
      <c r="G104" s="580"/>
      <c r="H104" s="580"/>
      <c r="I104" s="580"/>
      <c r="J104" s="580"/>
      <c r="K104" s="580"/>
      <c r="L104" s="580"/>
      <c r="M104" s="580"/>
      <c r="N104" s="580"/>
      <c r="O104" s="371"/>
      <c r="P104" s="371"/>
      <c r="Q104" s="371"/>
      <c r="R104" s="371"/>
      <c r="S104" s="371"/>
      <c r="T104" s="371"/>
      <c r="U104" s="371"/>
    </row>
    <row r="105" spans="1:21" ht="15" customHeight="1">
      <c r="A105" s="390" t="s">
        <v>55</v>
      </c>
      <c r="B105" s="387"/>
      <c r="C105" s="581" t="s">
        <v>433</v>
      </c>
      <c r="D105" s="580"/>
      <c r="E105" s="580"/>
      <c r="F105" s="580"/>
      <c r="G105" s="580"/>
      <c r="H105" s="580"/>
      <c r="I105" s="580"/>
      <c r="J105" s="580"/>
      <c r="K105" s="580"/>
      <c r="L105" s="580"/>
      <c r="M105" s="580"/>
      <c r="N105" s="580"/>
      <c r="O105" s="371"/>
      <c r="P105" s="371"/>
      <c r="Q105" s="371"/>
      <c r="R105" s="371"/>
      <c r="S105" s="371"/>
      <c r="T105" s="371"/>
      <c r="U105" s="371"/>
    </row>
    <row r="106" spans="1:21" ht="15" customHeight="1">
      <c r="A106" s="390" t="s">
        <v>56</v>
      </c>
      <c r="B106" s="387"/>
      <c r="C106" s="580" t="s">
        <v>434</v>
      </c>
      <c r="D106" s="580"/>
      <c r="E106" s="580"/>
      <c r="F106" s="580"/>
      <c r="G106" s="580"/>
      <c r="H106" s="580"/>
      <c r="I106" s="580"/>
      <c r="J106" s="580"/>
      <c r="K106" s="580"/>
      <c r="L106" s="580"/>
      <c r="M106" s="580"/>
      <c r="N106" s="580"/>
      <c r="O106" s="371"/>
      <c r="P106" s="371"/>
      <c r="Q106" s="371"/>
      <c r="R106" s="371"/>
      <c r="S106" s="371"/>
      <c r="T106" s="371"/>
      <c r="U106" s="371"/>
    </row>
    <row r="107" spans="1:21" ht="15" customHeight="1">
      <c r="A107" s="390" t="s">
        <v>435</v>
      </c>
      <c r="B107" s="387"/>
      <c r="C107" s="578" t="s">
        <v>436</v>
      </c>
      <c r="D107" s="578"/>
      <c r="E107" s="578"/>
      <c r="F107" s="578"/>
      <c r="G107" s="578"/>
      <c r="H107" s="578"/>
      <c r="I107" s="578"/>
      <c r="J107" s="578"/>
      <c r="K107" s="578"/>
      <c r="L107" s="578"/>
      <c r="M107" s="578"/>
      <c r="N107" s="578"/>
      <c r="O107" s="371"/>
      <c r="P107" s="371"/>
      <c r="Q107" s="371"/>
      <c r="R107" s="371"/>
      <c r="S107" s="371"/>
      <c r="T107" s="371"/>
      <c r="U107" s="371"/>
    </row>
    <row r="108" spans="1:21" ht="15.75">
      <c r="A108" s="345"/>
      <c r="B108" s="92"/>
      <c r="C108" s="391"/>
      <c r="D108" s="328"/>
      <c r="E108" s="329"/>
      <c r="F108" s="329"/>
      <c r="G108" s="299"/>
      <c r="H108" s="344"/>
      <c r="I108" s="344"/>
      <c r="J108" s="322"/>
      <c r="K108" s="344"/>
      <c r="M108" s="299"/>
      <c r="N108" s="346"/>
      <c r="O108" s="371"/>
      <c r="P108" s="371"/>
      <c r="Q108" s="371"/>
      <c r="R108" s="371"/>
      <c r="S108" s="371"/>
      <c r="T108" s="371"/>
      <c r="U108" s="371"/>
    </row>
    <row r="109" spans="1:21" ht="15.75">
      <c r="A109" s="345"/>
      <c r="B109" s="92"/>
      <c r="C109" s="391"/>
      <c r="D109" s="328"/>
      <c r="E109" s="329"/>
      <c r="F109" s="329"/>
      <c r="G109" s="299"/>
      <c r="H109" s="344"/>
      <c r="I109" s="344"/>
      <c r="J109" s="322"/>
      <c r="K109" s="344"/>
      <c r="M109" s="299"/>
      <c r="N109" s="324"/>
      <c r="O109" s="371"/>
      <c r="P109" s="371"/>
      <c r="Q109" s="371"/>
      <c r="R109" s="371"/>
      <c r="S109" s="371"/>
      <c r="T109" s="371"/>
      <c r="U109" s="371"/>
    </row>
    <row r="110" spans="1:21">
      <c r="C110" s="371"/>
      <c r="D110" s="371"/>
      <c r="E110" s="371"/>
      <c r="F110" s="371"/>
      <c r="G110" s="371"/>
      <c r="H110" s="371"/>
      <c r="I110" s="371"/>
      <c r="J110" s="371"/>
      <c r="K110" s="371"/>
      <c r="L110" s="371"/>
      <c r="M110" s="371"/>
      <c r="N110" s="371"/>
      <c r="O110" s="371"/>
      <c r="P110" s="371"/>
      <c r="Q110" s="371"/>
      <c r="R110" s="371"/>
      <c r="S110" s="371"/>
      <c r="T110" s="371"/>
      <c r="U110" s="371"/>
    </row>
    <row r="111" spans="1:21">
      <c r="C111" s="371"/>
      <c r="D111" s="371"/>
      <c r="E111" s="371"/>
      <c r="F111" s="371"/>
      <c r="G111" s="371"/>
      <c r="H111" s="371"/>
      <c r="I111" s="371"/>
      <c r="J111" s="371"/>
      <c r="K111" s="371"/>
      <c r="L111" s="371"/>
      <c r="M111" s="371"/>
      <c r="N111" s="371"/>
      <c r="O111" s="371"/>
      <c r="P111" s="371"/>
      <c r="Q111" s="371"/>
      <c r="R111" s="371"/>
      <c r="S111" s="371"/>
      <c r="T111" s="371"/>
      <c r="U111" s="371"/>
    </row>
    <row r="112" spans="1:21">
      <c r="C112" s="371"/>
      <c r="D112" s="371"/>
      <c r="E112" s="371"/>
      <c r="F112" s="371"/>
      <c r="G112" s="371"/>
      <c r="H112" s="371"/>
      <c r="I112" s="371"/>
      <c r="J112" s="371"/>
      <c r="K112" s="371"/>
      <c r="L112" s="371"/>
      <c r="M112" s="371"/>
      <c r="N112" s="371"/>
      <c r="O112" s="371"/>
      <c r="P112" s="371"/>
      <c r="Q112" s="371"/>
      <c r="R112" s="371"/>
      <c r="S112" s="371"/>
      <c r="T112" s="371"/>
      <c r="U112" s="371"/>
    </row>
    <row r="113" spans="3:21">
      <c r="C113" s="371"/>
      <c r="D113" s="371"/>
      <c r="E113" s="371"/>
      <c r="F113" s="371"/>
      <c r="G113" s="371"/>
      <c r="H113" s="371"/>
      <c r="I113" s="371"/>
      <c r="J113" s="371"/>
      <c r="K113" s="371"/>
      <c r="L113" s="371"/>
      <c r="M113" s="371"/>
      <c r="N113" s="371"/>
      <c r="O113" s="371"/>
      <c r="P113" s="371"/>
      <c r="Q113" s="371"/>
      <c r="R113" s="371"/>
      <c r="S113" s="371"/>
      <c r="T113" s="371"/>
      <c r="U113" s="371"/>
    </row>
    <row r="114" spans="3:21">
      <c r="C114" s="371"/>
      <c r="D114" s="371"/>
      <c r="E114" s="371"/>
      <c r="F114" s="371"/>
      <c r="G114" s="371"/>
      <c r="H114" s="371"/>
      <c r="I114" s="371"/>
      <c r="J114" s="371"/>
      <c r="K114" s="371"/>
      <c r="L114" s="371"/>
      <c r="M114" s="371"/>
      <c r="N114" s="371"/>
      <c r="O114" s="371"/>
      <c r="P114" s="371"/>
      <c r="Q114" s="371"/>
      <c r="R114" s="371"/>
      <c r="S114" s="371"/>
      <c r="T114" s="371"/>
      <c r="U114" s="371"/>
    </row>
    <row r="115" spans="3:21">
      <c r="C115" s="371"/>
      <c r="D115" s="371"/>
      <c r="E115" s="371"/>
      <c r="F115" s="371"/>
      <c r="G115" s="371"/>
      <c r="H115" s="371"/>
      <c r="I115" s="371"/>
      <c r="J115" s="371"/>
      <c r="K115" s="371"/>
      <c r="L115" s="371"/>
      <c r="M115" s="371"/>
      <c r="N115" s="371"/>
      <c r="O115" s="371"/>
      <c r="P115" s="371"/>
      <c r="Q115" s="371"/>
      <c r="R115" s="371"/>
      <c r="S115" s="371"/>
      <c r="T115" s="371"/>
      <c r="U115" s="371"/>
    </row>
    <row r="116" spans="3:21">
      <c r="C116" s="371"/>
      <c r="D116" s="371"/>
      <c r="E116" s="371"/>
      <c r="F116" s="371"/>
      <c r="G116" s="371"/>
      <c r="H116" s="371"/>
      <c r="I116" s="371"/>
      <c r="J116" s="371"/>
      <c r="K116" s="371"/>
      <c r="L116" s="371"/>
      <c r="M116" s="371"/>
      <c r="N116" s="371"/>
      <c r="O116" s="371"/>
      <c r="P116" s="371"/>
      <c r="Q116" s="371"/>
      <c r="R116" s="371"/>
      <c r="S116" s="371"/>
      <c r="T116" s="371"/>
      <c r="U116" s="371"/>
    </row>
    <row r="117" spans="3:21">
      <c r="C117" s="371"/>
      <c r="D117" s="371"/>
      <c r="E117" s="371"/>
      <c r="F117" s="371"/>
      <c r="G117" s="371"/>
      <c r="H117" s="371"/>
      <c r="I117" s="371"/>
      <c r="J117" s="371"/>
      <c r="K117" s="371"/>
      <c r="L117" s="371"/>
      <c r="M117" s="371"/>
      <c r="N117" s="371"/>
      <c r="O117" s="371"/>
      <c r="P117" s="371"/>
      <c r="Q117" s="371"/>
      <c r="R117" s="371"/>
      <c r="S117" s="371"/>
      <c r="T117" s="371"/>
      <c r="U117" s="371"/>
    </row>
    <row r="118" spans="3:21">
      <c r="C118" s="371"/>
      <c r="D118" s="371"/>
      <c r="E118" s="371"/>
      <c r="F118" s="371"/>
      <c r="G118" s="371"/>
      <c r="H118" s="371"/>
      <c r="I118" s="371"/>
      <c r="J118" s="371"/>
      <c r="K118" s="371"/>
      <c r="L118" s="371"/>
      <c r="M118" s="371"/>
      <c r="N118" s="371"/>
      <c r="O118" s="371"/>
      <c r="P118" s="371"/>
      <c r="Q118" s="371"/>
      <c r="R118" s="371"/>
      <c r="S118" s="371"/>
      <c r="T118" s="371"/>
      <c r="U118" s="371"/>
    </row>
    <row r="119" spans="3:21">
      <c r="C119" s="371"/>
      <c r="D119" s="371"/>
      <c r="E119" s="371"/>
      <c r="F119" s="371"/>
      <c r="G119" s="371"/>
      <c r="H119" s="371"/>
      <c r="I119" s="371"/>
      <c r="J119" s="371"/>
      <c r="K119" s="371"/>
      <c r="L119" s="371"/>
      <c r="M119" s="371"/>
      <c r="N119" s="371"/>
      <c r="O119" s="371"/>
      <c r="P119" s="371"/>
      <c r="Q119" s="371"/>
      <c r="R119" s="371"/>
      <c r="S119" s="371"/>
      <c r="T119" s="371"/>
      <c r="U119" s="371"/>
    </row>
    <row r="120" spans="3:21">
      <c r="C120" s="371"/>
      <c r="D120" s="371"/>
      <c r="E120" s="371"/>
      <c r="F120" s="371"/>
      <c r="G120" s="371"/>
      <c r="H120" s="371"/>
      <c r="I120" s="371"/>
      <c r="J120" s="371"/>
      <c r="K120" s="371"/>
      <c r="L120" s="371"/>
      <c r="M120" s="371"/>
      <c r="N120" s="371"/>
      <c r="O120" s="371"/>
      <c r="P120" s="371"/>
      <c r="Q120" s="371"/>
      <c r="R120" s="371"/>
      <c r="S120" s="371"/>
      <c r="T120" s="371"/>
      <c r="U120" s="371"/>
    </row>
    <row r="121" spans="3:21">
      <c r="C121" s="371"/>
      <c r="D121" s="371"/>
      <c r="E121" s="371"/>
      <c r="F121" s="371"/>
      <c r="G121" s="371"/>
      <c r="H121" s="371"/>
      <c r="I121" s="371"/>
      <c r="J121" s="371"/>
      <c r="K121" s="371"/>
      <c r="L121" s="371"/>
      <c r="M121" s="371"/>
      <c r="N121" s="371"/>
      <c r="O121" s="371"/>
      <c r="P121" s="371"/>
      <c r="Q121" s="371"/>
      <c r="R121" s="371"/>
      <c r="S121" s="371"/>
      <c r="T121" s="371"/>
      <c r="U121" s="371"/>
    </row>
    <row r="122" spans="3:21">
      <c r="C122" s="371"/>
      <c r="D122" s="371"/>
      <c r="E122" s="371"/>
      <c r="F122" s="371"/>
      <c r="G122" s="371"/>
      <c r="H122" s="371"/>
      <c r="I122" s="371"/>
      <c r="J122" s="371"/>
      <c r="K122" s="371"/>
      <c r="L122" s="371"/>
      <c r="M122" s="371"/>
      <c r="N122" s="371"/>
      <c r="O122" s="371"/>
      <c r="P122" s="371"/>
      <c r="Q122" s="371"/>
      <c r="R122" s="371"/>
      <c r="S122" s="371"/>
      <c r="T122" s="371"/>
      <c r="U122" s="371"/>
    </row>
    <row r="123" spans="3:21">
      <c r="C123" s="371"/>
      <c r="D123" s="371"/>
      <c r="E123" s="371"/>
      <c r="F123" s="371"/>
      <c r="G123" s="371"/>
      <c r="H123" s="371"/>
      <c r="I123" s="371"/>
      <c r="J123" s="371"/>
      <c r="K123" s="371"/>
      <c r="L123" s="371"/>
      <c r="M123" s="371"/>
      <c r="N123" s="371"/>
      <c r="O123" s="371"/>
      <c r="P123" s="371"/>
      <c r="Q123" s="371"/>
      <c r="R123" s="371"/>
      <c r="S123" s="371"/>
      <c r="T123" s="371"/>
      <c r="U123" s="371"/>
    </row>
    <row r="124" spans="3:21">
      <c r="C124" s="371"/>
      <c r="D124" s="371"/>
      <c r="E124" s="371"/>
      <c r="F124" s="371"/>
      <c r="G124" s="371"/>
      <c r="H124" s="371"/>
      <c r="I124" s="371"/>
      <c r="J124" s="371"/>
      <c r="K124" s="371"/>
      <c r="L124" s="371"/>
      <c r="M124" s="371"/>
      <c r="N124" s="371"/>
      <c r="O124" s="371"/>
      <c r="P124" s="371"/>
      <c r="Q124" s="371"/>
      <c r="R124" s="371"/>
      <c r="S124" s="371"/>
      <c r="T124" s="371"/>
      <c r="U124" s="371"/>
    </row>
    <row r="125" spans="3:21">
      <c r="C125" s="371"/>
      <c r="D125" s="371"/>
      <c r="E125" s="371"/>
      <c r="F125" s="371"/>
      <c r="G125" s="371"/>
      <c r="H125" s="371"/>
      <c r="I125" s="371"/>
      <c r="J125" s="371"/>
      <c r="K125" s="371"/>
      <c r="L125" s="371"/>
      <c r="M125" s="371"/>
      <c r="N125" s="371"/>
      <c r="O125" s="371"/>
      <c r="P125" s="371"/>
      <c r="Q125" s="371"/>
      <c r="R125" s="371"/>
      <c r="S125" s="371"/>
      <c r="T125" s="371"/>
      <c r="U125" s="371"/>
    </row>
    <row r="126" spans="3:21">
      <c r="C126" s="371"/>
      <c r="D126" s="371"/>
      <c r="E126" s="371"/>
      <c r="F126" s="371"/>
      <c r="G126" s="371"/>
      <c r="H126" s="371"/>
      <c r="I126" s="371"/>
      <c r="J126" s="371"/>
      <c r="K126" s="371"/>
      <c r="L126" s="371"/>
      <c r="M126" s="371"/>
      <c r="N126" s="371"/>
      <c r="O126" s="371"/>
      <c r="P126" s="371"/>
      <c r="Q126" s="371"/>
      <c r="R126" s="371"/>
      <c r="S126" s="371"/>
      <c r="T126" s="371"/>
      <c r="U126" s="371"/>
    </row>
    <row r="127" spans="3:21">
      <c r="C127" s="371"/>
      <c r="D127" s="371"/>
      <c r="E127" s="371"/>
      <c r="F127" s="371"/>
      <c r="G127" s="371"/>
      <c r="H127" s="371"/>
      <c r="I127" s="371"/>
      <c r="J127" s="371"/>
      <c r="K127" s="371"/>
      <c r="L127" s="371"/>
      <c r="M127" s="371"/>
      <c r="N127" s="371"/>
      <c r="O127" s="371"/>
      <c r="P127" s="371"/>
      <c r="Q127" s="371"/>
      <c r="R127" s="371"/>
      <c r="S127" s="371"/>
      <c r="T127" s="371"/>
      <c r="U127" s="371"/>
    </row>
    <row r="128" spans="3:21">
      <c r="C128" s="371"/>
      <c r="D128" s="371"/>
      <c r="E128" s="371"/>
      <c r="F128" s="371"/>
      <c r="G128" s="371"/>
      <c r="H128" s="371"/>
      <c r="I128" s="371"/>
      <c r="J128" s="371"/>
      <c r="K128" s="371"/>
      <c r="L128" s="371"/>
      <c r="M128" s="371"/>
      <c r="N128" s="371"/>
      <c r="O128" s="371"/>
      <c r="P128" s="371"/>
      <c r="Q128" s="371"/>
      <c r="R128" s="371"/>
      <c r="S128" s="371"/>
      <c r="T128" s="371"/>
      <c r="U128" s="371"/>
    </row>
    <row r="129" spans="3:21">
      <c r="C129" s="371"/>
      <c r="D129" s="371"/>
      <c r="E129" s="371"/>
      <c r="F129" s="371"/>
      <c r="G129" s="371"/>
      <c r="H129" s="371"/>
      <c r="I129" s="371"/>
      <c r="J129" s="371"/>
      <c r="K129" s="371"/>
      <c r="L129" s="371"/>
      <c r="M129" s="371"/>
      <c r="N129" s="371"/>
      <c r="O129" s="371"/>
      <c r="P129" s="371"/>
      <c r="Q129" s="371"/>
      <c r="R129" s="371"/>
      <c r="S129" s="371"/>
      <c r="T129" s="371"/>
      <c r="U129" s="371"/>
    </row>
    <row r="130" spans="3:21">
      <c r="C130" s="371"/>
      <c r="D130" s="371"/>
      <c r="E130" s="371"/>
      <c r="F130" s="371"/>
      <c r="G130" s="371"/>
      <c r="H130" s="371"/>
      <c r="I130" s="371"/>
      <c r="J130" s="371"/>
      <c r="K130" s="371"/>
      <c r="L130" s="371"/>
      <c r="M130" s="371"/>
      <c r="N130" s="371"/>
      <c r="O130" s="371"/>
      <c r="P130" s="371"/>
      <c r="Q130" s="371"/>
      <c r="R130" s="371"/>
      <c r="S130" s="371"/>
      <c r="T130" s="371"/>
      <c r="U130" s="371"/>
    </row>
    <row r="131" spans="3:21">
      <c r="C131" s="371"/>
      <c r="D131" s="371"/>
      <c r="E131" s="371"/>
      <c r="F131" s="371"/>
      <c r="G131" s="371"/>
      <c r="H131" s="371"/>
      <c r="I131" s="371"/>
      <c r="J131" s="371"/>
      <c r="K131" s="371"/>
      <c r="L131" s="371"/>
      <c r="M131" s="371"/>
      <c r="N131" s="371"/>
      <c r="O131" s="371"/>
      <c r="P131" s="371"/>
      <c r="Q131" s="371"/>
      <c r="R131" s="371"/>
      <c r="S131" s="371"/>
      <c r="T131" s="371"/>
      <c r="U131" s="371"/>
    </row>
    <row r="132" spans="3:21">
      <c r="C132" s="371"/>
      <c r="D132" s="371"/>
      <c r="E132" s="371"/>
      <c r="F132" s="371"/>
      <c r="G132" s="371"/>
      <c r="H132" s="371"/>
      <c r="I132" s="371"/>
      <c r="J132" s="371"/>
      <c r="K132" s="371"/>
      <c r="L132" s="371"/>
      <c r="M132" s="371"/>
      <c r="N132" s="371"/>
      <c r="O132" s="371"/>
      <c r="P132" s="371"/>
      <c r="Q132" s="371"/>
      <c r="R132" s="371"/>
      <c r="S132" s="371"/>
      <c r="T132" s="371"/>
      <c r="U132" s="371"/>
    </row>
    <row r="133" spans="3:21">
      <c r="C133" s="371"/>
      <c r="D133" s="371"/>
      <c r="E133" s="371"/>
      <c r="F133" s="371"/>
      <c r="G133" s="371"/>
      <c r="H133" s="371"/>
      <c r="I133" s="371"/>
      <c r="J133" s="371"/>
      <c r="K133" s="371"/>
      <c r="L133" s="371"/>
      <c r="M133" s="371"/>
      <c r="N133" s="371"/>
      <c r="O133" s="371"/>
      <c r="P133" s="371"/>
      <c r="Q133" s="371"/>
      <c r="R133" s="371"/>
      <c r="S133" s="371"/>
      <c r="T133" s="371"/>
      <c r="U133" s="371"/>
    </row>
    <row r="134" spans="3:21">
      <c r="C134" s="371"/>
      <c r="D134" s="371"/>
      <c r="E134" s="371"/>
      <c r="F134" s="371"/>
      <c r="G134" s="371"/>
      <c r="H134" s="371"/>
      <c r="I134" s="371"/>
      <c r="J134" s="371"/>
      <c r="K134" s="371"/>
      <c r="L134" s="371"/>
      <c r="M134" s="371"/>
      <c r="N134" s="371"/>
      <c r="O134" s="371"/>
      <c r="P134" s="371"/>
      <c r="Q134" s="371"/>
      <c r="R134" s="371"/>
      <c r="S134" s="371"/>
      <c r="T134" s="371"/>
      <c r="U134" s="371"/>
    </row>
    <row r="135" spans="3:21">
      <c r="C135" s="371"/>
      <c r="D135" s="371"/>
      <c r="E135" s="371"/>
      <c r="F135" s="371"/>
      <c r="G135" s="371"/>
      <c r="H135" s="371"/>
      <c r="I135" s="371"/>
      <c r="J135" s="371"/>
      <c r="K135" s="371"/>
      <c r="L135" s="371"/>
      <c r="M135" s="371"/>
      <c r="N135" s="371"/>
      <c r="O135" s="371"/>
      <c r="P135" s="371"/>
      <c r="Q135" s="371"/>
      <c r="R135" s="371"/>
      <c r="S135" s="371"/>
      <c r="T135" s="371"/>
      <c r="U135" s="371"/>
    </row>
    <row r="136" spans="3:21">
      <c r="C136" s="371"/>
      <c r="D136" s="371"/>
      <c r="E136" s="371"/>
      <c r="F136" s="371"/>
      <c r="G136" s="371"/>
      <c r="H136" s="371"/>
      <c r="I136" s="371"/>
      <c r="J136" s="371"/>
      <c r="K136" s="371"/>
      <c r="L136" s="371"/>
      <c r="M136" s="371"/>
      <c r="N136" s="371"/>
      <c r="O136" s="371"/>
      <c r="P136" s="371"/>
      <c r="Q136" s="371"/>
      <c r="R136" s="371"/>
      <c r="S136" s="371"/>
      <c r="T136" s="371"/>
      <c r="U136" s="371"/>
    </row>
    <row r="137" spans="3:21">
      <c r="C137" s="371"/>
      <c r="D137" s="371"/>
      <c r="E137" s="371"/>
      <c r="F137" s="371"/>
      <c r="G137" s="371"/>
      <c r="H137" s="371"/>
      <c r="I137" s="371"/>
      <c r="J137" s="371"/>
      <c r="K137" s="371"/>
      <c r="L137" s="371"/>
      <c r="M137" s="371"/>
      <c r="N137" s="371"/>
      <c r="O137" s="371"/>
      <c r="P137" s="371"/>
      <c r="Q137" s="371"/>
      <c r="R137" s="371"/>
      <c r="S137" s="371"/>
      <c r="T137" s="371"/>
      <c r="U137" s="371"/>
    </row>
    <row r="138" spans="3:21">
      <c r="C138" s="371"/>
      <c r="D138" s="371"/>
      <c r="E138" s="371"/>
      <c r="F138" s="371"/>
      <c r="G138" s="371"/>
      <c r="H138" s="371"/>
      <c r="I138" s="371"/>
      <c r="J138" s="371"/>
      <c r="K138" s="371"/>
      <c r="L138" s="371"/>
      <c r="M138" s="371"/>
      <c r="N138" s="371"/>
      <c r="O138" s="371"/>
      <c r="P138" s="371"/>
      <c r="Q138" s="371"/>
      <c r="R138" s="371"/>
      <c r="S138" s="371"/>
      <c r="T138" s="371"/>
      <c r="U138" s="371"/>
    </row>
    <row r="139" spans="3:21">
      <c r="C139" s="371"/>
      <c r="D139" s="371"/>
      <c r="E139" s="371"/>
      <c r="F139" s="371"/>
      <c r="G139" s="371"/>
      <c r="H139" s="371"/>
      <c r="I139" s="371"/>
      <c r="J139" s="371"/>
      <c r="K139" s="371"/>
      <c r="L139" s="371"/>
      <c r="M139" s="371"/>
      <c r="N139" s="371"/>
      <c r="O139" s="371"/>
      <c r="P139" s="371"/>
      <c r="Q139" s="371"/>
      <c r="R139" s="371"/>
      <c r="S139" s="371"/>
      <c r="T139" s="371"/>
      <c r="U139" s="371"/>
    </row>
    <row r="140" spans="3:21">
      <c r="C140" s="371"/>
      <c r="D140" s="371"/>
      <c r="E140" s="371"/>
      <c r="F140" s="371"/>
      <c r="G140" s="371"/>
      <c r="H140" s="371"/>
      <c r="I140" s="371"/>
      <c r="J140" s="371"/>
      <c r="K140" s="371"/>
      <c r="L140" s="371"/>
      <c r="M140" s="371"/>
      <c r="N140" s="371"/>
      <c r="O140" s="371"/>
      <c r="P140" s="371"/>
      <c r="Q140" s="371"/>
      <c r="R140" s="371"/>
      <c r="S140" s="371"/>
      <c r="T140" s="371"/>
      <c r="U140" s="371"/>
    </row>
    <row r="141" spans="3:21">
      <c r="C141" s="371"/>
      <c r="D141" s="371"/>
      <c r="E141" s="371"/>
      <c r="F141" s="371"/>
      <c r="G141" s="371"/>
      <c r="H141" s="371"/>
      <c r="I141" s="371"/>
      <c r="J141" s="371"/>
      <c r="K141" s="371"/>
      <c r="L141" s="371"/>
      <c r="M141" s="371"/>
      <c r="N141" s="371"/>
      <c r="O141" s="371"/>
      <c r="P141" s="371"/>
      <c r="Q141" s="371"/>
      <c r="R141" s="371"/>
      <c r="S141" s="371"/>
      <c r="T141" s="371"/>
      <c r="U141" s="371"/>
    </row>
    <row r="142" spans="3:21">
      <c r="C142" s="371"/>
      <c r="D142" s="371"/>
      <c r="E142" s="371"/>
      <c r="F142" s="371"/>
      <c r="G142" s="371"/>
      <c r="H142" s="371"/>
      <c r="I142" s="371"/>
      <c r="J142" s="371"/>
      <c r="K142" s="371"/>
      <c r="L142" s="371"/>
      <c r="M142" s="371"/>
      <c r="N142" s="371"/>
      <c r="O142" s="371"/>
      <c r="P142" s="371"/>
      <c r="Q142" s="371"/>
      <c r="R142" s="371"/>
      <c r="S142" s="371"/>
      <c r="T142" s="371"/>
      <c r="U142" s="371"/>
    </row>
    <row r="143" spans="3:21">
      <c r="C143" s="371"/>
      <c r="D143" s="371"/>
      <c r="E143" s="371"/>
      <c r="F143" s="371"/>
      <c r="G143" s="371"/>
      <c r="H143" s="371"/>
      <c r="I143" s="371"/>
      <c r="J143" s="371"/>
      <c r="K143" s="371"/>
      <c r="L143" s="371"/>
      <c r="M143" s="371"/>
      <c r="N143" s="371"/>
      <c r="O143" s="371"/>
      <c r="P143" s="371"/>
      <c r="Q143" s="371"/>
      <c r="R143" s="371"/>
      <c r="S143" s="371"/>
      <c r="T143" s="371"/>
      <c r="U143" s="371"/>
    </row>
    <row r="144" spans="3:21">
      <c r="C144" s="371"/>
      <c r="D144" s="371"/>
      <c r="E144" s="371"/>
      <c r="F144" s="371"/>
      <c r="G144" s="371"/>
      <c r="H144" s="371"/>
      <c r="I144" s="371"/>
      <c r="J144" s="371"/>
      <c r="K144" s="371"/>
      <c r="L144" s="371"/>
      <c r="M144" s="371"/>
      <c r="N144" s="371"/>
      <c r="O144" s="371"/>
      <c r="P144" s="371"/>
      <c r="Q144" s="371"/>
      <c r="R144" s="371"/>
      <c r="S144" s="371"/>
      <c r="T144" s="371"/>
      <c r="U144" s="371"/>
    </row>
    <row r="145" spans="3:21">
      <c r="C145" s="371"/>
      <c r="D145" s="371"/>
      <c r="E145" s="371"/>
      <c r="F145" s="371"/>
      <c r="G145" s="371"/>
      <c r="H145" s="371"/>
      <c r="I145" s="371"/>
      <c r="J145" s="371"/>
      <c r="K145" s="371"/>
      <c r="L145" s="371"/>
      <c r="M145" s="371"/>
      <c r="N145" s="371"/>
      <c r="O145" s="371"/>
      <c r="P145" s="371"/>
      <c r="Q145" s="371"/>
      <c r="R145" s="371"/>
      <c r="S145" s="371"/>
      <c r="T145" s="371"/>
      <c r="U145" s="371"/>
    </row>
    <row r="146" spans="3:21">
      <c r="C146" s="371"/>
      <c r="D146" s="371"/>
      <c r="E146" s="371"/>
      <c r="F146" s="371"/>
      <c r="G146" s="371"/>
      <c r="H146" s="371"/>
      <c r="I146" s="371"/>
      <c r="J146" s="371"/>
      <c r="K146" s="371"/>
      <c r="L146" s="371"/>
      <c r="M146" s="371"/>
      <c r="N146" s="371"/>
      <c r="O146" s="371"/>
      <c r="P146" s="371"/>
      <c r="Q146" s="371"/>
      <c r="R146" s="371"/>
      <c r="S146" s="371"/>
      <c r="T146" s="371"/>
      <c r="U146" s="371"/>
    </row>
    <row r="147" spans="3:21">
      <c r="C147" s="371"/>
      <c r="D147" s="371"/>
      <c r="E147" s="371"/>
      <c r="F147" s="371"/>
      <c r="G147" s="371"/>
      <c r="H147" s="371"/>
      <c r="I147" s="371"/>
      <c r="J147" s="371"/>
      <c r="K147" s="371"/>
      <c r="L147" s="371"/>
      <c r="M147" s="371"/>
      <c r="N147" s="371"/>
      <c r="O147" s="371"/>
      <c r="P147" s="371"/>
      <c r="Q147" s="371"/>
      <c r="R147" s="371"/>
      <c r="S147" s="371"/>
      <c r="T147" s="371"/>
      <c r="U147" s="371"/>
    </row>
    <row r="148" spans="3:21">
      <c r="C148" s="371"/>
      <c r="D148" s="371"/>
      <c r="E148" s="371"/>
      <c r="F148" s="371"/>
      <c r="G148" s="371"/>
      <c r="H148" s="371"/>
      <c r="I148" s="371"/>
      <c r="J148" s="371"/>
      <c r="K148" s="371"/>
      <c r="L148" s="371"/>
      <c r="M148" s="371"/>
      <c r="N148" s="371"/>
      <c r="O148" s="371"/>
      <c r="P148" s="371"/>
      <c r="Q148" s="371"/>
      <c r="R148" s="371"/>
      <c r="S148" s="371"/>
      <c r="T148" s="371"/>
      <c r="U148" s="371"/>
    </row>
    <row r="149" spans="3:21">
      <c r="C149" s="371"/>
      <c r="D149" s="371"/>
      <c r="E149" s="371"/>
      <c r="F149" s="371"/>
      <c r="G149" s="371"/>
      <c r="H149" s="371"/>
      <c r="I149" s="371"/>
      <c r="J149" s="371"/>
      <c r="K149" s="371"/>
      <c r="L149" s="371"/>
      <c r="M149" s="371"/>
      <c r="N149" s="371"/>
      <c r="O149" s="371"/>
      <c r="P149" s="371"/>
      <c r="Q149" s="371"/>
      <c r="R149" s="371"/>
      <c r="S149" s="371"/>
      <c r="T149" s="371"/>
      <c r="U149" s="371"/>
    </row>
    <row r="150" spans="3:21">
      <c r="C150" s="371"/>
      <c r="D150" s="371"/>
      <c r="E150" s="371"/>
      <c r="F150" s="371"/>
      <c r="G150" s="371"/>
      <c r="H150" s="371"/>
      <c r="I150" s="371"/>
      <c r="J150" s="371"/>
      <c r="K150" s="371"/>
      <c r="L150" s="371"/>
      <c r="M150" s="371"/>
      <c r="N150" s="371"/>
      <c r="O150" s="371"/>
      <c r="P150" s="371"/>
      <c r="Q150" s="371"/>
      <c r="R150" s="371"/>
      <c r="S150" s="371"/>
      <c r="T150" s="371"/>
      <c r="U150" s="371"/>
    </row>
    <row r="151" spans="3:21">
      <c r="C151" s="371"/>
      <c r="D151" s="371"/>
      <c r="E151" s="371"/>
      <c r="F151" s="371"/>
      <c r="G151" s="371"/>
      <c r="H151" s="371"/>
      <c r="I151" s="371"/>
      <c r="J151" s="371"/>
      <c r="K151" s="371"/>
      <c r="L151" s="371"/>
      <c r="M151" s="371"/>
      <c r="N151" s="371"/>
      <c r="O151" s="371"/>
      <c r="P151" s="371"/>
      <c r="Q151" s="371"/>
      <c r="R151" s="371"/>
      <c r="S151" s="371"/>
      <c r="T151" s="371"/>
      <c r="U151" s="371"/>
    </row>
    <row r="152" spans="3:21">
      <c r="C152" s="371"/>
      <c r="D152" s="371"/>
      <c r="E152" s="371"/>
      <c r="F152" s="371"/>
      <c r="G152" s="371"/>
      <c r="H152" s="371"/>
      <c r="I152" s="371"/>
      <c r="J152" s="371"/>
      <c r="K152" s="371"/>
      <c r="L152" s="371"/>
      <c r="M152" s="371"/>
      <c r="N152" s="371"/>
      <c r="O152" s="371"/>
      <c r="P152" s="371"/>
      <c r="Q152" s="371"/>
      <c r="R152" s="371"/>
      <c r="S152" s="371"/>
      <c r="T152" s="371"/>
      <c r="U152" s="371"/>
    </row>
    <row r="153" spans="3:21">
      <c r="C153" s="371"/>
      <c r="D153" s="371"/>
      <c r="E153" s="371"/>
      <c r="F153" s="371"/>
      <c r="G153" s="371"/>
      <c r="H153" s="371"/>
      <c r="I153" s="371"/>
      <c r="J153" s="371"/>
      <c r="K153" s="371"/>
      <c r="L153" s="371"/>
      <c r="M153" s="371"/>
      <c r="N153" s="371"/>
      <c r="O153" s="371"/>
      <c r="P153" s="371"/>
      <c r="Q153" s="371"/>
      <c r="R153" s="371"/>
      <c r="S153" s="371"/>
      <c r="T153" s="371"/>
      <c r="U153" s="371"/>
    </row>
    <row r="154" spans="3:21">
      <c r="C154" s="371"/>
      <c r="D154" s="371"/>
      <c r="E154" s="371"/>
      <c r="F154" s="371"/>
      <c r="G154" s="371"/>
      <c r="H154" s="371"/>
      <c r="I154" s="371"/>
      <c r="J154" s="371"/>
      <c r="K154" s="371"/>
      <c r="L154" s="371"/>
      <c r="M154" s="371"/>
      <c r="N154" s="371"/>
      <c r="O154" s="371"/>
      <c r="P154" s="371"/>
      <c r="Q154" s="371"/>
      <c r="R154" s="371"/>
      <c r="S154" s="371"/>
      <c r="T154" s="371"/>
      <c r="U154" s="371"/>
    </row>
    <row r="155" spans="3:21">
      <c r="C155" s="371"/>
      <c r="D155" s="371"/>
      <c r="E155" s="371"/>
      <c r="F155" s="371"/>
      <c r="G155" s="371"/>
      <c r="H155" s="371"/>
      <c r="I155" s="371"/>
      <c r="J155" s="371"/>
      <c r="K155" s="371"/>
      <c r="L155" s="371"/>
      <c r="M155" s="371"/>
      <c r="N155" s="371"/>
      <c r="O155" s="371"/>
      <c r="P155" s="371"/>
      <c r="Q155" s="371"/>
      <c r="R155" s="371"/>
      <c r="S155" s="371"/>
      <c r="T155" s="371"/>
      <c r="U155" s="371"/>
    </row>
    <row r="156" spans="3:21">
      <c r="C156" s="371"/>
      <c r="D156" s="371"/>
      <c r="E156" s="371"/>
      <c r="F156" s="371"/>
      <c r="G156" s="371"/>
      <c r="H156" s="371"/>
      <c r="I156" s="371"/>
      <c r="J156" s="371"/>
      <c r="K156" s="371"/>
      <c r="L156" s="371"/>
      <c r="M156" s="371"/>
      <c r="N156" s="371"/>
      <c r="O156" s="371"/>
      <c r="P156" s="371"/>
      <c r="Q156" s="371"/>
      <c r="R156" s="371"/>
      <c r="S156" s="371"/>
      <c r="T156" s="371"/>
      <c r="U156" s="371"/>
    </row>
    <row r="157" spans="3:21">
      <c r="C157" s="371"/>
      <c r="D157" s="371"/>
      <c r="E157" s="371"/>
      <c r="F157" s="371"/>
      <c r="G157" s="371"/>
      <c r="H157" s="371"/>
      <c r="I157" s="371"/>
      <c r="J157" s="371"/>
      <c r="K157" s="371"/>
      <c r="L157" s="371"/>
      <c r="M157" s="371"/>
      <c r="N157" s="371"/>
      <c r="O157" s="371"/>
      <c r="P157" s="371"/>
      <c r="Q157" s="371"/>
      <c r="R157" s="371"/>
      <c r="S157" s="371"/>
      <c r="T157" s="371"/>
      <c r="U157" s="371"/>
    </row>
    <row r="158" spans="3:21">
      <c r="C158" s="371"/>
      <c r="D158" s="371"/>
      <c r="E158" s="371"/>
      <c r="F158" s="371"/>
      <c r="G158" s="371"/>
      <c r="H158" s="371"/>
      <c r="I158" s="371"/>
      <c r="J158" s="371"/>
      <c r="K158" s="371"/>
      <c r="L158" s="371"/>
      <c r="M158" s="371"/>
      <c r="N158" s="371"/>
      <c r="O158" s="371"/>
      <c r="P158" s="371"/>
      <c r="Q158" s="371"/>
      <c r="R158" s="371"/>
      <c r="S158" s="371"/>
      <c r="T158" s="371"/>
      <c r="U158" s="371"/>
    </row>
    <row r="159" spans="3:21">
      <c r="C159" s="371"/>
      <c r="D159" s="371"/>
      <c r="E159" s="371"/>
      <c r="F159" s="371"/>
      <c r="G159" s="371"/>
      <c r="H159" s="371"/>
      <c r="I159" s="371"/>
      <c r="J159" s="371"/>
      <c r="K159" s="371"/>
      <c r="L159" s="371"/>
      <c r="M159" s="371"/>
      <c r="N159" s="371"/>
      <c r="O159" s="371"/>
      <c r="P159" s="371"/>
      <c r="Q159" s="371"/>
      <c r="R159" s="371"/>
      <c r="S159" s="371"/>
      <c r="T159" s="371"/>
      <c r="U159" s="371"/>
    </row>
    <row r="160" spans="3:21">
      <c r="C160" s="371"/>
      <c r="D160" s="371"/>
      <c r="E160" s="371"/>
      <c r="F160" s="371"/>
      <c r="G160" s="371"/>
      <c r="H160" s="371"/>
      <c r="I160" s="371"/>
      <c r="J160" s="371"/>
      <c r="K160" s="371"/>
      <c r="L160" s="371"/>
      <c r="M160" s="371"/>
      <c r="N160" s="371"/>
      <c r="O160" s="371"/>
      <c r="P160" s="371"/>
      <c r="Q160" s="371"/>
      <c r="R160" s="371"/>
      <c r="S160" s="371"/>
      <c r="T160" s="371"/>
      <c r="U160" s="371"/>
    </row>
    <row r="161" spans="3:21">
      <c r="C161" s="371"/>
      <c r="D161" s="371"/>
      <c r="E161" s="371"/>
      <c r="F161" s="371"/>
      <c r="G161" s="371"/>
      <c r="H161" s="371"/>
      <c r="I161" s="371"/>
      <c r="J161" s="371"/>
      <c r="K161" s="371"/>
      <c r="L161" s="371"/>
      <c r="M161" s="371"/>
      <c r="N161" s="371"/>
      <c r="O161" s="371"/>
      <c r="P161" s="371"/>
      <c r="Q161" s="371"/>
      <c r="R161" s="371"/>
      <c r="S161" s="371"/>
      <c r="T161" s="371"/>
      <c r="U161" s="371"/>
    </row>
    <row r="162" spans="3:21">
      <c r="C162" s="371"/>
      <c r="D162" s="371"/>
      <c r="E162" s="371"/>
      <c r="F162" s="371"/>
      <c r="G162" s="371"/>
      <c r="H162" s="371"/>
      <c r="I162" s="371"/>
      <c r="J162" s="371"/>
      <c r="K162" s="371"/>
      <c r="L162" s="371"/>
      <c r="M162" s="371"/>
      <c r="N162" s="371"/>
      <c r="O162" s="371"/>
      <c r="P162" s="371"/>
      <c r="Q162" s="371"/>
      <c r="R162" s="371"/>
      <c r="S162" s="371"/>
      <c r="T162" s="371"/>
      <c r="U162" s="371"/>
    </row>
    <row r="163" spans="3:21">
      <c r="C163" s="371"/>
      <c r="D163" s="371"/>
      <c r="E163" s="371"/>
      <c r="F163" s="371"/>
      <c r="G163" s="371"/>
      <c r="H163" s="371"/>
      <c r="I163" s="371"/>
      <c r="J163" s="371"/>
      <c r="K163" s="371"/>
      <c r="L163" s="371"/>
      <c r="M163" s="371"/>
      <c r="N163" s="371"/>
      <c r="O163" s="371"/>
      <c r="P163" s="371"/>
      <c r="Q163" s="371"/>
      <c r="R163" s="371"/>
      <c r="S163" s="371"/>
      <c r="T163" s="371"/>
      <c r="U163" s="371"/>
    </row>
    <row r="164" spans="3:21">
      <c r="C164" s="371"/>
      <c r="D164" s="371"/>
      <c r="E164" s="371"/>
      <c r="F164" s="371"/>
      <c r="G164" s="371"/>
      <c r="H164" s="371"/>
      <c r="I164" s="371"/>
      <c r="J164" s="371"/>
      <c r="K164" s="371"/>
      <c r="L164" s="371"/>
      <c r="M164" s="371"/>
      <c r="N164" s="371"/>
      <c r="O164" s="371"/>
      <c r="P164" s="371"/>
      <c r="Q164" s="371"/>
      <c r="R164" s="371"/>
      <c r="S164" s="371"/>
      <c r="T164" s="371"/>
      <c r="U164" s="371"/>
    </row>
    <row r="165" spans="3:21">
      <c r="C165" s="371"/>
      <c r="D165" s="371"/>
      <c r="E165" s="371"/>
      <c r="F165" s="371"/>
      <c r="G165" s="371"/>
      <c r="H165" s="371"/>
      <c r="I165" s="371"/>
      <c r="J165" s="371"/>
      <c r="K165" s="371"/>
      <c r="L165" s="371"/>
      <c r="M165" s="371"/>
      <c r="N165" s="371"/>
      <c r="O165" s="371"/>
      <c r="P165" s="371"/>
      <c r="Q165" s="371"/>
      <c r="R165" s="371"/>
      <c r="S165" s="371"/>
      <c r="T165" s="371"/>
      <c r="U165" s="371"/>
    </row>
    <row r="166" spans="3:21">
      <c r="C166" s="371"/>
      <c r="D166" s="371"/>
      <c r="E166" s="371"/>
      <c r="F166" s="371"/>
      <c r="G166" s="371"/>
      <c r="H166" s="371"/>
      <c r="I166" s="371"/>
      <c r="J166" s="371"/>
      <c r="K166" s="371"/>
      <c r="L166" s="371"/>
      <c r="M166" s="371"/>
      <c r="N166" s="371"/>
      <c r="O166" s="371"/>
      <c r="P166" s="371"/>
      <c r="Q166" s="371"/>
      <c r="R166" s="371"/>
      <c r="S166" s="371"/>
      <c r="T166" s="371"/>
      <c r="U166" s="371"/>
    </row>
    <row r="167" spans="3:21">
      <c r="C167" s="371"/>
      <c r="D167" s="371"/>
      <c r="E167" s="371"/>
      <c r="F167" s="371"/>
      <c r="G167" s="371"/>
      <c r="H167" s="371"/>
      <c r="I167" s="371"/>
      <c r="J167" s="371"/>
      <c r="K167" s="371"/>
      <c r="L167" s="371"/>
      <c r="M167" s="371"/>
      <c r="N167" s="371"/>
      <c r="O167" s="371"/>
      <c r="P167" s="371"/>
      <c r="Q167" s="371"/>
      <c r="R167" s="371"/>
      <c r="S167" s="371"/>
      <c r="T167" s="371"/>
      <c r="U167" s="371"/>
    </row>
    <row r="168" spans="3:21">
      <c r="C168" s="371"/>
      <c r="D168" s="371"/>
      <c r="E168" s="371"/>
      <c r="F168" s="371"/>
      <c r="G168" s="371"/>
      <c r="H168" s="371"/>
      <c r="I168" s="371"/>
      <c r="J168" s="371"/>
      <c r="K168" s="371"/>
      <c r="L168" s="371"/>
      <c r="M168" s="371"/>
      <c r="N168" s="371"/>
      <c r="O168" s="371"/>
      <c r="P168" s="371"/>
      <c r="Q168" s="371"/>
      <c r="R168" s="371"/>
      <c r="S168" s="371"/>
      <c r="T168" s="371"/>
      <c r="U168" s="371"/>
    </row>
    <row r="169" spans="3:21">
      <c r="C169" s="371"/>
      <c r="D169" s="371"/>
      <c r="E169" s="371"/>
      <c r="F169" s="371"/>
      <c r="G169" s="371"/>
      <c r="H169" s="371"/>
      <c r="I169" s="371"/>
      <c r="J169" s="371"/>
      <c r="K169" s="371"/>
      <c r="L169" s="371"/>
      <c r="M169" s="371"/>
      <c r="N169" s="371"/>
      <c r="O169" s="371"/>
      <c r="P169" s="371"/>
      <c r="Q169" s="371"/>
      <c r="R169" s="371"/>
      <c r="S169" s="371"/>
      <c r="T169" s="371"/>
      <c r="U169" s="371"/>
    </row>
    <row r="170" spans="3:21">
      <c r="C170" s="371"/>
      <c r="D170" s="371"/>
      <c r="E170" s="371"/>
      <c r="F170" s="371"/>
      <c r="G170" s="371"/>
      <c r="H170" s="371"/>
      <c r="I170" s="371"/>
      <c r="J170" s="371"/>
      <c r="K170" s="371"/>
      <c r="L170" s="371"/>
      <c r="M170" s="371"/>
      <c r="N170" s="371"/>
      <c r="O170" s="371"/>
      <c r="P170" s="371"/>
      <c r="Q170" s="371"/>
      <c r="R170" s="371"/>
      <c r="S170" s="371"/>
      <c r="T170" s="371"/>
      <c r="U170" s="371"/>
    </row>
    <row r="171" spans="3:21">
      <c r="C171" s="371"/>
      <c r="D171" s="371"/>
      <c r="E171" s="371"/>
      <c r="F171" s="371"/>
      <c r="G171" s="371"/>
      <c r="H171" s="371"/>
      <c r="I171" s="371"/>
      <c r="J171" s="371"/>
      <c r="K171" s="371"/>
      <c r="L171" s="371"/>
      <c r="M171" s="371"/>
      <c r="N171" s="371"/>
      <c r="O171" s="371"/>
      <c r="P171" s="371"/>
      <c r="Q171" s="371"/>
      <c r="R171" s="371"/>
      <c r="S171" s="371"/>
      <c r="T171" s="371"/>
      <c r="U171" s="371"/>
    </row>
    <row r="172" spans="3:21">
      <c r="C172" s="371"/>
      <c r="D172" s="371"/>
      <c r="E172" s="371"/>
      <c r="F172" s="371"/>
      <c r="G172" s="371"/>
      <c r="H172" s="371"/>
      <c r="I172" s="371"/>
      <c r="J172" s="371"/>
      <c r="K172" s="371"/>
      <c r="L172" s="371"/>
      <c r="M172" s="371"/>
      <c r="N172" s="371"/>
      <c r="O172" s="371"/>
      <c r="P172" s="371"/>
      <c r="Q172" s="371"/>
      <c r="R172" s="371"/>
      <c r="S172" s="371"/>
      <c r="T172" s="371"/>
      <c r="U172" s="371"/>
    </row>
    <row r="173" spans="3:21">
      <c r="C173" s="371"/>
      <c r="D173" s="371"/>
      <c r="E173" s="371"/>
      <c r="F173" s="371"/>
      <c r="G173" s="371"/>
      <c r="H173" s="371"/>
      <c r="I173" s="371"/>
      <c r="J173" s="371"/>
      <c r="K173" s="371"/>
      <c r="L173" s="371"/>
      <c r="M173" s="371"/>
      <c r="N173" s="371"/>
      <c r="O173" s="371"/>
      <c r="P173" s="371"/>
      <c r="Q173" s="371"/>
      <c r="R173" s="371"/>
      <c r="S173" s="371"/>
      <c r="T173" s="371"/>
      <c r="U173" s="371"/>
    </row>
    <row r="174" spans="3:21">
      <c r="C174" s="371"/>
      <c r="D174" s="371"/>
      <c r="E174" s="371"/>
      <c r="F174" s="371"/>
      <c r="G174" s="371"/>
      <c r="H174" s="371"/>
      <c r="I174" s="371"/>
      <c r="J174" s="371"/>
      <c r="K174" s="371"/>
      <c r="L174" s="371"/>
      <c r="M174" s="371"/>
      <c r="N174" s="371"/>
      <c r="O174" s="371"/>
      <c r="P174" s="371"/>
      <c r="Q174" s="371"/>
      <c r="R174" s="371"/>
      <c r="S174" s="371"/>
      <c r="T174" s="371"/>
      <c r="U174" s="371"/>
    </row>
    <row r="175" spans="3:21">
      <c r="C175" s="371"/>
      <c r="D175" s="371"/>
      <c r="E175" s="371"/>
      <c r="F175" s="371"/>
      <c r="G175" s="371"/>
      <c r="H175" s="371"/>
      <c r="I175" s="371"/>
      <c r="J175" s="371"/>
      <c r="K175" s="371"/>
      <c r="L175" s="371"/>
      <c r="M175" s="371"/>
      <c r="N175" s="371"/>
      <c r="O175" s="371"/>
      <c r="P175" s="371"/>
      <c r="Q175" s="371"/>
      <c r="R175" s="371"/>
      <c r="S175" s="371"/>
      <c r="T175" s="371"/>
      <c r="U175" s="371"/>
    </row>
    <row r="176" spans="3:21">
      <c r="C176" s="371"/>
      <c r="D176" s="371"/>
      <c r="E176" s="371"/>
      <c r="F176" s="371"/>
      <c r="G176" s="371"/>
      <c r="H176" s="371"/>
      <c r="I176" s="371"/>
      <c r="J176" s="371"/>
      <c r="K176" s="371"/>
      <c r="L176" s="371"/>
      <c r="M176" s="371"/>
      <c r="N176" s="371"/>
      <c r="O176" s="371"/>
      <c r="P176" s="371"/>
      <c r="Q176" s="371"/>
      <c r="R176" s="371"/>
      <c r="S176" s="371"/>
      <c r="T176" s="371"/>
      <c r="U176" s="371"/>
    </row>
    <row r="177" spans="3:21">
      <c r="C177" s="371"/>
      <c r="D177" s="371"/>
      <c r="E177" s="371"/>
      <c r="F177" s="371"/>
      <c r="G177" s="371"/>
      <c r="H177" s="371"/>
      <c r="I177" s="371"/>
      <c r="J177" s="371"/>
      <c r="K177" s="371"/>
      <c r="L177" s="371"/>
      <c r="M177" s="371"/>
      <c r="N177" s="371"/>
      <c r="O177" s="371"/>
      <c r="P177" s="371"/>
      <c r="Q177" s="371"/>
      <c r="R177" s="371"/>
      <c r="S177" s="371"/>
      <c r="T177" s="371"/>
      <c r="U177" s="371"/>
    </row>
    <row r="178" spans="3:21">
      <c r="C178" s="371"/>
      <c r="D178" s="371"/>
      <c r="E178" s="371"/>
      <c r="F178" s="371"/>
      <c r="G178" s="371"/>
      <c r="H178" s="371"/>
      <c r="I178" s="371"/>
      <c r="J178" s="371"/>
      <c r="K178" s="371"/>
      <c r="L178" s="371"/>
      <c r="M178" s="371"/>
      <c r="N178" s="371"/>
      <c r="O178" s="371"/>
      <c r="P178" s="371"/>
      <c r="Q178" s="371"/>
      <c r="R178" s="371"/>
      <c r="S178" s="371"/>
      <c r="T178" s="371"/>
      <c r="U178" s="371"/>
    </row>
    <row r="179" spans="3:21">
      <c r="C179" s="371"/>
      <c r="D179" s="371"/>
      <c r="E179" s="371"/>
      <c r="F179" s="371"/>
      <c r="G179" s="371"/>
      <c r="H179" s="371"/>
      <c r="I179" s="371"/>
      <c r="J179" s="371"/>
      <c r="K179" s="371"/>
      <c r="L179" s="371"/>
      <c r="M179" s="371"/>
      <c r="N179" s="371"/>
      <c r="O179" s="371"/>
      <c r="P179" s="371"/>
      <c r="Q179" s="371"/>
      <c r="R179" s="371"/>
      <c r="S179" s="371"/>
      <c r="T179" s="371"/>
      <c r="U179" s="371"/>
    </row>
    <row r="180" spans="3:21">
      <c r="C180" s="371"/>
      <c r="D180" s="371"/>
      <c r="E180" s="371"/>
      <c r="F180" s="371"/>
      <c r="G180" s="371"/>
      <c r="H180" s="371"/>
      <c r="I180" s="371"/>
      <c r="J180" s="371"/>
      <c r="K180" s="371"/>
      <c r="L180" s="371"/>
      <c r="M180" s="371"/>
      <c r="N180" s="371"/>
      <c r="O180" s="371"/>
      <c r="P180" s="371"/>
      <c r="Q180" s="371"/>
      <c r="R180" s="371"/>
      <c r="S180" s="371"/>
      <c r="T180" s="371"/>
      <c r="U180" s="371"/>
    </row>
    <row r="181" spans="3:21">
      <c r="C181" s="371"/>
      <c r="D181" s="371"/>
      <c r="E181" s="371"/>
      <c r="F181" s="371"/>
      <c r="G181" s="371"/>
      <c r="H181" s="371"/>
      <c r="I181" s="371"/>
      <c r="J181" s="371"/>
      <c r="K181" s="371"/>
      <c r="L181" s="371"/>
      <c r="M181" s="371"/>
      <c r="N181" s="371"/>
      <c r="O181" s="371"/>
      <c r="P181" s="371"/>
      <c r="Q181" s="371"/>
      <c r="R181" s="371"/>
      <c r="S181" s="371"/>
      <c r="T181" s="371"/>
      <c r="U181" s="371"/>
    </row>
    <row r="182" spans="3:21">
      <c r="C182" s="371"/>
      <c r="D182" s="371"/>
      <c r="E182" s="371"/>
      <c r="F182" s="371"/>
      <c r="G182" s="371"/>
      <c r="H182" s="371"/>
      <c r="I182" s="371"/>
      <c r="J182" s="371"/>
      <c r="K182" s="371"/>
      <c r="L182" s="371"/>
      <c r="M182" s="371"/>
      <c r="N182" s="371"/>
      <c r="O182" s="371"/>
      <c r="P182" s="371"/>
      <c r="Q182" s="371"/>
      <c r="R182" s="371"/>
      <c r="S182" s="371"/>
      <c r="T182" s="371"/>
      <c r="U182" s="371"/>
    </row>
    <row r="183" spans="3:21">
      <c r="C183" s="371"/>
      <c r="D183" s="371"/>
      <c r="E183" s="371"/>
      <c r="F183" s="371"/>
      <c r="G183" s="371"/>
      <c r="H183" s="371"/>
      <c r="I183" s="371"/>
      <c r="J183" s="371"/>
      <c r="K183" s="371"/>
      <c r="L183" s="371"/>
      <c r="M183" s="371"/>
      <c r="N183" s="371"/>
      <c r="O183" s="371"/>
      <c r="P183" s="371"/>
      <c r="Q183" s="371"/>
      <c r="R183" s="371"/>
      <c r="S183" s="371"/>
      <c r="T183" s="371"/>
      <c r="U183" s="371"/>
    </row>
    <row r="184" spans="3:21">
      <c r="C184" s="371"/>
      <c r="D184" s="371"/>
      <c r="E184" s="371"/>
      <c r="F184" s="371"/>
      <c r="G184" s="371"/>
      <c r="H184" s="371"/>
      <c r="I184" s="371"/>
      <c r="J184" s="371"/>
      <c r="K184" s="371"/>
      <c r="L184" s="371"/>
      <c r="M184" s="371"/>
      <c r="N184" s="371"/>
      <c r="O184" s="371"/>
      <c r="P184" s="371"/>
      <c r="Q184" s="371"/>
      <c r="R184" s="371"/>
      <c r="S184" s="371"/>
      <c r="T184" s="371"/>
      <c r="U184" s="371"/>
    </row>
    <row r="185" spans="3:21">
      <c r="C185" s="371"/>
      <c r="D185" s="371"/>
      <c r="E185" s="371"/>
      <c r="F185" s="371"/>
      <c r="G185" s="371"/>
      <c r="H185" s="371"/>
      <c r="I185" s="371"/>
      <c r="J185" s="371"/>
      <c r="K185" s="371"/>
      <c r="L185" s="371"/>
      <c r="M185" s="371"/>
      <c r="N185" s="371"/>
      <c r="O185" s="371"/>
      <c r="P185" s="371"/>
      <c r="Q185" s="371"/>
      <c r="R185" s="371"/>
      <c r="S185" s="371"/>
      <c r="T185" s="371"/>
      <c r="U185" s="371"/>
    </row>
    <row r="186" spans="3:21">
      <c r="C186" s="371"/>
      <c r="D186" s="371"/>
      <c r="E186" s="371"/>
      <c r="F186" s="371"/>
      <c r="G186" s="371"/>
      <c r="H186" s="371"/>
      <c r="I186" s="371"/>
      <c r="J186" s="371"/>
      <c r="K186" s="371"/>
      <c r="L186" s="371"/>
      <c r="M186" s="371"/>
      <c r="N186" s="371"/>
      <c r="O186" s="371"/>
      <c r="P186" s="371"/>
      <c r="Q186" s="371"/>
      <c r="R186" s="371"/>
      <c r="S186" s="371"/>
      <c r="T186" s="371"/>
      <c r="U186" s="371"/>
    </row>
    <row r="187" spans="3:21">
      <c r="C187" s="371"/>
      <c r="D187" s="371"/>
      <c r="E187" s="371"/>
      <c r="F187" s="371"/>
      <c r="G187" s="371"/>
      <c r="H187" s="371"/>
      <c r="I187" s="371"/>
      <c r="J187" s="371"/>
      <c r="K187" s="371"/>
      <c r="L187" s="371"/>
      <c r="M187" s="371"/>
      <c r="N187" s="371"/>
      <c r="O187" s="371"/>
      <c r="P187" s="371"/>
      <c r="Q187" s="371"/>
      <c r="R187" s="371"/>
      <c r="S187" s="371"/>
      <c r="T187" s="371"/>
      <c r="U187" s="371"/>
    </row>
    <row r="188" spans="3:21">
      <c r="C188" s="371"/>
      <c r="D188" s="371"/>
      <c r="E188" s="371"/>
      <c r="F188" s="371"/>
      <c r="G188" s="371"/>
      <c r="H188" s="371"/>
      <c r="I188" s="371"/>
      <c r="J188" s="371"/>
      <c r="K188" s="371"/>
      <c r="L188" s="371"/>
      <c r="M188" s="371"/>
      <c r="N188" s="371"/>
      <c r="O188" s="371"/>
      <c r="P188" s="371"/>
      <c r="Q188" s="371"/>
      <c r="R188" s="371"/>
      <c r="S188" s="371"/>
      <c r="T188" s="371"/>
      <c r="U188" s="371"/>
    </row>
    <row r="189" spans="3:21">
      <c r="C189" s="371"/>
      <c r="D189" s="371"/>
      <c r="E189" s="371"/>
      <c r="F189" s="371"/>
      <c r="G189" s="371"/>
      <c r="H189" s="371"/>
      <c r="I189" s="371"/>
      <c r="J189" s="371"/>
      <c r="K189" s="371"/>
      <c r="L189" s="371"/>
      <c r="M189" s="371"/>
      <c r="N189" s="371"/>
      <c r="O189" s="371"/>
      <c r="P189" s="371"/>
      <c r="Q189" s="371"/>
      <c r="R189" s="371"/>
      <c r="S189" s="371"/>
      <c r="T189" s="371"/>
      <c r="U189" s="371"/>
    </row>
    <row r="190" spans="3:21">
      <c r="C190" s="371"/>
      <c r="D190" s="371"/>
      <c r="E190" s="371"/>
      <c r="F190" s="371"/>
      <c r="G190" s="371"/>
      <c r="H190" s="371"/>
      <c r="I190" s="371"/>
      <c r="J190" s="371"/>
      <c r="K190" s="371"/>
      <c r="L190" s="371"/>
      <c r="M190" s="371"/>
      <c r="N190" s="371"/>
      <c r="O190" s="371"/>
      <c r="P190" s="371"/>
      <c r="Q190" s="371"/>
      <c r="R190" s="371"/>
      <c r="S190" s="371"/>
      <c r="T190" s="371"/>
      <c r="U190" s="371"/>
    </row>
    <row r="191" spans="3:21">
      <c r="C191" s="371"/>
      <c r="D191" s="371"/>
      <c r="E191" s="371"/>
      <c r="F191" s="371"/>
      <c r="G191" s="371"/>
      <c r="H191" s="371"/>
      <c r="I191" s="371"/>
      <c r="J191" s="371"/>
      <c r="K191" s="371"/>
      <c r="L191" s="371"/>
      <c r="M191" s="371"/>
      <c r="N191" s="371"/>
      <c r="O191" s="371"/>
      <c r="P191" s="371"/>
      <c r="Q191" s="371"/>
      <c r="R191" s="371"/>
      <c r="S191" s="371"/>
      <c r="T191" s="371"/>
      <c r="U191" s="371"/>
    </row>
    <row r="192" spans="3:21">
      <c r="C192" s="371"/>
      <c r="D192" s="371"/>
      <c r="E192" s="371"/>
      <c r="F192" s="371"/>
      <c r="G192" s="371"/>
      <c r="H192" s="371"/>
      <c r="I192" s="371"/>
      <c r="J192" s="371"/>
      <c r="K192" s="371"/>
      <c r="L192" s="371"/>
      <c r="M192" s="371"/>
      <c r="N192" s="371"/>
      <c r="O192" s="371"/>
      <c r="P192" s="371"/>
      <c r="Q192" s="371"/>
      <c r="R192" s="371"/>
      <c r="S192" s="371"/>
      <c r="T192" s="371"/>
      <c r="U192" s="371"/>
    </row>
    <row r="193" spans="3:21">
      <c r="C193" s="371"/>
      <c r="D193" s="371"/>
      <c r="E193" s="371"/>
      <c r="F193" s="371"/>
      <c r="G193" s="371"/>
      <c r="H193" s="371"/>
      <c r="I193" s="371"/>
      <c r="J193" s="371"/>
      <c r="K193" s="371"/>
      <c r="L193" s="371"/>
      <c r="M193" s="371"/>
      <c r="N193" s="371"/>
      <c r="O193" s="371"/>
      <c r="P193" s="371"/>
      <c r="Q193" s="371"/>
      <c r="R193" s="371"/>
      <c r="S193" s="371"/>
      <c r="T193" s="371"/>
      <c r="U193" s="371"/>
    </row>
    <row r="194" spans="3:21">
      <c r="C194" s="371"/>
      <c r="D194" s="371"/>
      <c r="E194" s="371"/>
      <c r="F194" s="371"/>
      <c r="G194" s="371"/>
      <c r="H194" s="371"/>
      <c r="I194" s="371"/>
      <c r="J194" s="371"/>
      <c r="K194" s="371"/>
      <c r="L194" s="371"/>
      <c r="M194" s="371"/>
      <c r="N194" s="371"/>
      <c r="O194" s="371"/>
      <c r="P194" s="371"/>
      <c r="Q194" s="371"/>
      <c r="R194" s="371"/>
      <c r="S194" s="371"/>
      <c r="T194" s="371"/>
      <c r="U194" s="371"/>
    </row>
    <row r="195" spans="3:21">
      <c r="C195" s="371"/>
      <c r="D195" s="371"/>
      <c r="E195" s="371"/>
      <c r="F195" s="371"/>
      <c r="G195" s="371"/>
      <c r="H195" s="371"/>
      <c r="I195" s="371"/>
      <c r="J195" s="371"/>
      <c r="K195" s="371"/>
      <c r="L195" s="371"/>
      <c r="M195" s="371"/>
      <c r="N195" s="371"/>
      <c r="O195" s="371"/>
      <c r="P195" s="371"/>
      <c r="Q195" s="371"/>
      <c r="R195" s="371"/>
      <c r="S195" s="371"/>
      <c r="T195" s="371"/>
      <c r="U195" s="371"/>
    </row>
    <row r="196" spans="3:21">
      <c r="C196" s="371"/>
      <c r="D196" s="371"/>
      <c r="E196" s="371"/>
      <c r="F196" s="371"/>
      <c r="G196" s="371"/>
      <c r="H196" s="371"/>
      <c r="I196" s="371"/>
      <c r="J196" s="371"/>
      <c r="K196" s="371"/>
      <c r="L196" s="371"/>
      <c r="M196" s="371"/>
      <c r="N196" s="371"/>
      <c r="O196" s="371"/>
      <c r="P196" s="371"/>
      <c r="Q196" s="371"/>
      <c r="R196" s="371"/>
      <c r="S196" s="371"/>
      <c r="T196" s="371"/>
      <c r="U196" s="371"/>
    </row>
    <row r="197" spans="3:21">
      <c r="C197" s="371"/>
      <c r="D197" s="371"/>
      <c r="E197" s="371"/>
      <c r="F197" s="371"/>
      <c r="G197" s="371"/>
      <c r="H197" s="371"/>
      <c r="I197" s="371"/>
      <c r="J197" s="371"/>
      <c r="K197" s="371"/>
      <c r="L197" s="371"/>
      <c r="M197" s="371"/>
      <c r="N197" s="371"/>
      <c r="O197" s="371"/>
      <c r="P197" s="371"/>
      <c r="Q197" s="371"/>
      <c r="R197" s="371"/>
      <c r="S197" s="371"/>
      <c r="T197" s="371"/>
      <c r="U197" s="371"/>
    </row>
    <row r="198" spans="3:21">
      <c r="C198" s="371"/>
      <c r="D198" s="371"/>
      <c r="E198" s="371"/>
      <c r="F198" s="371"/>
      <c r="G198" s="371"/>
      <c r="H198" s="371"/>
      <c r="I198" s="371"/>
      <c r="J198" s="371"/>
      <c r="K198" s="371"/>
      <c r="L198" s="371"/>
      <c r="M198" s="371"/>
      <c r="N198" s="371"/>
      <c r="O198" s="371"/>
      <c r="P198" s="371"/>
      <c r="Q198" s="371"/>
      <c r="R198" s="371"/>
      <c r="S198" s="371"/>
      <c r="T198" s="371"/>
      <c r="U198" s="371"/>
    </row>
    <row r="199" spans="3:21">
      <c r="C199" s="371"/>
      <c r="D199" s="371"/>
      <c r="E199" s="371"/>
      <c r="F199" s="371"/>
      <c r="G199" s="371"/>
      <c r="H199" s="371"/>
      <c r="I199" s="371"/>
      <c r="J199" s="371"/>
      <c r="K199" s="371"/>
      <c r="L199" s="371"/>
      <c r="M199" s="371"/>
      <c r="N199" s="371"/>
      <c r="O199" s="371"/>
      <c r="P199" s="371"/>
      <c r="Q199" s="371"/>
      <c r="R199" s="371"/>
      <c r="S199" s="371"/>
      <c r="T199" s="371"/>
      <c r="U199" s="371"/>
    </row>
    <row r="200" spans="3:21">
      <c r="C200" s="371"/>
      <c r="D200" s="371"/>
      <c r="E200" s="371"/>
      <c r="F200" s="371"/>
      <c r="G200" s="371"/>
      <c r="H200" s="371"/>
      <c r="I200" s="371"/>
      <c r="J200" s="371"/>
      <c r="K200" s="371"/>
      <c r="L200" s="371"/>
      <c r="M200" s="371"/>
      <c r="N200" s="371"/>
      <c r="O200" s="371"/>
      <c r="P200" s="371"/>
      <c r="Q200" s="371"/>
      <c r="R200" s="371"/>
      <c r="S200" s="371"/>
      <c r="T200" s="371"/>
      <c r="U200" s="371"/>
    </row>
    <row r="201" spans="3:21">
      <c r="C201" s="371"/>
      <c r="D201" s="371"/>
      <c r="E201" s="371"/>
      <c r="F201" s="371"/>
      <c r="G201" s="371"/>
      <c r="H201" s="371"/>
      <c r="I201" s="371"/>
      <c r="J201" s="371"/>
      <c r="K201" s="371"/>
      <c r="L201" s="371"/>
      <c r="M201" s="371"/>
      <c r="N201" s="371"/>
      <c r="O201" s="371"/>
      <c r="P201" s="371"/>
      <c r="Q201" s="371"/>
      <c r="R201" s="371"/>
      <c r="S201" s="371"/>
      <c r="T201" s="371"/>
      <c r="U201" s="371"/>
    </row>
    <row r="202" spans="3:21">
      <c r="C202" s="371"/>
      <c r="D202" s="371"/>
      <c r="E202" s="371"/>
      <c r="F202" s="371"/>
      <c r="G202" s="371"/>
      <c r="H202" s="371"/>
      <c r="I202" s="371"/>
      <c r="J202" s="371"/>
      <c r="K202" s="371"/>
      <c r="L202" s="371"/>
      <c r="M202" s="371"/>
      <c r="N202" s="371"/>
      <c r="O202" s="371"/>
      <c r="P202" s="371"/>
      <c r="Q202" s="371"/>
      <c r="R202" s="371"/>
      <c r="S202" s="371"/>
      <c r="T202" s="371"/>
      <c r="U202" s="371"/>
    </row>
    <row r="203" spans="3:21">
      <c r="C203" s="371"/>
      <c r="D203" s="371"/>
      <c r="E203" s="371"/>
      <c r="F203" s="371"/>
      <c r="G203" s="371"/>
      <c r="H203" s="371"/>
      <c r="I203" s="371"/>
      <c r="J203" s="371"/>
      <c r="K203" s="371"/>
      <c r="L203" s="371"/>
      <c r="M203" s="371"/>
      <c r="N203" s="371"/>
      <c r="O203" s="371"/>
      <c r="P203" s="371"/>
      <c r="Q203" s="371"/>
      <c r="R203" s="371"/>
      <c r="S203" s="371"/>
      <c r="T203" s="371"/>
      <c r="U203" s="371"/>
    </row>
    <row r="204" spans="3:21">
      <c r="C204" s="371"/>
      <c r="D204" s="371"/>
      <c r="E204" s="371"/>
      <c r="F204" s="371"/>
      <c r="G204" s="371"/>
      <c r="H204" s="371"/>
      <c r="I204" s="371"/>
      <c r="J204" s="371"/>
      <c r="K204" s="371"/>
      <c r="L204" s="371"/>
      <c r="M204" s="371"/>
      <c r="N204" s="371"/>
      <c r="O204" s="371"/>
      <c r="P204" s="371"/>
      <c r="Q204" s="371"/>
      <c r="R204" s="371"/>
      <c r="S204" s="371"/>
      <c r="T204" s="371"/>
      <c r="U204" s="371"/>
    </row>
    <row r="205" spans="3:21">
      <c r="C205" s="371"/>
      <c r="D205" s="371"/>
      <c r="E205" s="371"/>
      <c r="F205" s="371"/>
      <c r="G205" s="371"/>
      <c r="H205" s="371"/>
      <c r="I205" s="371"/>
      <c r="J205" s="371"/>
      <c r="K205" s="371"/>
      <c r="L205" s="371"/>
      <c r="M205" s="371"/>
      <c r="N205" s="371"/>
      <c r="O205" s="371"/>
      <c r="P205" s="371"/>
      <c r="Q205" s="371"/>
      <c r="R205" s="371"/>
      <c r="S205" s="371"/>
      <c r="T205" s="371"/>
      <c r="U205" s="371"/>
    </row>
    <row r="206" spans="3:21">
      <c r="C206" s="371"/>
      <c r="D206" s="371"/>
      <c r="E206" s="371"/>
      <c r="F206" s="371"/>
      <c r="G206" s="371"/>
      <c r="H206" s="371"/>
      <c r="I206" s="371"/>
      <c r="J206" s="371"/>
      <c r="K206" s="371"/>
      <c r="L206" s="371"/>
      <c r="M206" s="371"/>
      <c r="N206" s="371"/>
      <c r="O206" s="371"/>
      <c r="P206" s="371"/>
      <c r="Q206" s="371"/>
      <c r="R206" s="371"/>
      <c r="S206" s="371"/>
      <c r="T206" s="371"/>
      <c r="U206" s="371"/>
    </row>
    <row r="207" spans="3:21">
      <c r="C207" s="371"/>
      <c r="D207" s="371"/>
      <c r="E207" s="371"/>
      <c r="F207" s="371"/>
      <c r="G207" s="371"/>
      <c r="H207" s="371"/>
      <c r="I207" s="371"/>
      <c r="J207" s="371"/>
      <c r="K207" s="371"/>
      <c r="L207" s="371"/>
      <c r="M207" s="371"/>
      <c r="N207" s="371"/>
      <c r="O207" s="371"/>
      <c r="P207" s="371"/>
      <c r="Q207" s="371"/>
      <c r="R207" s="371"/>
      <c r="S207" s="371"/>
      <c r="T207" s="371"/>
      <c r="U207" s="371"/>
    </row>
    <row r="208" spans="3:21">
      <c r="C208" s="371"/>
      <c r="D208" s="371"/>
      <c r="E208" s="371"/>
      <c r="F208" s="371"/>
      <c r="G208" s="371"/>
      <c r="H208" s="371"/>
      <c r="I208" s="371"/>
      <c r="J208" s="371"/>
      <c r="K208" s="371"/>
      <c r="L208" s="371"/>
      <c r="M208" s="371"/>
      <c r="N208" s="371"/>
      <c r="O208" s="371"/>
      <c r="P208" s="371"/>
      <c r="Q208" s="371"/>
      <c r="R208" s="371"/>
      <c r="S208" s="371"/>
      <c r="T208" s="371"/>
      <c r="U208" s="371"/>
    </row>
    <row r="209" spans="3:21">
      <c r="C209" s="371"/>
      <c r="D209" s="371"/>
      <c r="E209" s="371"/>
      <c r="F209" s="371"/>
      <c r="G209" s="371"/>
      <c r="H209" s="371"/>
      <c r="I209" s="371"/>
      <c r="J209" s="371"/>
      <c r="K209" s="371"/>
      <c r="L209" s="371"/>
      <c r="M209" s="371"/>
      <c r="N209" s="371"/>
      <c r="O209" s="371"/>
      <c r="P209" s="371"/>
      <c r="Q209" s="371"/>
      <c r="R209" s="371"/>
      <c r="S209" s="371"/>
      <c r="T209" s="371"/>
      <c r="U209" s="371"/>
    </row>
    <row r="210" spans="3:21">
      <c r="C210" s="371"/>
      <c r="D210" s="371"/>
      <c r="E210" s="371"/>
      <c r="F210" s="371"/>
      <c r="G210" s="371"/>
      <c r="H210" s="371"/>
      <c r="I210" s="371"/>
      <c r="J210" s="371"/>
      <c r="K210" s="371"/>
      <c r="L210" s="371"/>
      <c r="M210" s="371"/>
      <c r="N210" s="371"/>
      <c r="O210" s="371"/>
      <c r="P210" s="371"/>
      <c r="Q210" s="371"/>
      <c r="R210" s="371"/>
      <c r="S210" s="371"/>
      <c r="T210" s="371"/>
      <c r="U210" s="371"/>
    </row>
    <row r="211" spans="3:21">
      <c r="C211" s="371"/>
      <c r="D211" s="371"/>
      <c r="E211" s="371"/>
      <c r="F211" s="371"/>
      <c r="G211" s="371"/>
      <c r="H211" s="371"/>
      <c r="I211" s="371"/>
      <c r="J211" s="371"/>
      <c r="K211" s="371"/>
      <c r="L211" s="371"/>
      <c r="M211" s="371"/>
      <c r="N211" s="371"/>
      <c r="O211" s="371"/>
      <c r="P211" s="371"/>
      <c r="Q211" s="371"/>
      <c r="R211" s="371"/>
      <c r="S211" s="371"/>
      <c r="T211" s="371"/>
      <c r="U211" s="371"/>
    </row>
    <row r="212" spans="3:21">
      <c r="C212" s="371"/>
      <c r="D212" s="371"/>
      <c r="E212" s="371"/>
      <c r="F212" s="371"/>
      <c r="G212" s="371"/>
      <c r="H212" s="371"/>
      <c r="I212" s="371"/>
      <c r="J212" s="371"/>
      <c r="K212" s="371"/>
      <c r="L212" s="371"/>
      <c r="M212" s="371"/>
      <c r="N212" s="371"/>
      <c r="O212" s="371"/>
      <c r="P212" s="371"/>
      <c r="Q212" s="371"/>
      <c r="R212" s="371"/>
      <c r="S212" s="371"/>
      <c r="T212" s="371"/>
      <c r="U212" s="371"/>
    </row>
    <row r="213" spans="3:21">
      <c r="C213" s="371"/>
      <c r="D213" s="371"/>
      <c r="E213" s="371"/>
      <c r="F213" s="371"/>
      <c r="G213" s="371"/>
      <c r="H213" s="371"/>
      <c r="I213" s="371"/>
      <c r="J213" s="371"/>
      <c r="K213" s="371"/>
      <c r="L213" s="371"/>
      <c r="M213" s="371"/>
      <c r="N213" s="371"/>
      <c r="O213" s="371"/>
      <c r="P213" s="371"/>
      <c r="Q213" s="371"/>
      <c r="R213" s="371"/>
      <c r="S213" s="371"/>
      <c r="T213" s="371"/>
      <c r="U213" s="371"/>
    </row>
    <row r="214" spans="3:21">
      <c r="C214" s="371"/>
      <c r="D214" s="371"/>
      <c r="E214" s="371"/>
      <c r="F214" s="371"/>
      <c r="G214" s="371"/>
      <c r="H214" s="371"/>
      <c r="I214" s="371"/>
      <c r="J214" s="371"/>
      <c r="K214" s="371"/>
      <c r="L214" s="371"/>
      <c r="M214" s="371"/>
      <c r="N214" s="371"/>
      <c r="O214" s="371"/>
      <c r="P214" s="371"/>
      <c r="Q214" s="371"/>
      <c r="R214" s="371"/>
      <c r="S214" s="371"/>
      <c r="T214" s="371"/>
      <c r="U214" s="371"/>
    </row>
    <row r="215" spans="3:21">
      <c r="C215" s="371"/>
      <c r="D215" s="371"/>
      <c r="E215" s="371"/>
      <c r="F215" s="371"/>
      <c r="G215" s="371"/>
      <c r="H215" s="371"/>
      <c r="I215" s="371"/>
      <c r="J215" s="371"/>
      <c r="K215" s="371"/>
      <c r="L215" s="371"/>
      <c r="M215" s="371"/>
      <c r="N215" s="371"/>
      <c r="O215" s="371"/>
      <c r="P215" s="371"/>
      <c r="Q215" s="371"/>
      <c r="R215" s="371"/>
      <c r="S215" s="371"/>
      <c r="T215" s="371"/>
      <c r="U215" s="371"/>
    </row>
    <row r="216" spans="3:21">
      <c r="C216" s="371"/>
      <c r="D216" s="371"/>
      <c r="E216" s="371"/>
      <c r="F216" s="371"/>
      <c r="G216" s="371"/>
      <c r="H216" s="371"/>
      <c r="I216" s="371"/>
      <c r="J216" s="371"/>
      <c r="K216" s="371"/>
      <c r="L216" s="371"/>
      <c r="M216" s="371"/>
      <c r="N216" s="371"/>
      <c r="O216" s="371"/>
      <c r="P216" s="371"/>
      <c r="Q216" s="371"/>
      <c r="R216" s="371"/>
      <c r="S216" s="371"/>
      <c r="T216" s="371"/>
      <c r="U216" s="371"/>
    </row>
    <row r="217" spans="3:21">
      <c r="C217" s="371"/>
      <c r="D217" s="371"/>
      <c r="E217" s="371"/>
      <c r="F217" s="371"/>
      <c r="G217" s="371"/>
      <c r="H217" s="371"/>
      <c r="I217" s="371"/>
      <c r="J217" s="371"/>
      <c r="K217" s="371"/>
      <c r="L217" s="371"/>
      <c r="M217" s="371"/>
      <c r="N217" s="371"/>
      <c r="O217" s="371"/>
      <c r="P217" s="371"/>
      <c r="Q217" s="371"/>
      <c r="R217" s="371"/>
      <c r="S217" s="371"/>
      <c r="T217" s="371"/>
      <c r="U217" s="371"/>
    </row>
    <row r="218" spans="3:21">
      <c r="C218" s="371"/>
      <c r="D218" s="371"/>
      <c r="E218" s="371"/>
      <c r="F218" s="371"/>
      <c r="G218" s="371"/>
      <c r="H218" s="371"/>
      <c r="I218" s="371"/>
      <c r="J218" s="371"/>
      <c r="K218" s="371"/>
      <c r="L218" s="371"/>
      <c r="M218" s="371"/>
      <c r="N218" s="371"/>
      <c r="O218" s="371"/>
      <c r="P218" s="371"/>
      <c r="Q218" s="371"/>
      <c r="R218" s="371"/>
      <c r="S218" s="371"/>
      <c r="T218" s="371"/>
      <c r="U218" s="371"/>
    </row>
    <row r="219" spans="3:21">
      <c r="C219" s="371"/>
      <c r="D219" s="371"/>
      <c r="E219" s="371"/>
      <c r="F219" s="371"/>
      <c r="G219" s="371"/>
      <c r="H219" s="371"/>
      <c r="I219" s="371"/>
      <c r="J219" s="371"/>
      <c r="K219" s="371"/>
      <c r="L219" s="371"/>
      <c r="M219" s="371"/>
      <c r="N219" s="371"/>
      <c r="O219" s="371"/>
      <c r="P219" s="371"/>
      <c r="Q219" s="371"/>
      <c r="R219" s="371"/>
      <c r="S219" s="371"/>
      <c r="T219" s="371"/>
      <c r="U219" s="371"/>
    </row>
    <row r="220" spans="3:21">
      <c r="C220" s="371"/>
      <c r="D220" s="371"/>
      <c r="E220" s="371"/>
      <c r="F220" s="371"/>
      <c r="G220" s="371"/>
      <c r="H220" s="371"/>
      <c r="I220" s="371"/>
      <c r="J220" s="371"/>
      <c r="K220" s="371"/>
      <c r="L220" s="371"/>
      <c r="M220" s="371"/>
      <c r="N220" s="371"/>
      <c r="O220" s="371"/>
      <c r="P220" s="371"/>
      <c r="Q220" s="371"/>
      <c r="R220" s="371"/>
      <c r="S220" s="371"/>
      <c r="T220" s="371"/>
      <c r="U220" s="371"/>
    </row>
    <row r="221" spans="3:21">
      <c r="C221" s="371"/>
      <c r="D221" s="371"/>
      <c r="E221" s="371"/>
      <c r="F221" s="371"/>
      <c r="G221" s="371"/>
      <c r="H221" s="371"/>
      <c r="I221" s="371"/>
      <c r="J221" s="371"/>
      <c r="K221" s="371"/>
      <c r="L221" s="371"/>
      <c r="M221" s="371"/>
      <c r="N221" s="371"/>
      <c r="O221" s="371"/>
      <c r="P221" s="371"/>
      <c r="Q221" s="371"/>
      <c r="R221" s="371"/>
      <c r="S221" s="371"/>
      <c r="T221" s="371"/>
      <c r="U221" s="371"/>
    </row>
    <row r="222" spans="3:21">
      <c r="C222" s="371"/>
      <c r="D222" s="371"/>
      <c r="E222" s="371"/>
      <c r="F222" s="371"/>
      <c r="G222" s="371"/>
      <c r="H222" s="371"/>
      <c r="I222" s="371"/>
      <c r="J222" s="371"/>
      <c r="K222" s="371"/>
      <c r="L222" s="371"/>
      <c r="M222" s="371"/>
      <c r="N222" s="371"/>
      <c r="O222" s="371"/>
      <c r="P222" s="371"/>
      <c r="Q222" s="371"/>
      <c r="R222" s="371"/>
      <c r="S222" s="371"/>
      <c r="T222" s="371"/>
      <c r="U222" s="371"/>
    </row>
    <row r="223" spans="3:21">
      <c r="C223" s="371"/>
      <c r="D223" s="371"/>
      <c r="E223" s="371"/>
      <c r="F223" s="371"/>
      <c r="G223" s="371"/>
      <c r="H223" s="371"/>
      <c r="I223" s="371"/>
      <c r="J223" s="371"/>
      <c r="K223" s="371"/>
      <c r="L223" s="371"/>
      <c r="M223" s="371"/>
      <c r="N223" s="371"/>
      <c r="O223" s="371"/>
      <c r="P223" s="371"/>
      <c r="Q223" s="371"/>
      <c r="R223" s="371"/>
      <c r="S223" s="371"/>
      <c r="T223" s="371"/>
      <c r="U223" s="371"/>
    </row>
    <row r="224" spans="3:21">
      <c r="C224" s="371"/>
      <c r="D224" s="371"/>
      <c r="E224" s="371"/>
      <c r="F224" s="371"/>
      <c r="G224" s="371"/>
      <c r="H224" s="371"/>
      <c r="I224" s="371"/>
      <c r="J224" s="371"/>
      <c r="K224" s="371"/>
      <c r="L224" s="371"/>
      <c r="M224" s="371"/>
      <c r="N224" s="371"/>
      <c r="O224" s="371"/>
      <c r="P224" s="371"/>
      <c r="Q224" s="371"/>
      <c r="R224" s="371"/>
      <c r="S224" s="371"/>
      <c r="T224" s="371"/>
      <c r="U224" s="371"/>
    </row>
    <row r="225" spans="3:21">
      <c r="C225" s="371"/>
      <c r="D225" s="371"/>
      <c r="E225" s="371"/>
      <c r="F225" s="371"/>
      <c r="G225" s="371"/>
      <c r="H225" s="371"/>
      <c r="I225" s="371"/>
      <c r="J225" s="371"/>
      <c r="K225" s="371"/>
      <c r="L225" s="371"/>
      <c r="M225" s="371"/>
      <c r="N225" s="371"/>
      <c r="O225" s="371"/>
      <c r="P225" s="371"/>
      <c r="Q225" s="371"/>
      <c r="R225" s="371"/>
      <c r="S225" s="371"/>
      <c r="T225" s="371"/>
      <c r="U225" s="371"/>
    </row>
    <row r="226" spans="3:21">
      <c r="C226" s="371"/>
      <c r="D226" s="371"/>
      <c r="E226" s="371"/>
      <c r="F226" s="371"/>
      <c r="G226" s="371"/>
      <c r="H226" s="371"/>
      <c r="I226" s="371"/>
      <c r="J226" s="371"/>
      <c r="K226" s="371"/>
      <c r="L226" s="371"/>
      <c r="M226" s="371"/>
      <c r="N226" s="371"/>
      <c r="O226" s="371"/>
      <c r="P226" s="371"/>
      <c r="Q226" s="371"/>
      <c r="R226" s="371"/>
      <c r="S226" s="371"/>
      <c r="T226" s="371"/>
      <c r="U226" s="371"/>
    </row>
    <row r="227" spans="3:21">
      <c r="C227" s="371"/>
      <c r="D227" s="371"/>
      <c r="E227" s="371"/>
      <c r="F227" s="371"/>
      <c r="G227" s="371"/>
      <c r="H227" s="371"/>
      <c r="I227" s="371"/>
      <c r="J227" s="371"/>
      <c r="K227" s="371"/>
      <c r="L227" s="371"/>
      <c r="M227" s="371"/>
      <c r="N227" s="371"/>
      <c r="O227" s="371"/>
      <c r="P227" s="371"/>
      <c r="Q227" s="371"/>
      <c r="R227" s="371"/>
      <c r="S227" s="371"/>
      <c r="T227" s="371"/>
      <c r="U227" s="371"/>
    </row>
    <row r="228" spans="3:21">
      <c r="C228" s="371"/>
      <c r="D228" s="371"/>
      <c r="E228" s="371"/>
      <c r="F228" s="371"/>
      <c r="G228" s="371"/>
      <c r="H228" s="371"/>
      <c r="I228" s="371"/>
      <c r="J228" s="371"/>
      <c r="K228" s="371"/>
      <c r="L228" s="371"/>
      <c r="M228" s="371"/>
      <c r="N228" s="371"/>
      <c r="O228" s="371"/>
      <c r="P228" s="371"/>
      <c r="Q228" s="371"/>
      <c r="R228" s="371"/>
      <c r="S228" s="371"/>
      <c r="T228" s="371"/>
      <c r="U228" s="371"/>
    </row>
    <row r="229" spans="3:21">
      <c r="C229" s="371"/>
      <c r="D229" s="371"/>
      <c r="E229" s="371"/>
      <c r="F229" s="371"/>
      <c r="G229" s="371"/>
      <c r="H229" s="371"/>
      <c r="I229" s="371"/>
      <c r="J229" s="371"/>
      <c r="K229" s="371"/>
      <c r="L229" s="371"/>
      <c r="M229" s="371"/>
      <c r="N229" s="371"/>
      <c r="O229" s="371"/>
      <c r="P229" s="371"/>
      <c r="Q229" s="371"/>
      <c r="R229" s="371"/>
      <c r="S229" s="371"/>
      <c r="T229" s="371"/>
      <c r="U229" s="371"/>
    </row>
    <row r="230" spans="3:21">
      <c r="C230" s="371"/>
      <c r="D230" s="371"/>
      <c r="E230" s="371"/>
      <c r="F230" s="371"/>
      <c r="G230" s="371"/>
      <c r="H230" s="371"/>
      <c r="I230" s="371"/>
      <c r="J230" s="371"/>
      <c r="K230" s="371"/>
      <c r="L230" s="371"/>
      <c r="M230" s="371"/>
      <c r="N230" s="371"/>
      <c r="O230" s="371"/>
      <c r="P230" s="371"/>
      <c r="Q230" s="371"/>
      <c r="R230" s="371"/>
      <c r="S230" s="371"/>
      <c r="T230" s="371"/>
      <c r="U230" s="371"/>
    </row>
    <row r="231" spans="3:21">
      <c r="C231" s="371"/>
      <c r="D231" s="371"/>
      <c r="E231" s="371"/>
      <c r="F231" s="371"/>
      <c r="G231" s="371"/>
      <c r="H231" s="371"/>
      <c r="I231" s="371"/>
      <c r="J231" s="371"/>
      <c r="K231" s="371"/>
      <c r="L231" s="371"/>
      <c r="M231" s="371"/>
      <c r="N231" s="371"/>
      <c r="O231" s="371"/>
      <c r="P231" s="371"/>
      <c r="Q231" s="371"/>
      <c r="R231" s="371"/>
      <c r="S231" s="371"/>
      <c r="T231" s="371"/>
      <c r="U231" s="371"/>
    </row>
    <row r="232" spans="3:21">
      <c r="C232" s="371"/>
      <c r="D232" s="371"/>
      <c r="E232" s="371"/>
      <c r="F232" s="371"/>
      <c r="G232" s="371"/>
      <c r="H232" s="371"/>
      <c r="I232" s="371"/>
      <c r="J232" s="371"/>
      <c r="K232" s="371"/>
      <c r="L232" s="371"/>
      <c r="M232" s="371"/>
      <c r="N232" s="371"/>
      <c r="O232" s="371"/>
      <c r="P232" s="371"/>
      <c r="Q232" s="371"/>
      <c r="R232" s="371"/>
      <c r="S232" s="371"/>
      <c r="T232" s="371"/>
      <c r="U232" s="371"/>
    </row>
    <row r="233" spans="3:21">
      <c r="C233" s="371"/>
      <c r="D233" s="371"/>
      <c r="E233" s="371"/>
      <c r="F233" s="371"/>
      <c r="G233" s="371"/>
      <c r="H233" s="371"/>
      <c r="I233" s="371"/>
      <c r="J233" s="371"/>
      <c r="K233" s="371"/>
      <c r="L233" s="371"/>
      <c r="M233" s="371"/>
      <c r="N233" s="371"/>
      <c r="O233" s="371"/>
      <c r="P233" s="371"/>
      <c r="Q233" s="371"/>
      <c r="R233" s="371"/>
      <c r="S233" s="371"/>
      <c r="T233" s="371"/>
      <c r="U233" s="371"/>
    </row>
    <row r="234" spans="3:21">
      <c r="C234" s="371"/>
      <c r="D234" s="371"/>
      <c r="E234" s="371"/>
      <c r="F234" s="371"/>
      <c r="G234" s="371"/>
      <c r="H234" s="371"/>
      <c r="I234" s="371"/>
      <c r="J234" s="371"/>
      <c r="K234" s="371"/>
      <c r="L234" s="371"/>
      <c r="M234" s="371"/>
      <c r="N234" s="371"/>
      <c r="O234" s="371"/>
      <c r="P234" s="371"/>
      <c r="Q234" s="371"/>
      <c r="R234" s="371"/>
      <c r="S234" s="371"/>
      <c r="T234" s="371"/>
      <c r="U234" s="371"/>
    </row>
    <row r="235" spans="3:21">
      <c r="C235" s="371"/>
      <c r="D235" s="371"/>
      <c r="E235" s="371"/>
      <c r="F235" s="371"/>
      <c r="G235" s="371"/>
      <c r="H235" s="371"/>
      <c r="I235" s="371"/>
      <c r="J235" s="371"/>
      <c r="K235" s="371"/>
      <c r="L235" s="371"/>
      <c r="M235" s="371"/>
      <c r="N235" s="371"/>
      <c r="O235" s="371"/>
      <c r="P235" s="371"/>
      <c r="Q235" s="371"/>
      <c r="R235" s="371"/>
      <c r="S235" s="371"/>
      <c r="T235" s="371"/>
      <c r="U235" s="371"/>
    </row>
    <row r="236" spans="3:21">
      <c r="C236" s="371"/>
      <c r="D236" s="371"/>
      <c r="E236" s="371"/>
      <c r="F236" s="371"/>
      <c r="G236" s="371"/>
      <c r="H236" s="371"/>
      <c r="I236" s="371"/>
      <c r="J236" s="371"/>
      <c r="K236" s="371"/>
      <c r="L236" s="371"/>
      <c r="M236" s="371"/>
      <c r="N236" s="371"/>
      <c r="O236" s="371"/>
      <c r="P236" s="371"/>
      <c r="Q236" s="371"/>
      <c r="R236" s="371"/>
      <c r="S236" s="371"/>
      <c r="T236" s="371"/>
      <c r="U236" s="371"/>
    </row>
    <row r="237" spans="3:21">
      <c r="C237" s="371"/>
      <c r="D237" s="371"/>
      <c r="E237" s="371"/>
      <c r="F237" s="371"/>
      <c r="G237" s="371"/>
      <c r="H237" s="371"/>
      <c r="I237" s="371"/>
      <c r="J237" s="371"/>
      <c r="K237" s="371"/>
      <c r="L237" s="371"/>
      <c r="M237" s="371"/>
      <c r="N237" s="371"/>
      <c r="O237" s="371"/>
      <c r="P237" s="371"/>
      <c r="Q237" s="371"/>
      <c r="R237" s="371"/>
      <c r="S237" s="371"/>
      <c r="T237" s="371"/>
      <c r="U237" s="371"/>
    </row>
    <row r="238" spans="3:21">
      <c r="C238" s="371"/>
      <c r="D238" s="371"/>
      <c r="E238" s="371"/>
      <c r="F238" s="371"/>
      <c r="G238" s="371"/>
      <c r="H238" s="371"/>
      <c r="I238" s="371"/>
      <c r="J238" s="371"/>
      <c r="K238" s="371"/>
      <c r="L238" s="371"/>
      <c r="M238" s="371"/>
      <c r="N238" s="371"/>
      <c r="O238" s="371"/>
      <c r="P238" s="371"/>
      <c r="Q238" s="371"/>
      <c r="R238" s="371"/>
      <c r="S238" s="371"/>
      <c r="T238" s="371"/>
      <c r="U238" s="371"/>
    </row>
    <row r="239" spans="3:21">
      <c r="C239" s="371"/>
      <c r="D239" s="371"/>
      <c r="E239" s="371"/>
      <c r="F239" s="371"/>
      <c r="G239" s="371"/>
      <c r="H239" s="371"/>
      <c r="I239" s="371"/>
      <c r="J239" s="371"/>
      <c r="K239" s="371"/>
      <c r="L239" s="371"/>
      <c r="M239" s="371"/>
      <c r="N239" s="371"/>
      <c r="O239" s="371"/>
      <c r="P239" s="371"/>
      <c r="Q239" s="371"/>
      <c r="R239" s="371"/>
      <c r="S239" s="371"/>
      <c r="T239" s="371"/>
      <c r="U239" s="371"/>
    </row>
    <row r="240" spans="3:21">
      <c r="C240" s="371"/>
      <c r="D240" s="371"/>
      <c r="E240" s="371"/>
      <c r="F240" s="371"/>
      <c r="G240" s="371"/>
      <c r="H240" s="371"/>
      <c r="I240" s="371"/>
      <c r="J240" s="371"/>
      <c r="K240" s="371"/>
      <c r="L240" s="371"/>
      <c r="M240" s="371"/>
      <c r="N240" s="371"/>
      <c r="O240" s="371"/>
      <c r="P240" s="371"/>
      <c r="Q240" s="371"/>
      <c r="R240" s="371"/>
      <c r="S240" s="371"/>
      <c r="T240" s="371"/>
      <c r="U240" s="371"/>
    </row>
    <row r="241" spans="3:21">
      <c r="C241" s="371"/>
      <c r="D241" s="371"/>
      <c r="E241" s="371"/>
      <c r="F241" s="371"/>
      <c r="G241" s="371"/>
      <c r="H241" s="371"/>
      <c r="I241" s="371"/>
      <c r="J241" s="371"/>
      <c r="K241" s="371"/>
      <c r="L241" s="371"/>
      <c r="M241" s="371"/>
      <c r="N241" s="371"/>
      <c r="O241" s="371"/>
      <c r="P241" s="371"/>
      <c r="Q241" s="371"/>
      <c r="R241" s="371"/>
      <c r="S241" s="371"/>
      <c r="T241" s="371"/>
      <c r="U241" s="371"/>
    </row>
    <row r="242" spans="3:21">
      <c r="C242" s="371"/>
      <c r="D242" s="371"/>
      <c r="E242" s="371"/>
      <c r="F242" s="371"/>
      <c r="G242" s="371"/>
      <c r="H242" s="371"/>
      <c r="I242" s="371"/>
      <c r="J242" s="371"/>
      <c r="K242" s="371"/>
      <c r="L242" s="371"/>
      <c r="M242" s="371"/>
      <c r="N242" s="371"/>
      <c r="O242" s="371"/>
      <c r="P242" s="371"/>
      <c r="Q242" s="371"/>
      <c r="R242" s="371"/>
      <c r="S242" s="371"/>
      <c r="T242" s="371"/>
      <c r="U242" s="371"/>
    </row>
    <row r="243" spans="3:21">
      <c r="C243" s="371"/>
      <c r="D243" s="371"/>
      <c r="E243" s="371"/>
      <c r="F243" s="371"/>
      <c r="G243" s="371"/>
      <c r="H243" s="371"/>
      <c r="I243" s="371"/>
      <c r="J243" s="371"/>
      <c r="K243" s="371"/>
      <c r="L243" s="371"/>
      <c r="M243" s="371"/>
      <c r="N243" s="371"/>
      <c r="O243" s="371"/>
      <c r="P243" s="371"/>
      <c r="Q243" s="371"/>
      <c r="R243" s="371"/>
      <c r="S243" s="371"/>
      <c r="T243" s="371"/>
      <c r="U243" s="371"/>
    </row>
    <row r="244" spans="3:21">
      <c r="C244" s="371"/>
      <c r="D244" s="371"/>
      <c r="E244" s="371"/>
      <c r="F244" s="371"/>
      <c r="G244" s="371"/>
      <c r="H244" s="371"/>
      <c r="I244" s="371"/>
      <c r="J244" s="371"/>
      <c r="K244" s="371"/>
      <c r="L244" s="371"/>
      <c r="M244" s="371"/>
      <c r="N244" s="371"/>
      <c r="O244" s="371"/>
      <c r="P244" s="371"/>
      <c r="Q244" s="371"/>
      <c r="R244" s="371"/>
      <c r="S244" s="371"/>
      <c r="T244" s="371"/>
      <c r="U244" s="371"/>
    </row>
    <row r="245" spans="3:21">
      <c r="C245" s="371"/>
      <c r="D245" s="371"/>
      <c r="E245" s="371"/>
      <c r="F245" s="371"/>
      <c r="G245" s="371"/>
      <c r="H245" s="371"/>
      <c r="I245" s="371"/>
      <c r="J245" s="371"/>
      <c r="K245" s="371"/>
      <c r="L245" s="371"/>
      <c r="M245" s="371"/>
      <c r="N245" s="371"/>
      <c r="O245" s="371"/>
      <c r="P245" s="371"/>
      <c r="Q245" s="371"/>
      <c r="R245" s="371"/>
      <c r="S245" s="371"/>
      <c r="T245" s="371"/>
      <c r="U245" s="371"/>
    </row>
    <row r="246" spans="3:21">
      <c r="C246" s="371"/>
      <c r="D246" s="371"/>
      <c r="E246" s="371"/>
      <c r="F246" s="371"/>
      <c r="G246" s="371"/>
      <c r="H246" s="371"/>
      <c r="I246" s="371"/>
      <c r="J246" s="371"/>
      <c r="K246" s="371"/>
      <c r="L246" s="371"/>
      <c r="M246" s="371"/>
      <c r="N246" s="371"/>
      <c r="O246" s="371"/>
      <c r="P246" s="371"/>
      <c r="Q246" s="371"/>
      <c r="R246" s="371"/>
      <c r="S246" s="371"/>
      <c r="T246" s="371"/>
      <c r="U246" s="371"/>
    </row>
    <row r="247" spans="3:21">
      <c r="C247" s="371"/>
      <c r="D247" s="371"/>
      <c r="E247" s="371"/>
      <c r="F247" s="371"/>
      <c r="G247" s="371"/>
      <c r="H247" s="371"/>
      <c r="I247" s="371"/>
      <c r="J247" s="371"/>
      <c r="K247" s="371"/>
      <c r="L247" s="371"/>
      <c r="M247" s="371"/>
      <c r="N247" s="371"/>
      <c r="O247" s="371"/>
      <c r="P247" s="371"/>
      <c r="Q247" s="371"/>
      <c r="R247" s="371"/>
      <c r="S247" s="371"/>
      <c r="T247" s="371"/>
      <c r="U247" s="371"/>
    </row>
    <row r="248" spans="3:21">
      <c r="C248" s="371"/>
      <c r="D248" s="371"/>
      <c r="E248" s="371"/>
      <c r="F248" s="371"/>
      <c r="G248" s="371"/>
      <c r="H248" s="371"/>
      <c r="I248" s="371"/>
      <c r="J248" s="371"/>
      <c r="K248" s="371"/>
      <c r="L248" s="371"/>
      <c r="M248" s="371"/>
      <c r="N248" s="371"/>
      <c r="O248" s="371"/>
      <c r="P248" s="371"/>
      <c r="Q248" s="371"/>
      <c r="R248" s="371"/>
      <c r="S248" s="371"/>
      <c r="T248" s="371"/>
      <c r="U248" s="371"/>
    </row>
    <row r="249" spans="3:21">
      <c r="C249" s="371"/>
      <c r="D249" s="371"/>
      <c r="E249" s="371"/>
      <c r="F249" s="371"/>
      <c r="G249" s="371"/>
      <c r="H249" s="371"/>
      <c r="I249" s="371"/>
      <c r="J249" s="371"/>
      <c r="K249" s="371"/>
      <c r="L249" s="371"/>
      <c r="M249" s="371"/>
      <c r="N249" s="371"/>
      <c r="O249" s="371"/>
      <c r="P249" s="371"/>
      <c r="Q249" s="371"/>
      <c r="R249" s="371"/>
      <c r="S249" s="371"/>
      <c r="T249" s="371"/>
      <c r="U249" s="371"/>
    </row>
    <row r="250" spans="3:21">
      <c r="C250" s="371"/>
      <c r="D250" s="371"/>
      <c r="E250" s="371"/>
      <c r="F250" s="371"/>
      <c r="G250" s="371"/>
      <c r="H250" s="371"/>
      <c r="I250" s="371"/>
      <c r="J250" s="371"/>
      <c r="K250" s="371"/>
      <c r="L250" s="371"/>
      <c r="M250" s="371"/>
      <c r="N250" s="371"/>
      <c r="O250" s="371"/>
      <c r="P250" s="371"/>
      <c r="Q250" s="371"/>
      <c r="R250" s="371"/>
      <c r="S250" s="371"/>
      <c r="T250" s="371"/>
      <c r="U250" s="371"/>
    </row>
    <row r="251" spans="3:21">
      <c r="C251" s="371"/>
      <c r="D251" s="371"/>
      <c r="E251" s="371"/>
      <c r="F251" s="371"/>
      <c r="G251" s="371"/>
      <c r="H251" s="371"/>
      <c r="I251" s="371"/>
      <c r="J251" s="371"/>
      <c r="K251" s="371"/>
      <c r="L251" s="371"/>
      <c r="M251" s="371"/>
      <c r="N251" s="371"/>
      <c r="O251" s="371"/>
      <c r="P251" s="371"/>
      <c r="Q251" s="371"/>
      <c r="R251" s="371"/>
      <c r="S251" s="371"/>
      <c r="T251" s="371"/>
      <c r="U251" s="371"/>
    </row>
    <row r="252" spans="3:21">
      <c r="C252" s="371"/>
      <c r="D252" s="371"/>
      <c r="E252" s="371"/>
      <c r="F252" s="371"/>
      <c r="G252" s="371"/>
      <c r="H252" s="371"/>
      <c r="I252" s="371"/>
      <c r="J252" s="371"/>
      <c r="K252" s="371"/>
      <c r="L252" s="371"/>
      <c r="M252" s="371"/>
      <c r="N252" s="371"/>
      <c r="O252" s="371"/>
      <c r="P252" s="371"/>
      <c r="Q252" s="371"/>
      <c r="R252" s="371"/>
      <c r="S252" s="371"/>
      <c r="T252" s="371"/>
      <c r="U252" s="371"/>
    </row>
    <row r="253" spans="3:21">
      <c r="C253" s="371"/>
      <c r="D253" s="371"/>
      <c r="E253" s="371"/>
      <c r="F253" s="371"/>
      <c r="G253" s="371"/>
      <c r="H253" s="371"/>
      <c r="I253" s="371"/>
      <c r="J253" s="371"/>
      <c r="K253" s="371"/>
      <c r="L253" s="371"/>
      <c r="M253" s="371"/>
      <c r="N253" s="371"/>
      <c r="O253" s="371"/>
      <c r="P253" s="371"/>
      <c r="Q253" s="371"/>
      <c r="R253" s="371"/>
      <c r="S253" s="371"/>
      <c r="T253" s="371"/>
      <c r="U253" s="371"/>
    </row>
    <row r="254" spans="3:21">
      <c r="C254" s="371"/>
      <c r="D254" s="371"/>
      <c r="E254" s="371"/>
      <c r="F254" s="371"/>
      <c r="G254" s="371"/>
      <c r="H254" s="371"/>
      <c r="I254" s="371"/>
      <c r="J254" s="371"/>
      <c r="K254" s="371"/>
      <c r="L254" s="371"/>
      <c r="M254" s="371"/>
      <c r="N254" s="371"/>
      <c r="O254" s="371"/>
      <c r="P254" s="371"/>
      <c r="Q254" s="371"/>
      <c r="R254" s="371"/>
      <c r="S254" s="371"/>
      <c r="T254" s="371"/>
      <c r="U254" s="371"/>
    </row>
    <row r="255" spans="3:21">
      <c r="C255" s="371"/>
      <c r="D255" s="371"/>
      <c r="E255" s="371"/>
      <c r="F255" s="371"/>
      <c r="G255" s="371"/>
      <c r="H255" s="371"/>
      <c r="I255" s="371"/>
      <c r="J255" s="371"/>
      <c r="K255" s="371"/>
      <c r="L255" s="371"/>
      <c r="M255" s="371"/>
      <c r="N255" s="371"/>
      <c r="O255" s="371"/>
      <c r="P255" s="371"/>
      <c r="Q255" s="371"/>
      <c r="R255" s="371"/>
      <c r="S255" s="371"/>
      <c r="T255" s="371"/>
      <c r="U255" s="371"/>
    </row>
    <row r="256" spans="3:21">
      <c r="C256" s="371"/>
      <c r="D256" s="371"/>
      <c r="E256" s="371"/>
      <c r="F256" s="371"/>
      <c r="G256" s="371"/>
      <c r="H256" s="371"/>
      <c r="I256" s="371"/>
      <c r="J256" s="371"/>
      <c r="K256" s="371"/>
      <c r="L256" s="371"/>
      <c r="M256" s="371"/>
      <c r="N256" s="371"/>
      <c r="O256" s="371"/>
      <c r="P256" s="371"/>
      <c r="Q256" s="371"/>
      <c r="R256" s="371"/>
      <c r="S256" s="371"/>
      <c r="T256" s="371"/>
      <c r="U256" s="371"/>
    </row>
    <row r="257" spans="3:21">
      <c r="C257" s="371"/>
      <c r="D257" s="371"/>
      <c r="E257" s="371"/>
      <c r="F257" s="371"/>
      <c r="G257" s="371"/>
      <c r="H257" s="371"/>
      <c r="I257" s="371"/>
      <c r="J257" s="371"/>
      <c r="K257" s="371"/>
      <c r="L257" s="371"/>
      <c r="M257" s="371"/>
      <c r="N257" s="371"/>
      <c r="O257" s="371"/>
      <c r="P257" s="371"/>
      <c r="Q257" s="371"/>
      <c r="R257" s="371"/>
      <c r="S257" s="371"/>
      <c r="T257" s="371"/>
      <c r="U257" s="371"/>
    </row>
    <row r="258" spans="3:21">
      <c r="C258" s="371"/>
      <c r="D258" s="371"/>
      <c r="E258" s="371"/>
      <c r="F258" s="371"/>
      <c r="G258" s="371"/>
      <c r="H258" s="371"/>
      <c r="I258" s="371"/>
      <c r="J258" s="371"/>
      <c r="K258" s="371"/>
      <c r="L258" s="371"/>
      <c r="M258" s="371"/>
      <c r="N258" s="371"/>
      <c r="O258" s="371"/>
      <c r="P258" s="371"/>
      <c r="Q258" s="371"/>
      <c r="R258" s="371"/>
      <c r="S258" s="371"/>
      <c r="T258" s="371"/>
      <c r="U258" s="371"/>
    </row>
    <row r="259" spans="3:21">
      <c r="C259" s="371"/>
      <c r="D259" s="371"/>
      <c r="E259" s="371"/>
      <c r="F259" s="371"/>
      <c r="G259" s="371"/>
      <c r="H259" s="371"/>
      <c r="I259" s="371"/>
      <c r="J259" s="371"/>
      <c r="K259" s="371"/>
      <c r="L259" s="371"/>
      <c r="M259" s="371"/>
      <c r="N259" s="371"/>
      <c r="O259" s="371"/>
      <c r="P259" s="371"/>
      <c r="Q259" s="371"/>
      <c r="R259" s="371"/>
      <c r="S259" s="371"/>
      <c r="T259" s="371"/>
      <c r="U259" s="371"/>
    </row>
    <row r="260" spans="3:21">
      <c r="C260" s="371"/>
      <c r="D260" s="371"/>
      <c r="E260" s="371"/>
      <c r="F260" s="371"/>
      <c r="G260" s="371"/>
      <c r="H260" s="371"/>
      <c r="I260" s="371"/>
      <c r="J260" s="371"/>
      <c r="K260" s="371"/>
      <c r="L260" s="371"/>
      <c r="M260" s="371"/>
      <c r="N260" s="371"/>
      <c r="O260" s="371"/>
      <c r="P260" s="371"/>
      <c r="Q260" s="371"/>
      <c r="R260" s="371"/>
      <c r="S260" s="371"/>
      <c r="T260" s="371"/>
      <c r="U260" s="371"/>
    </row>
    <row r="261" spans="3:21">
      <c r="C261" s="371"/>
      <c r="D261" s="371"/>
      <c r="E261" s="371"/>
      <c r="F261" s="371"/>
      <c r="G261" s="371"/>
      <c r="H261" s="371"/>
      <c r="I261" s="371"/>
      <c r="J261" s="371"/>
      <c r="K261" s="371"/>
      <c r="L261" s="371"/>
      <c r="M261" s="371"/>
      <c r="N261" s="371"/>
      <c r="O261" s="371"/>
      <c r="P261" s="371"/>
      <c r="Q261" s="371"/>
      <c r="R261" s="371"/>
      <c r="S261" s="371"/>
      <c r="T261" s="371"/>
      <c r="U261" s="371"/>
    </row>
    <row r="262" spans="3:21">
      <c r="C262" s="371"/>
      <c r="D262" s="371"/>
      <c r="E262" s="371"/>
      <c r="F262" s="371"/>
      <c r="G262" s="371"/>
      <c r="H262" s="371"/>
      <c r="I262" s="371"/>
      <c r="J262" s="371"/>
      <c r="K262" s="371"/>
      <c r="L262" s="371"/>
      <c r="M262" s="371"/>
      <c r="N262" s="371"/>
      <c r="O262" s="371"/>
      <c r="P262" s="371"/>
      <c r="Q262" s="371"/>
      <c r="R262" s="371"/>
      <c r="S262" s="371"/>
      <c r="T262" s="371"/>
      <c r="U262" s="371"/>
    </row>
    <row r="263" spans="3:21">
      <c r="C263" s="371"/>
      <c r="D263" s="371"/>
      <c r="E263" s="371"/>
      <c r="F263" s="371"/>
      <c r="G263" s="371"/>
      <c r="H263" s="371"/>
      <c r="I263" s="371"/>
      <c r="J263" s="371"/>
      <c r="K263" s="371"/>
      <c r="L263" s="371"/>
      <c r="M263" s="371"/>
      <c r="N263" s="371"/>
      <c r="O263" s="371"/>
      <c r="P263" s="371"/>
      <c r="Q263" s="371"/>
      <c r="R263" s="371"/>
      <c r="S263" s="371"/>
      <c r="T263" s="371"/>
      <c r="U263" s="371"/>
    </row>
    <row r="264" spans="3:21">
      <c r="C264" s="371"/>
      <c r="D264" s="371"/>
      <c r="E264" s="371"/>
      <c r="F264" s="371"/>
      <c r="G264" s="371"/>
      <c r="H264" s="371"/>
      <c r="I264" s="371"/>
      <c r="J264" s="371"/>
      <c r="K264" s="371"/>
      <c r="L264" s="371"/>
      <c r="M264" s="371"/>
      <c r="N264" s="371"/>
      <c r="O264" s="371"/>
      <c r="P264" s="371"/>
      <c r="Q264" s="371"/>
      <c r="R264" s="371"/>
      <c r="S264" s="371"/>
      <c r="T264" s="371"/>
      <c r="U264" s="371"/>
    </row>
    <row r="265" spans="3:21">
      <c r="C265" s="371"/>
      <c r="D265" s="371"/>
      <c r="E265" s="371"/>
      <c r="F265" s="371"/>
      <c r="G265" s="371"/>
      <c r="H265" s="371"/>
      <c r="I265" s="371"/>
      <c r="J265" s="371"/>
      <c r="K265" s="371"/>
      <c r="L265" s="371"/>
      <c r="M265" s="371"/>
      <c r="N265" s="371"/>
      <c r="O265" s="371"/>
      <c r="P265" s="371"/>
      <c r="Q265" s="371"/>
      <c r="R265" s="371"/>
      <c r="S265" s="371"/>
      <c r="T265" s="371"/>
      <c r="U265" s="371"/>
    </row>
    <row r="266" spans="3:21">
      <c r="C266" s="371"/>
      <c r="D266" s="371"/>
      <c r="E266" s="371"/>
      <c r="F266" s="371"/>
      <c r="G266" s="371"/>
      <c r="H266" s="371"/>
      <c r="I266" s="371"/>
      <c r="J266" s="371"/>
      <c r="K266" s="371"/>
      <c r="L266" s="371"/>
      <c r="M266" s="371"/>
      <c r="N266" s="371"/>
      <c r="O266" s="371"/>
      <c r="P266" s="371"/>
      <c r="Q266" s="371"/>
      <c r="R266" s="371"/>
      <c r="S266" s="371"/>
      <c r="T266" s="371"/>
      <c r="U266" s="371"/>
    </row>
    <row r="267" spans="3:21">
      <c r="C267" s="371"/>
      <c r="D267" s="371"/>
      <c r="E267" s="371"/>
      <c r="F267" s="371"/>
      <c r="G267" s="371"/>
      <c r="H267" s="371"/>
      <c r="I267" s="371"/>
      <c r="J267" s="371"/>
      <c r="K267" s="371"/>
      <c r="L267" s="371"/>
      <c r="M267" s="371"/>
      <c r="N267" s="371"/>
      <c r="O267" s="371"/>
      <c r="P267" s="371"/>
      <c r="Q267" s="371"/>
      <c r="R267" s="371"/>
      <c r="S267" s="371"/>
      <c r="T267" s="371"/>
      <c r="U267" s="371"/>
    </row>
    <row r="268" spans="3:21">
      <c r="C268" s="371"/>
      <c r="D268" s="371"/>
      <c r="E268" s="371"/>
      <c r="F268" s="371"/>
      <c r="G268" s="371"/>
      <c r="H268" s="371"/>
      <c r="I268" s="371"/>
      <c r="J268" s="371"/>
      <c r="K268" s="371"/>
      <c r="L268" s="371"/>
      <c r="M268" s="371"/>
      <c r="N268" s="371"/>
      <c r="O268" s="371"/>
      <c r="P268" s="371"/>
      <c r="Q268" s="371"/>
      <c r="R268" s="371"/>
      <c r="S268" s="371"/>
      <c r="T268" s="371"/>
      <c r="U268" s="371"/>
    </row>
    <row r="269" spans="3:21">
      <c r="C269" s="371"/>
      <c r="D269" s="371"/>
      <c r="E269" s="371"/>
      <c r="F269" s="371"/>
      <c r="G269" s="371"/>
      <c r="H269" s="371"/>
      <c r="I269" s="371"/>
      <c r="J269" s="371"/>
      <c r="K269" s="371"/>
      <c r="L269" s="371"/>
      <c r="M269" s="371"/>
      <c r="N269" s="371"/>
      <c r="O269" s="371"/>
      <c r="P269" s="371"/>
      <c r="Q269" s="371"/>
      <c r="R269" s="371"/>
      <c r="S269" s="371"/>
      <c r="T269" s="371"/>
      <c r="U269" s="371"/>
    </row>
    <row r="270" spans="3:21">
      <c r="C270" s="371"/>
      <c r="D270" s="371"/>
      <c r="E270" s="371"/>
      <c r="F270" s="371"/>
      <c r="G270" s="371"/>
      <c r="H270" s="371"/>
      <c r="I270" s="371"/>
      <c r="J270" s="371"/>
      <c r="K270" s="371"/>
      <c r="L270" s="371"/>
      <c r="M270" s="371"/>
      <c r="N270" s="371"/>
      <c r="O270" s="371"/>
      <c r="P270" s="371"/>
      <c r="Q270" s="371"/>
      <c r="R270" s="371"/>
      <c r="S270" s="371"/>
      <c r="T270" s="371"/>
      <c r="U270" s="371"/>
    </row>
    <row r="271" spans="3:21">
      <c r="C271" s="371"/>
      <c r="D271" s="371"/>
      <c r="E271" s="371"/>
      <c r="F271" s="371"/>
      <c r="G271" s="371"/>
      <c r="H271" s="371"/>
      <c r="I271" s="371"/>
      <c r="J271" s="371"/>
      <c r="K271" s="371"/>
      <c r="L271" s="371"/>
      <c r="M271" s="371"/>
      <c r="N271" s="371"/>
      <c r="O271" s="371"/>
      <c r="P271" s="371"/>
      <c r="Q271" s="371"/>
      <c r="R271" s="371"/>
      <c r="S271" s="371"/>
      <c r="T271" s="371"/>
      <c r="U271" s="371"/>
    </row>
    <row r="272" spans="3:21">
      <c r="C272" s="371"/>
      <c r="D272" s="371"/>
      <c r="E272" s="371"/>
      <c r="F272" s="371"/>
      <c r="G272" s="371"/>
      <c r="H272" s="371"/>
      <c r="I272" s="371"/>
      <c r="J272" s="371"/>
      <c r="K272" s="371"/>
      <c r="L272" s="371"/>
      <c r="M272" s="371"/>
      <c r="N272" s="371"/>
      <c r="O272" s="371"/>
      <c r="P272" s="371"/>
      <c r="Q272" s="371"/>
      <c r="R272" s="371"/>
      <c r="S272" s="371"/>
      <c r="T272" s="371"/>
      <c r="U272" s="371"/>
    </row>
    <row r="273" spans="3:21">
      <c r="C273" s="371"/>
      <c r="D273" s="371"/>
      <c r="E273" s="371"/>
      <c r="F273" s="371"/>
      <c r="G273" s="371"/>
      <c r="H273" s="371"/>
      <c r="I273" s="371"/>
      <c r="J273" s="371"/>
      <c r="K273" s="371"/>
      <c r="L273" s="371"/>
      <c r="M273" s="371"/>
      <c r="N273" s="371"/>
      <c r="O273" s="371"/>
      <c r="P273" s="371"/>
      <c r="Q273" s="371"/>
      <c r="R273" s="371"/>
      <c r="S273" s="371"/>
      <c r="T273" s="371"/>
      <c r="U273" s="371"/>
    </row>
    <row r="274" spans="3:21">
      <c r="C274" s="371"/>
      <c r="D274" s="371"/>
      <c r="E274" s="371"/>
      <c r="F274" s="371"/>
      <c r="G274" s="371"/>
      <c r="H274" s="371"/>
      <c r="I274" s="371"/>
      <c r="J274" s="371"/>
      <c r="K274" s="371"/>
      <c r="L274" s="371"/>
      <c r="M274" s="371"/>
      <c r="N274" s="371"/>
      <c r="O274" s="371"/>
      <c r="P274" s="371"/>
      <c r="Q274" s="371"/>
      <c r="R274" s="371"/>
      <c r="S274" s="371"/>
      <c r="T274" s="371"/>
      <c r="U274" s="371"/>
    </row>
    <row r="275" spans="3:21">
      <c r="C275" s="371"/>
      <c r="D275" s="371"/>
      <c r="E275" s="371"/>
      <c r="F275" s="371"/>
      <c r="G275" s="371"/>
      <c r="H275" s="371"/>
      <c r="I275" s="371"/>
      <c r="J275" s="371"/>
      <c r="K275" s="371"/>
      <c r="L275" s="371"/>
      <c r="M275" s="371"/>
      <c r="N275" s="371"/>
      <c r="O275" s="371"/>
      <c r="P275" s="371"/>
      <c r="Q275" s="371"/>
      <c r="R275" s="371"/>
      <c r="S275" s="371"/>
      <c r="T275" s="371"/>
      <c r="U275" s="371"/>
    </row>
    <row r="276" spans="3:21">
      <c r="C276" s="371"/>
      <c r="D276" s="371"/>
      <c r="E276" s="371"/>
      <c r="F276" s="371"/>
      <c r="G276" s="371"/>
      <c r="H276" s="371"/>
      <c r="I276" s="371"/>
      <c r="J276" s="371"/>
      <c r="K276" s="371"/>
      <c r="L276" s="371"/>
      <c r="M276" s="371"/>
      <c r="N276" s="371"/>
      <c r="O276" s="371"/>
      <c r="P276" s="371"/>
      <c r="Q276" s="371"/>
      <c r="R276" s="371"/>
      <c r="S276" s="371"/>
      <c r="T276" s="371"/>
      <c r="U276" s="371"/>
    </row>
    <row r="277" spans="3:21">
      <c r="C277" s="371"/>
      <c r="D277" s="371"/>
      <c r="E277" s="371"/>
      <c r="F277" s="371"/>
      <c r="G277" s="371"/>
      <c r="H277" s="371"/>
      <c r="I277" s="371"/>
      <c r="J277" s="371"/>
      <c r="K277" s="371"/>
      <c r="L277" s="371"/>
      <c r="M277" s="371"/>
      <c r="N277" s="371"/>
      <c r="O277" s="371"/>
      <c r="P277" s="371"/>
      <c r="Q277" s="371"/>
      <c r="R277" s="371"/>
      <c r="S277" s="371"/>
      <c r="T277" s="371"/>
      <c r="U277" s="371"/>
    </row>
    <row r="278" spans="3:21">
      <c r="C278" s="371"/>
      <c r="D278" s="371"/>
      <c r="E278" s="371"/>
      <c r="F278" s="371"/>
      <c r="G278" s="371"/>
      <c r="H278" s="371"/>
      <c r="I278" s="371"/>
      <c r="J278" s="371"/>
      <c r="K278" s="371"/>
      <c r="L278" s="371"/>
      <c r="M278" s="371"/>
      <c r="N278" s="371"/>
      <c r="O278" s="371"/>
      <c r="P278" s="371"/>
      <c r="Q278" s="371"/>
      <c r="R278" s="371"/>
      <c r="S278" s="371"/>
      <c r="T278" s="371"/>
      <c r="U278" s="371"/>
    </row>
    <row r="279" spans="3:21">
      <c r="C279" s="371"/>
      <c r="D279" s="371"/>
      <c r="E279" s="371"/>
      <c r="F279" s="371"/>
      <c r="G279" s="371"/>
      <c r="H279" s="371"/>
      <c r="I279" s="371"/>
      <c r="J279" s="371"/>
      <c r="K279" s="371"/>
      <c r="L279" s="371"/>
      <c r="M279" s="371"/>
      <c r="N279" s="371"/>
      <c r="O279" s="371"/>
      <c r="P279" s="371"/>
      <c r="Q279" s="371"/>
      <c r="R279" s="371"/>
      <c r="S279" s="371"/>
      <c r="T279" s="371"/>
      <c r="U279" s="371"/>
    </row>
    <row r="280" spans="3:21">
      <c r="C280" s="371"/>
      <c r="D280" s="371"/>
      <c r="E280" s="371"/>
      <c r="F280" s="371"/>
      <c r="G280" s="371"/>
      <c r="H280" s="371"/>
      <c r="I280" s="371"/>
      <c r="J280" s="371"/>
      <c r="K280" s="371"/>
      <c r="L280" s="371"/>
      <c r="M280" s="371"/>
      <c r="N280" s="371"/>
      <c r="O280" s="371"/>
      <c r="P280" s="371"/>
      <c r="Q280" s="371"/>
      <c r="R280" s="371"/>
      <c r="S280" s="371"/>
      <c r="T280" s="371"/>
      <c r="U280" s="371"/>
    </row>
    <row r="281" spans="3:21">
      <c r="C281" s="371"/>
      <c r="D281" s="371"/>
      <c r="E281" s="371"/>
      <c r="F281" s="371"/>
      <c r="G281" s="371"/>
      <c r="H281" s="371"/>
      <c r="I281" s="371"/>
      <c r="J281" s="371"/>
      <c r="K281" s="371"/>
      <c r="L281" s="371"/>
      <c r="M281" s="371"/>
      <c r="N281" s="371"/>
      <c r="O281" s="371"/>
      <c r="P281" s="371"/>
      <c r="Q281" s="371"/>
      <c r="R281" s="371"/>
      <c r="S281" s="371"/>
      <c r="T281" s="371"/>
      <c r="U281" s="371"/>
    </row>
    <row r="282" spans="3:21">
      <c r="C282" s="371"/>
      <c r="D282" s="371"/>
      <c r="E282" s="371"/>
      <c r="F282" s="371"/>
      <c r="G282" s="371"/>
      <c r="H282" s="371"/>
      <c r="I282" s="371"/>
      <c r="J282" s="371"/>
      <c r="K282" s="371"/>
      <c r="L282" s="371"/>
      <c r="M282" s="371"/>
      <c r="N282" s="371"/>
      <c r="O282" s="371"/>
      <c r="P282" s="371"/>
      <c r="Q282" s="371"/>
      <c r="R282" s="371"/>
      <c r="S282" s="371"/>
      <c r="T282" s="371"/>
      <c r="U282" s="371"/>
    </row>
    <row r="283" spans="3:21">
      <c r="C283" s="371"/>
      <c r="D283" s="371"/>
      <c r="E283" s="371"/>
      <c r="F283" s="371"/>
      <c r="G283" s="371"/>
      <c r="H283" s="371"/>
      <c r="I283" s="371"/>
      <c r="J283" s="371"/>
      <c r="K283" s="371"/>
      <c r="L283" s="371"/>
      <c r="M283" s="371"/>
      <c r="N283" s="371"/>
      <c r="O283" s="371"/>
      <c r="P283" s="371"/>
      <c r="Q283" s="371"/>
      <c r="R283" s="371"/>
      <c r="S283" s="371"/>
      <c r="T283" s="371"/>
      <c r="U283" s="371"/>
    </row>
    <row r="284" spans="3:21">
      <c r="C284" s="371"/>
      <c r="D284" s="371"/>
      <c r="E284" s="371"/>
      <c r="F284" s="371"/>
      <c r="G284" s="371"/>
      <c r="H284" s="371"/>
      <c r="I284" s="371"/>
      <c r="J284" s="371"/>
      <c r="K284" s="371"/>
      <c r="L284" s="371"/>
      <c r="M284" s="371"/>
      <c r="N284" s="371"/>
      <c r="O284" s="371"/>
      <c r="P284" s="371"/>
      <c r="Q284" s="371"/>
      <c r="R284" s="371"/>
      <c r="S284" s="371"/>
      <c r="T284" s="371"/>
      <c r="U284" s="371"/>
    </row>
    <row r="285" spans="3:21">
      <c r="C285" s="371"/>
      <c r="D285" s="371"/>
      <c r="E285" s="371"/>
      <c r="F285" s="371"/>
      <c r="G285" s="371"/>
      <c r="H285" s="371"/>
      <c r="I285" s="371"/>
      <c r="J285" s="371"/>
      <c r="K285" s="371"/>
      <c r="L285" s="371"/>
      <c r="M285" s="371"/>
      <c r="N285" s="371"/>
      <c r="O285" s="371"/>
      <c r="P285" s="371"/>
      <c r="Q285" s="371"/>
      <c r="R285" s="371"/>
      <c r="S285" s="371"/>
      <c r="T285" s="371"/>
      <c r="U285" s="371"/>
    </row>
    <row r="286" spans="3:21">
      <c r="C286" s="371"/>
      <c r="D286" s="371"/>
      <c r="E286" s="371"/>
      <c r="F286" s="371"/>
      <c r="G286" s="371"/>
      <c r="H286" s="371"/>
      <c r="I286" s="371"/>
      <c r="J286" s="371"/>
      <c r="K286" s="371"/>
      <c r="L286" s="371"/>
      <c r="M286" s="371"/>
      <c r="N286" s="371"/>
      <c r="O286" s="371"/>
      <c r="P286" s="371"/>
      <c r="Q286" s="371"/>
      <c r="R286" s="371"/>
      <c r="S286" s="371"/>
      <c r="T286" s="371"/>
      <c r="U286" s="371"/>
    </row>
    <row r="287" spans="3:21">
      <c r="C287" s="371"/>
      <c r="D287" s="371"/>
      <c r="E287" s="371"/>
      <c r="F287" s="371"/>
      <c r="G287" s="371"/>
      <c r="H287" s="371"/>
      <c r="I287" s="371"/>
      <c r="J287" s="371"/>
      <c r="K287" s="371"/>
      <c r="L287" s="371"/>
      <c r="M287" s="371"/>
      <c r="N287" s="371"/>
      <c r="O287" s="371"/>
      <c r="P287" s="371"/>
      <c r="Q287" s="371"/>
      <c r="R287" s="371"/>
      <c r="S287" s="371"/>
      <c r="T287" s="371"/>
      <c r="U287" s="371"/>
    </row>
    <row r="288" spans="3:21">
      <c r="C288" s="371"/>
      <c r="D288" s="371"/>
      <c r="E288" s="371"/>
      <c r="F288" s="371"/>
      <c r="G288" s="371"/>
      <c r="H288" s="371"/>
      <c r="I288" s="371"/>
      <c r="J288" s="371"/>
      <c r="K288" s="371"/>
      <c r="L288" s="371"/>
      <c r="M288" s="371"/>
      <c r="N288" s="371"/>
      <c r="O288" s="371"/>
      <c r="P288" s="371"/>
      <c r="Q288" s="371"/>
      <c r="R288" s="371"/>
      <c r="S288" s="371"/>
      <c r="T288" s="371"/>
      <c r="U288" s="371"/>
    </row>
    <row r="289" spans="3:21">
      <c r="C289" s="371"/>
      <c r="D289" s="371"/>
      <c r="E289" s="371"/>
      <c r="F289" s="371"/>
      <c r="G289" s="371"/>
      <c r="H289" s="371"/>
      <c r="I289" s="371"/>
      <c r="J289" s="371"/>
      <c r="K289" s="371"/>
      <c r="L289" s="371"/>
      <c r="M289" s="371"/>
      <c r="N289" s="371"/>
      <c r="O289" s="371"/>
      <c r="P289" s="371"/>
      <c r="Q289" s="371"/>
      <c r="R289" s="371"/>
      <c r="S289" s="371"/>
      <c r="T289" s="371"/>
      <c r="U289" s="371"/>
    </row>
    <row r="290" spans="3:21">
      <c r="C290" s="371"/>
      <c r="D290" s="371"/>
      <c r="E290" s="371"/>
      <c r="F290" s="371"/>
      <c r="G290" s="371"/>
      <c r="H290" s="371"/>
      <c r="I290" s="371"/>
      <c r="J290" s="371"/>
      <c r="K290" s="371"/>
      <c r="L290" s="371"/>
      <c r="M290" s="371"/>
      <c r="N290" s="371"/>
      <c r="O290" s="371"/>
      <c r="P290" s="371"/>
      <c r="Q290" s="371"/>
      <c r="R290" s="371"/>
      <c r="S290" s="371"/>
      <c r="T290" s="371"/>
      <c r="U290" s="371"/>
    </row>
    <row r="291" spans="3:21">
      <c r="C291" s="371"/>
      <c r="D291" s="371"/>
      <c r="E291" s="371"/>
      <c r="F291" s="371"/>
      <c r="G291" s="371"/>
      <c r="H291" s="371"/>
      <c r="I291" s="371"/>
      <c r="J291" s="371"/>
      <c r="K291" s="371"/>
      <c r="L291" s="371"/>
      <c r="M291" s="371"/>
      <c r="N291" s="371"/>
      <c r="O291" s="371"/>
      <c r="P291" s="371"/>
      <c r="Q291" s="371"/>
      <c r="R291" s="371"/>
      <c r="S291" s="371"/>
      <c r="T291" s="371"/>
      <c r="U291" s="371"/>
    </row>
    <row r="292" spans="3:21">
      <c r="C292" s="371"/>
      <c r="D292" s="371"/>
      <c r="E292" s="371"/>
      <c r="F292" s="371"/>
      <c r="G292" s="371"/>
      <c r="H292" s="371"/>
      <c r="I292" s="371"/>
      <c r="J292" s="371"/>
      <c r="K292" s="371"/>
      <c r="L292" s="371"/>
      <c r="M292" s="371"/>
      <c r="N292" s="371"/>
      <c r="O292" s="371"/>
      <c r="P292" s="371"/>
      <c r="Q292" s="371"/>
      <c r="R292" s="371"/>
      <c r="S292" s="371"/>
      <c r="T292" s="371"/>
      <c r="U292" s="371"/>
    </row>
    <row r="293" spans="3:21">
      <c r="C293" s="371"/>
      <c r="D293" s="371"/>
      <c r="E293" s="371"/>
      <c r="F293" s="371"/>
      <c r="G293" s="371"/>
      <c r="H293" s="371"/>
      <c r="I293" s="371"/>
      <c r="J293" s="371"/>
      <c r="K293" s="371"/>
      <c r="L293" s="371"/>
      <c r="M293" s="371"/>
      <c r="N293" s="371"/>
      <c r="O293" s="371"/>
      <c r="P293" s="371"/>
      <c r="Q293" s="371"/>
      <c r="R293" s="371"/>
      <c r="S293" s="371"/>
      <c r="T293" s="371"/>
      <c r="U293" s="371"/>
    </row>
    <row r="294" spans="3:21">
      <c r="C294" s="371"/>
      <c r="D294" s="371"/>
      <c r="E294" s="371"/>
      <c r="F294" s="371"/>
      <c r="G294" s="371"/>
      <c r="H294" s="371"/>
      <c r="I294" s="371"/>
      <c r="J294" s="371"/>
      <c r="K294" s="371"/>
      <c r="L294" s="371"/>
      <c r="M294" s="371"/>
      <c r="N294" s="371"/>
      <c r="O294" s="371"/>
      <c r="P294" s="371"/>
      <c r="Q294" s="371"/>
      <c r="R294" s="371"/>
      <c r="S294" s="371"/>
      <c r="T294" s="371"/>
      <c r="U294" s="371"/>
    </row>
    <row r="295" spans="3:21">
      <c r="C295" s="371"/>
      <c r="D295" s="371"/>
      <c r="E295" s="371"/>
      <c r="F295" s="371"/>
      <c r="G295" s="371"/>
      <c r="H295" s="371"/>
      <c r="I295" s="371"/>
      <c r="J295" s="371"/>
      <c r="K295" s="371"/>
      <c r="L295" s="371"/>
      <c r="M295" s="371"/>
      <c r="N295" s="371"/>
      <c r="O295" s="371"/>
      <c r="P295" s="371"/>
      <c r="Q295" s="371"/>
      <c r="R295" s="371"/>
      <c r="S295" s="371"/>
      <c r="T295" s="371"/>
      <c r="U295" s="371"/>
    </row>
    <row r="296" spans="3:21">
      <c r="C296" s="371"/>
      <c r="D296" s="371"/>
      <c r="E296" s="371"/>
      <c r="F296" s="371"/>
      <c r="G296" s="371"/>
      <c r="H296" s="371"/>
      <c r="I296" s="371"/>
      <c r="J296" s="371"/>
      <c r="K296" s="371"/>
      <c r="L296" s="371"/>
      <c r="M296" s="371"/>
      <c r="N296" s="371"/>
      <c r="O296" s="371"/>
      <c r="P296" s="371"/>
      <c r="Q296" s="371"/>
      <c r="R296" s="371"/>
      <c r="S296" s="371"/>
      <c r="T296" s="371"/>
      <c r="U296" s="371"/>
    </row>
    <row r="297" spans="3:21">
      <c r="C297" s="371"/>
      <c r="D297" s="371"/>
      <c r="E297" s="371"/>
      <c r="F297" s="371"/>
      <c r="G297" s="371"/>
      <c r="H297" s="371"/>
      <c r="I297" s="371"/>
      <c r="J297" s="371"/>
      <c r="K297" s="371"/>
      <c r="L297" s="371"/>
      <c r="M297" s="371"/>
      <c r="N297" s="371"/>
      <c r="O297" s="371"/>
      <c r="P297" s="371"/>
      <c r="Q297" s="371"/>
      <c r="R297" s="371"/>
      <c r="S297" s="371"/>
      <c r="T297" s="371"/>
      <c r="U297" s="371"/>
    </row>
    <row r="298" spans="3:21">
      <c r="C298" s="371"/>
      <c r="D298" s="371"/>
      <c r="E298" s="371"/>
      <c r="F298" s="371"/>
      <c r="G298" s="371"/>
      <c r="H298" s="371"/>
      <c r="I298" s="371"/>
      <c r="J298" s="371"/>
      <c r="K298" s="371"/>
      <c r="L298" s="371"/>
      <c r="M298" s="371"/>
      <c r="N298" s="371"/>
    </row>
    <row r="299" spans="3:21">
      <c r="C299" s="371"/>
      <c r="D299" s="371"/>
      <c r="E299" s="371"/>
      <c r="F299" s="371"/>
      <c r="G299" s="371"/>
      <c r="H299" s="371"/>
      <c r="I299" s="371"/>
      <c r="J299" s="371"/>
      <c r="K299" s="371"/>
      <c r="L299" s="371"/>
      <c r="M299" s="371"/>
      <c r="N299" s="371"/>
    </row>
    <row r="300" spans="3:21">
      <c r="C300" s="371"/>
      <c r="D300" s="371"/>
      <c r="E300" s="371"/>
      <c r="F300" s="371"/>
      <c r="G300" s="371"/>
      <c r="H300" s="371"/>
      <c r="I300" s="371"/>
      <c r="J300" s="371"/>
      <c r="K300" s="371"/>
      <c r="L300" s="371"/>
      <c r="M300" s="371"/>
      <c r="N300" s="371"/>
    </row>
    <row r="301" spans="3:21">
      <c r="C301" s="371"/>
      <c r="D301" s="371"/>
      <c r="E301" s="371"/>
      <c r="F301" s="371"/>
      <c r="G301" s="371"/>
      <c r="H301" s="371"/>
      <c r="I301" s="371"/>
      <c r="J301" s="371"/>
      <c r="K301" s="371"/>
      <c r="L301" s="371"/>
      <c r="M301" s="371"/>
      <c r="N301" s="371"/>
    </row>
    <row r="302" spans="3:21">
      <c r="C302" s="371"/>
      <c r="D302" s="371"/>
      <c r="E302" s="371"/>
      <c r="F302" s="371"/>
      <c r="G302" s="371"/>
      <c r="H302" s="371"/>
      <c r="I302" s="371"/>
      <c r="J302" s="371"/>
      <c r="K302" s="371"/>
      <c r="L302" s="371"/>
      <c r="M302" s="371"/>
      <c r="N302" s="371"/>
    </row>
    <row r="303" spans="3:21">
      <c r="C303" s="371"/>
      <c r="D303" s="371"/>
      <c r="E303" s="371"/>
      <c r="F303" s="371"/>
      <c r="G303" s="371"/>
      <c r="H303" s="371"/>
      <c r="I303" s="371"/>
      <c r="J303" s="371"/>
      <c r="K303" s="371"/>
      <c r="L303" s="371"/>
      <c r="M303" s="371"/>
      <c r="N303" s="371"/>
    </row>
    <row r="304" spans="3:21">
      <c r="C304" s="371"/>
      <c r="D304" s="371"/>
      <c r="E304" s="371"/>
      <c r="F304" s="371"/>
      <c r="G304" s="371"/>
      <c r="H304" s="371"/>
      <c r="I304" s="371"/>
      <c r="J304" s="371"/>
      <c r="K304" s="371"/>
      <c r="L304" s="371"/>
      <c r="M304" s="371"/>
      <c r="N304" s="371"/>
    </row>
    <row r="305" spans="3:14">
      <c r="C305" s="371"/>
      <c r="D305" s="371"/>
      <c r="E305" s="371"/>
      <c r="F305" s="371"/>
      <c r="G305" s="371"/>
      <c r="H305" s="371"/>
      <c r="I305" s="371"/>
      <c r="J305" s="371"/>
      <c r="K305" s="371"/>
      <c r="L305" s="371"/>
      <c r="M305" s="371"/>
      <c r="N305" s="371"/>
    </row>
  </sheetData>
  <mergeCells count="9">
    <mergeCell ref="F65:H65"/>
    <mergeCell ref="C100:N100"/>
    <mergeCell ref="C101:N101"/>
    <mergeCell ref="C102:N102"/>
    <mergeCell ref="C107:N107"/>
    <mergeCell ref="C103:N103"/>
    <mergeCell ref="C104:N104"/>
    <mergeCell ref="C105:N105"/>
    <mergeCell ref="C106:N106"/>
  </mergeCells>
  <phoneticPr fontId="4" type="noConversion"/>
  <pageMargins left="0.75" right="0.75" top="1" bottom="1" header="0.5" footer="0.5"/>
  <pageSetup scale="44" fitToHeight="0" orientation="landscape" r:id="rId1"/>
  <headerFooter alignWithMargins="0"/>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FBB3"/>
  </sheetPr>
  <dimension ref="A1:S65"/>
  <sheetViews>
    <sheetView showGridLines="0" topLeftCell="B22" workbookViewId="0">
      <selection activeCell="J66" sqref="J66"/>
    </sheetView>
  </sheetViews>
  <sheetFormatPr defaultRowHeight="12.75"/>
  <cols>
    <col min="1" max="1" width="18" style="447" customWidth="1"/>
    <col min="2" max="2" width="28.75" style="447" customWidth="1"/>
    <col min="3" max="15" width="12.125" style="447" customWidth="1"/>
    <col min="16" max="16" width="8" style="447" hidden="1" customWidth="1"/>
    <col min="17" max="17" width="12.25" style="447" bestFit="1" customWidth="1"/>
    <col min="18" max="16384" width="9" style="447"/>
  </cols>
  <sheetData>
    <row r="1" spans="1:16" s="585" customFormat="1" ht="18">
      <c r="A1" s="584" t="s">
        <v>565</v>
      </c>
    </row>
    <row r="2" spans="1:16">
      <c r="A2" s="586"/>
    </row>
    <row r="3" spans="1:16">
      <c r="A3" s="587" t="s">
        <v>566</v>
      </c>
      <c r="B3" s="588">
        <v>2013</v>
      </c>
      <c r="C3" s="589"/>
      <c r="D3" s="589"/>
      <c r="E3" s="589"/>
    </row>
    <row r="4" spans="1:16">
      <c r="A4" s="586"/>
      <c r="B4" s="589"/>
      <c r="C4" s="589"/>
      <c r="D4" s="589"/>
      <c r="E4" s="589"/>
    </row>
    <row r="5" spans="1:16">
      <c r="A5" s="587" t="s">
        <v>567</v>
      </c>
      <c r="B5" s="590" t="s">
        <v>315</v>
      </c>
      <c r="C5" s="589"/>
      <c r="D5" s="589"/>
      <c r="E5" s="589"/>
      <c r="I5" s="675"/>
    </row>
    <row r="6" spans="1:16">
      <c r="A6" s="586"/>
      <c r="B6" s="589"/>
      <c r="C6" s="589"/>
      <c r="D6" s="591"/>
      <c r="E6" s="591"/>
      <c r="F6" s="592"/>
      <c r="G6" s="592"/>
      <c r="H6" s="592"/>
      <c r="I6" s="592"/>
      <c r="J6" s="592"/>
      <c r="K6" s="592"/>
      <c r="L6" s="592"/>
      <c r="M6" s="592"/>
      <c r="N6" s="592"/>
      <c r="O6" s="592"/>
      <c r="P6" s="593" t="s">
        <v>568</v>
      </c>
    </row>
    <row r="7" spans="1:16">
      <c r="A7" s="594"/>
      <c r="B7" s="595" t="s">
        <v>569</v>
      </c>
      <c r="C7" s="596" t="s">
        <v>145</v>
      </c>
      <c r="D7" s="596" t="s">
        <v>146</v>
      </c>
      <c r="E7" s="596" t="s">
        <v>147</v>
      </c>
      <c r="F7" s="596" t="s">
        <v>148</v>
      </c>
      <c r="G7" s="596" t="s">
        <v>149</v>
      </c>
      <c r="H7" s="596" t="s">
        <v>301</v>
      </c>
      <c r="I7" s="596" t="s">
        <v>150</v>
      </c>
      <c r="J7" s="596" t="s">
        <v>151</v>
      </c>
      <c r="K7" s="596" t="s">
        <v>152</v>
      </c>
      <c r="L7" s="596" t="s">
        <v>191</v>
      </c>
      <c r="M7" s="596" t="s">
        <v>192</v>
      </c>
      <c r="N7" s="596" t="s">
        <v>302</v>
      </c>
      <c r="O7" s="596" t="s">
        <v>303</v>
      </c>
      <c r="P7" s="597" t="s">
        <v>570</v>
      </c>
    </row>
    <row r="8" spans="1:16">
      <c r="A8" s="594"/>
      <c r="B8" s="595" t="s">
        <v>13</v>
      </c>
      <c r="C8" s="598" t="s">
        <v>30</v>
      </c>
      <c r="D8" s="598" t="s">
        <v>30</v>
      </c>
      <c r="E8" s="598" t="s">
        <v>30</v>
      </c>
      <c r="F8" s="598" t="s">
        <v>30</v>
      </c>
      <c r="G8" s="598" t="s">
        <v>30</v>
      </c>
      <c r="H8" s="598" t="s">
        <v>30</v>
      </c>
      <c r="I8" s="598" t="s">
        <v>30</v>
      </c>
      <c r="J8" s="598" t="s">
        <v>30</v>
      </c>
      <c r="K8" s="598" t="s">
        <v>30</v>
      </c>
      <c r="L8" s="598" t="s">
        <v>30</v>
      </c>
      <c r="M8" s="598" t="s">
        <v>30</v>
      </c>
      <c r="N8" s="598" t="s">
        <v>30</v>
      </c>
      <c r="O8" s="598" t="s">
        <v>30</v>
      </c>
    </row>
    <row r="9" spans="1:16">
      <c r="A9" s="594"/>
      <c r="B9" s="595" t="s">
        <v>571</v>
      </c>
      <c r="C9" s="598" t="s">
        <v>570</v>
      </c>
      <c r="D9" s="598" t="s">
        <v>570</v>
      </c>
      <c r="E9" s="598" t="s">
        <v>568</v>
      </c>
      <c r="F9" s="598" t="s">
        <v>568</v>
      </c>
      <c r="G9" s="598" t="s">
        <v>568</v>
      </c>
      <c r="H9" s="598" t="s">
        <v>568</v>
      </c>
      <c r="I9" s="598" t="s">
        <v>568</v>
      </c>
      <c r="J9" s="598" t="s">
        <v>568</v>
      </c>
      <c r="K9" s="598" t="s">
        <v>570</v>
      </c>
      <c r="L9" s="598" t="s">
        <v>570</v>
      </c>
      <c r="M9" s="598" t="s">
        <v>570</v>
      </c>
      <c r="N9" s="598" t="s">
        <v>570</v>
      </c>
      <c r="O9" s="598" t="s">
        <v>568</v>
      </c>
    </row>
    <row r="10" spans="1:16">
      <c r="A10" s="599" t="s">
        <v>572</v>
      </c>
      <c r="B10" s="600" t="str">
        <f xml:space="preserve"> "December " &amp; B3-1</f>
        <v>December 2012</v>
      </c>
      <c r="C10" s="601">
        <v>7072818.7000000002</v>
      </c>
      <c r="D10" s="602">
        <v>3487897.51</v>
      </c>
      <c r="E10" s="601">
        <v>4462295.25</v>
      </c>
      <c r="F10" s="602">
        <v>7706681.2699999996</v>
      </c>
      <c r="G10" s="601">
        <v>29621441.993377004</v>
      </c>
      <c r="H10" s="602">
        <v>81447978.944292352</v>
      </c>
      <c r="I10" s="601">
        <v>22320420.929999996</v>
      </c>
      <c r="J10" s="602">
        <v>468201.81</v>
      </c>
      <c r="K10" s="601">
        <v>127736.33</v>
      </c>
      <c r="L10" s="602">
        <v>47486.63</v>
      </c>
      <c r="M10" s="601">
        <v>230828.44</v>
      </c>
      <c r="N10" s="602">
        <v>4366537.46</v>
      </c>
      <c r="O10" s="601">
        <v>452712.2</v>
      </c>
    </row>
    <row r="11" spans="1:16">
      <c r="A11" s="603" t="s">
        <v>573</v>
      </c>
      <c r="B11" s="604" t="str">
        <f xml:space="preserve"> "January " &amp; B3</f>
        <v>January 2013</v>
      </c>
      <c r="C11" s="605">
        <v>7072818.7000000002</v>
      </c>
      <c r="D11" s="606">
        <v>3487897.51</v>
      </c>
      <c r="E11" s="605">
        <v>4462295.25</v>
      </c>
      <c r="F11" s="606">
        <v>7706681.2699999996</v>
      </c>
      <c r="G11" s="605">
        <v>29693681.443377003</v>
      </c>
      <c r="H11" s="606">
        <v>83381525.934292361</v>
      </c>
      <c r="I11" s="605">
        <v>23638730.439999998</v>
      </c>
      <c r="J11" s="606">
        <v>468201.81</v>
      </c>
      <c r="K11" s="605">
        <v>127736.33</v>
      </c>
      <c r="L11" s="606">
        <v>47486.63</v>
      </c>
      <c r="M11" s="605">
        <v>230828.44</v>
      </c>
      <c r="N11" s="606">
        <v>4362435.3811265249</v>
      </c>
      <c r="O11" s="605">
        <v>389178.03435062128</v>
      </c>
    </row>
    <row r="12" spans="1:16">
      <c r="A12" s="603"/>
      <c r="B12" s="607" t="s">
        <v>574</v>
      </c>
      <c r="C12" s="605">
        <v>7072818.7000000002</v>
      </c>
      <c r="D12" s="606">
        <v>3487897.51</v>
      </c>
      <c r="E12" s="605">
        <v>4462295.25</v>
      </c>
      <c r="F12" s="606">
        <v>7706681.2699999996</v>
      </c>
      <c r="G12" s="605">
        <v>30055542.423377004</v>
      </c>
      <c r="H12" s="606">
        <v>88796054.424292341</v>
      </c>
      <c r="I12" s="605">
        <v>25498709.139999997</v>
      </c>
      <c r="J12" s="606">
        <v>468201.81</v>
      </c>
      <c r="K12" s="605">
        <v>127736.33</v>
      </c>
      <c r="L12" s="606">
        <v>47486.63</v>
      </c>
      <c r="M12" s="605">
        <v>230828.44</v>
      </c>
      <c r="N12" s="606">
        <v>4360060.6929160235</v>
      </c>
      <c r="O12" s="605">
        <v>390813.69777410326</v>
      </c>
    </row>
    <row r="13" spans="1:16">
      <c r="A13" s="603"/>
      <c r="B13" s="607" t="s">
        <v>575</v>
      </c>
      <c r="C13" s="605">
        <v>7072818.7000000002</v>
      </c>
      <c r="D13" s="606">
        <v>3487897.51</v>
      </c>
      <c r="E13" s="605">
        <v>4462295.25</v>
      </c>
      <c r="F13" s="606">
        <v>7706681.2699999996</v>
      </c>
      <c r="G13" s="605">
        <v>30136782.243377004</v>
      </c>
      <c r="H13" s="606">
        <v>93170941.934292346</v>
      </c>
      <c r="I13" s="605">
        <v>27653884.569999993</v>
      </c>
      <c r="J13" s="606">
        <v>468201.81</v>
      </c>
      <c r="K13" s="605">
        <v>127736.33</v>
      </c>
      <c r="L13" s="606">
        <v>47486.63</v>
      </c>
      <c r="M13" s="605">
        <v>230828.44</v>
      </c>
      <c r="N13" s="606">
        <v>3888240.7891477109</v>
      </c>
      <c r="O13" s="605">
        <v>392731.90505238646</v>
      </c>
    </row>
    <row r="14" spans="1:16">
      <c r="A14" s="603"/>
      <c r="B14" s="607" t="s">
        <v>576</v>
      </c>
      <c r="C14" s="605">
        <v>7072818.7000000002</v>
      </c>
      <c r="D14" s="606">
        <v>3487897.51</v>
      </c>
      <c r="E14" s="605">
        <v>4462295.25</v>
      </c>
      <c r="F14" s="606">
        <v>7706681.2699999996</v>
      </c>
      <c r="G14" s="605">
        <v>29779994.883377001</v>
      </c>
      <c r="H14" s="606">
        <v>96668513.224292353</v>
      </c>
      <c r="I14" s="605">
        <v>25081059.159999993</v>
      </c>
      <c r="J14" s="606">
        <v>468201.81</v>
      </c>
      <c r="K14" s="605">
        <v>127736.33</v>
      </c>
      <c r="L14" s="606">
        <v>47486.63</v>
      </c>
      <c r="M14" s="605">
        <v>230828.44</v>
      </c>
      <c r="N14" s="606">
        <v>3892310.7497824337</v>
      </c>
      <c r="O14" s="605">
        <v>7415840.012316226</v>
      </c>
    </row>
    <row r="15" spans="1:16">
      <c r="A15" s="603"/>
      <c r="B15" s="607" t="s">
        <v>61</v>
      </c>
      <c r="C15" s="605">
        <v>7072818.7000000002</v>
      </c>
      <c r="D15" s="606">
        <v>3487897.51</v>
      </c>
      <c r="E15" s="605">
        <v>4462295.25</v>
      </c>
      <c r="F15" s="606">
        <v>7706681.2699999996</v>
      </c>
      <c r="G15" s="605">
        <v>30031399.483377002</v>
      </c>
      <c r="H15" s="606">
        <v>101040140.25429235</v>
      </c>
      <c r="I15" s="605">
        <v>27852248.959999997</v>
      </c>
      <c r="J15" s="606">
        <v>468201.81</v>
      </c>
      <c r="K15" s="605">
        <v>127736.33</v>
      </c>
      <c r="L15" s="606">
        <v>47486.63</v>
      </c>
      <c r="M15" s="605">
        <v>230828.44</v>
      </c>
      <c r="N15" s="606">
        <v>3892310.7497824337</v>
      </c>
      <c r="O15" s="605">
        <v>7451648.4863075437</v>
      </c>
    </row>
    <row r="16" spans="1:16">
      <c r="A16" s="603"/>
      <c r="B16" s="607" t="s">
        <v>577</v>
      </c>
      <c r="C16" s="605">
        <v>7072818.7000000002</v>
      </c>
      <c r="D16" s="606">
        <v>3487897.51</v>
      </c>
      <c r="E16" s="605">
        <v>4462295.25</v>
      </c>
      <c r="F16" s="606">
        <v>7706681.2699999996</v>
      </c>
      <c r="G16" s="605">
        <v>30097386.223377001</v>
      </c>
      <c r="H16" s="606">
        <v>105165818.02429236</v>
      </c>
      <c r="I16" s="605">
        <v>29768625.649999999</v>
      </c>
      <c r="J16" s="606">
        <v>468201.81</v>
      </c>
      <c r="K16" s="605">
        <v>127736.33</v>
      </c>
      <c r="L16" s="606">
        <v>47486.63</v>
      </c>
      <c r="M16" s="605">
        <v>230828.44</v>
      </c>
      <c r="N16" s="606">
        <v>3892307.1790441428</v>
      </c>
      <c r="O16" s="605">
        <v>7006218.333426361</v>
      </c>
    </row>
    <row r="17" spans="1:15">
      <c r="A17" s="603"/>
      <c r="B17" s="607" t="s">
        <v>578</v>
      </c>
      <c r="C17" s="605">
        <v>7072818.7000000002</v>
      </c>
      <c r="D17" s="606">
        <v>3487897.51</v>
      </c>
      <c r="E17" s="605">
        <v>4462295.25</v>
      </c>
      <c r="F17" s="606">
        <v>7706681.2699999996</v>
      </c>
      <c r="G17" s="605">
        <v>30051922.363377001</v>
      </c>
      <c r="H17" s="606">
        <v>109729250.67429234</v>
      </c>
      <c r="I17" s="605">
        <v>33686607.189999998</v>
      </c>
      <c r="J17" s="606">
        <v>468201.81</v>
      </c>
      <c r="K17" s="605">
        <v>127736.33</v>
      </c>
      <c r="L17" s="606">
        <v>47486.63</v>
      </c>
      <c r="M17" s="605">
        <v>230828.44</v>
      </c>
      <c r="N17" s="606">
        <v>3892307.1790441428</v>
      </c>
      <c r="O17" s="605">
        <v>7031246.6463001138</v>
      </c>
    </row>
    <row r="18" spans="1:15">
      <c r="A18" s="603"/>
      <c r="B18" s="607" t="s">
        <v>579</v>
      </c>
      <c r="C18" s="605">
        <v>7072818.7000000002</v>
      </c>
      <c r="D18" s="606">
        <v>3487897.51</v>
      </c>
      <c r="E18" s="605">
        <v>4462295.25</v>
      </c>
      <c r="F18" s="606">
        <v>7706681.2699999996</v>
      </c>
      <c r="G18" s="605">
        <v>30157437.753377002</v>
      </c>
      <c r="H18" s="606">
        <v>118697056.50429234</v>
      </c>
      <c r="I18" s="605">
        <v>41541961.879999995</v>
      </c>
      <c r="J18" s="606">
        <v>468201.81</v>
      </c>
      <c r="K18" s="605">
        <v>127736.33</v>
      </c>
      <c r="L18" s="606">
        <v>47486.63</v>
      </c>
      <c r="M18" s="605">
        <v>230828.44</v>
      </c>
      <c r="N18" s="606">
        <v>3892307.1690441431</v>
      </c>
      <c r="O18" s="605">
        <v>7106917.447035633</v>
      </c>
    </row>
    <row r="19" spans="1:15">
      <c r="A19" s="603"/>
      <c r="B19" s="607" t="s">
        <v>580</v>
      </c>
      <c r="C19" s="605">
        <v>7072818.7000000002</v>
      </c>
      <c r="D19" s="606">
        <v>3487897.51</v>
      </c>
      <c r="E19" s="605">
        <v>4462295.25</v>
      </c>
      <c r="F19" s="606">
        <v>7706681.2699999996</v>
      </c>
      <c r="G19" s="605">
        <v>30226463.263377003</v>
      </c>
      <c r="H19" s="606">
        <v>126943477.58429234</v>
      </c>
      <c r="I19" s="605">
        <v>52222185.919999994</v>
      </c>
      <c r="J19" s="606">
        <v>468201.81</v>
      </c>
      <c r="K19" s="605">
        <v>127736.33</v>
      </c>
      <c r="L19" s="606">
        <v>47486.63</v>
      </c>
      <c r="M19" s="605">
        <v>230828.44</v>
      </c>
      <c r="N19" s="606">
        <v>3892307.1690441431</v>
      </c>
      <c r="O19" s="605">
        <v>15556740.929266486</v>
      </c>
    </row>
    <row r="20" spans="1:15">
      <c r="A20" s="603"/>
      <c r="B20" s="607" t="s">
        <v>581</v>
      </c>
      <c r="C20" s="605">
        <v>7072818.7000000002</v>
      </c>
      <c r="D20" s="606">
        <v>3487897.51</v>
      </c>
      <c r="E20" s="605">
        <v>4462295.25</v>
      </c>
      <c r="F20" s="606">
        <v>7706681.2699999996</v>
      </c>
      <c r="G20" s="605">
        <v>30242068.093377005</v>
      </c>
      <c r="H20" s="606">
        <v>133408202.39429234</v>
      </c>
      <c r="I20" s="605">
        <v>61452759.829999998</v>
      </c>
      <c r="J20" s="606">
        <v>468201.81</v>
      </c>
      <c r="K20" s="605">
        <v>127736.33</v>
      </c>
      <c r="L20" s="606">
        <v>47486.63</v>
      </c>
      <c r="M20" s="605">
        <v>230828.44</v>
      </c>
      <c r="N20" s="606">
        <v>3892307.1690441431</v>
      </c>
      <c r="O20" s="605">
        <v>15675949.014801346</v>
      </c>
    </row>
    <row r="21" spans="1:15">
      <c r="A21" s="603"/>
      <c r="B21" s="607" t="s">
        <v>582</v>
      </c>
      <c r="C21" s="605">
        <v>7072818.7000000002</v>
      </c>
      <c r="D21" s="606">
        <v>3487897.51</v>
      </c>
      <c r="E21" s="605">
        <v>4462295.25</v>
      </c>
      <c r="F21" s="606">
        <v>7706681.2699999996</v>
      </c>
      <c r="G21" s="605">
        <v>30222360.653377004</v>
      </c>
      <c r="H21" s="606">
        <v>142524980.02429235</v>
      </c>
      <c r="I21" s="605">
        <v>80035180.280000001</v>
      </c>
      <c r="J21" s="606">
        <v>468201.81</v>
      </c>
      <c r="K21" s="605">
        <v>127736.33</v>
      </c>
      <c r="L21" s="606">
        <v>47486.63</v>
      </c>
      <c r="M21" s="605">
        <v>230828.44</v>
      </c>
      <c r="N21" s="606">
        <v>3892307.1690441431</v>
      </c>
      <c r="O21" s="605">
        <v>17485492.6212954</v>
      </c>
    </row>
    <row r="22" spans="1:15">
      <c r="A22" s="608"/>
      <c r="B22" s="609" t="str">
        <f xml:space="preserve"> "December " &amp; B3</f>
        <v>December 2013</v>
      </c>
      <c r="C22" s="610">
        <v>7072818.7000000002</v>
      </c>
      <c r="D22" s="611">
        <v>3487897.51</v>
      </c>
      <c r="E22" s="610">
        <v>4462295.25</v>
      </c>
      <c r="F22" s="611">
        <v>7706681.2699999996</v>
      </c>
      <c r="G22" s="610">
        <v>30251287.713377003</v>
      </c>
      <c r="H22" s="611">
        <v>152978579.45429236</v>
      </c>
      <c r="I22" s="610">
        <v>87513073.799999982</v>
      </c>
      <c r="J22" s="611">
        <v>468201.81</v>
      </c>
      <c r="K22" s="610">
        <v>127736.33</v>
      </c>
      <c r="L22" s="611">
        <v>47486.63</v>
      </c>
      <c r="M22" s="610">
        <v>230828.44</v>
      </c>
      <c r="N22" s="611">
        <v>3892307.1690441431</v>
      </c>
      <c r="O22" s="610">
        <v>20534157.985782377</v>
      </c>
    </row>
    <row r="23" spans="1:15">
      <c r="A23" s="612"/>
      <c r="B23" s="613" t="s">
        <v>583</v>
      </c>
      <c r="C23" s="614">
        <f>AVERAGE(C10:C22)</f>
        <v>7072818.700000002</v>
      </c>
      <c r="D23" s="615">
        <f>AVERAGE(D10:D22)</f>
        <v>3487897.5099999984</v>
      </c>
      <c r="E23" s="614">
        <f t="shared" ref="E23:O23" si="0">AVERAGE(E10:E22)</f>
        <v>4462295.25</v>
      </c>
      <c r="F23" s="615">
        <f t="shared" si="0"/>
        <v>7706681.2699999968</v>
      </c>
      <c r="G23" s="614">
        <f t="shared" si="0"/>
        <v>30043674.50260777</v>
      </c>
      <c r="H23" s="615">
        <f t="shared" si="0"/>
        <v>110304039.95198463</v>
      </c>
      <c r="I23" s="614">
        <f t="shared" si="0"/>
        <v>41405034.442307681</v>
      </c>
      <c r="J23" s="615">
        <f t="shared" si="0"/>
        <v>468201.80999999988</v>
      </c>
      <c r="K23" s="614">
        <f t="shared" si="0"/>
        <v>127736.33000000002</v>
      </c>
      <c r="L23" s="615">
        <f t="shared" si="0"/>
        <v>47486.63</v>
      </c>
      <c r="M23" s="614">
        <f t="shared" si="0"/>
        <v>230828.43999999997</v>
      </c>
      <c r="N23" s="615">
        <f t="shared" si="0"/>
        <v>4000618.9250818565</v>
      </c>
      <c r="O23" s="614">
        <f t="shared" si="0"/>
        <v>8222280.5625929693</v>
      </c>
    </row>
    <row r="24" spans="1:15">
      <c r="A24" s="612"/>
      <c r="B24" s="613"/>
      <c r="C24" s="616"/>
      <c r="D24" s="616"/>
      <c r="E24" s="616"/>
      <c r="F24" s="616"/>
      <c r="G24" s="616"/>
      <c r="H24" s="616"/>
      <c r="I24" s="616"/>
      <c r="J24" s="616"/>
      <c r="K24" s="616"/>
      <c r="L24" s="616"/>
      <c r="M24" s="616"/>
      <c r="N24" s="616"/>
      <c r="O24" s="616"/>
    </row>
    <row r="25" spans="1:15">
      <c r="A25" s="612"/>
      <c r="B25" s="613"/>
      <c r="C25" s="616"/>
      <c r="D25" s="616"/>
      <c r="E25" s="616"/>
      <c r="F25" s="616"/>
      <c r="G25" s="616"/>
      <c r="H25" s="616"/>
      <c r="I25" s="616"/>
      <c r="J25" s="616"/>
      <c r="K25" s="616"/>
      <c r="L25" s="616"/>
      <c r="M25" s="616"/>
      <c r="N25" s="616"/>
      <c r="O25" s="616"/>
    </row>
    <row r="26" spans="1:15">
      <c r="A26" s="599" t="s">
        <v>584</v>
      </c>
      <c r="B26" s="600" t="str">
        <f>B10</f>
        <v>December 2012</v>
      </c>
      <c r="C26" s="601">
        <v>859109.47999999928</v>
      </c>
      <c r="D26" s="602">
        <v>416028.48</v>
      </c>
      <c r="E26" s="601">
        <v>239269.57500000007</v>
      </c>
      <c r="F26" s="602">
        <v>413234.4</v>
      </c>
      <c r="G26" s="601">
        <v>157375.36581316905</v>
      </c>
      <c r="H26" s="602">
        <v>723286.14019973716</v>
      </c>
      <c r="I26" s="601">
        <v>0</v>
      </c>
      <c r="J26" s="602">
        <v>24927.69</v>
      </c>
      <c r="K26" s="601">
        <v>11276.52</v>
      </c>
      <c r="L26" s="602">
        <v>6697.35</v>
      </c>
      <c r="M26" s="601">
        <v>23170.13</v>
      </c>
      <c r="N26" s="602">
        <v>66127.521320388711</v>
      </c>
      <c r="O26" s="601">
        <v>0</v>
      </c>
    </row>
    <row r="27" spans="1:15">
      <c r="A27" s="603" t="s">
        <v>585</v>
      </c>
      <c r="B27" s="604" t="str">
        <f>B11</f>
        <v>January 2013</v>
      </c>
      <c r="C27" s="605">
        <v>874588.92999999924</v>
      </c>
      <c r="D27" s="606">
        <v>423662.03</v>
      </c>
      <c r="E27" s="605">
        <v>249035.68</v>
      </c>
      <c r="F27" s="606">
        <v>430101.11</v>
      </c>
      <c r="G27" s="605">
        <v>202727.25941246201</v>
      </c>
      <c r="H27" s="606">
        <v>767990.8281560085</v>
      </c>
      <c r="I27" s="605">
        <v>0</v>
      </c>
      <c r="J27" s="606">
        <v>25952.39</v>
      </c>
      <c r="K27" s="605">
        <v>11556.08</v>
      </c>
      <c r="L27" s="606">
        <v>6790.52</v>
      </c>
      <c r="M27" s="605">
        <v>23583.23</v>
      </c>
      <c r="N27" s="606">
        <v>71767.33962161497</v>
      </c>
      <c r="O27" s="605">
        <v>0</v>
      </c>
    </row>
    <row r="28" spans="1:15">
      <c r="A28" s="603"/>
      <c r="B28" s="617" t="s">
        <v>574</v>
      </c>
      <c r="C28" s="605">
        <v>890068.37999999919</v>
      </c>
      <c r="D28" s="606">
        <v>431295.58</v>
      </c>
      <c r="E28" s="605">
        <v>258801.78500000009</v>
      </c>
      <c r="F28" s="606">
        <v>446967.82</v>
      </c>
      <c r="G28" s="605">
        <v>251754.86891378229</v>
      </c>
      <c r="H28" s="606">
        <v>815253.06427038158</v>
      </c>
      <c r="I28" s="605">
        <v>0</v>
      </c>
      <c r="J28" s="606">
        <v>26977.09</v>
      </c>
      <c r="K28" s="605">
        <v>11835.64</v>
      </c>
      <c r="L28" s="606">
        <v>6883.69</v>
      </c>
      <c r="M28" s="605">
        <v>23996.33</v>
      </c>
      <c r="N28" s="606">
        <v>77743.529067346914</v>
      </c>
      <c r="O28" s="605">
        <v>0</v>
      </c>
    </row>
    <row r="29" spans="1:15">
      <c r="A29" s="603"/>
      <c r="B29" s="617" t="s">
        <v>575</v>
      </c>
      <c r="C29" s="605">
        <v>905547.82999999914</v>
      </c>
      <c r="D29" s="606">
        <v>438929.13</v>
      </c>
      <c r="E29" s="605">
        <v>268567.89</v>
      </c>
      <c r="F29" s="606">
        <v>463834.53</v>
      </c>
      <c r="G29" s="605">
        <v>300891.64406617312</v>
      </c>
      <c r="H29" s="606">
        <v>862590.0892815328</v>
      </c>
      <c r="I29" s="605">
        <v>320.2153644799767</v>
      </c>
      <c r="J29" s="606">
        <v>28001.79</v>
      </c>
      <c r="K29" s="605">
        <v>12115.2</v>
      </c>
      <c r="L29" s="606">
        <v>6976.86</v>
      </c>
      <c r="M29" s="605">
        <v>24409.43</v>
      </c>
      <c r="N29" s="606">
        <v>83717.738659797818</v>
      </c>
      <c r="O29" s="605">
        <v>0</v>
      </c>
    </row>
    <row r="30" spans="1:15">
      <c r="A30" s="603"/>
      <c r="B30" s="617" t="s">
        <v>576</v>
      </c>
      <c r="C30" s="605">
        <v>921027.2799999991</v>
      </c>
      <c r="D30" s="606">
        <v>446562.68</v>
      </c>
      <c r="E30" s="605">
        <v>278333.99500000005</v>
      </c>
      <c r="F30" s="606">
        <v>480701.24</v>
      </c>
      <c r="G30" s="605">
        <v>350131.61897007551</v>
      </c>
      <c r="H30" s="606">
        <v>909943.20580998762</v>
      </c>
      <c r="I30" s="605">
        <v>960.64609343993016</v>
      </c>
      <c r="J30" s="606">
        <v>29026.49</v>
      </c>
      <c r="K30" s="605">
        <v>12394.76</v>
      </c>
      <c r="L30" s="606">
        <v>7070.03</v>
      </c>
      <c r="M30" s="605">
        <v>24822.53</v>
      </c>
      <c r="N30" s="606">
        <v>89695.611600514982</v>
      </c>
      <c r="O30" s="605">
        <v>6144.4276261625273</v>
      </c>
    </row>
    <row r="31" spans="1:15">
      <c r="A31" s="603"/>
      <c r="B31" s="617" t="s">
        <v>61</v>
      </c>
      <c r="C31" s="605">
        <v>936506.72999999905</v>
      </c>
      <c r="D31" s="606">
        <v>454196.23</v>
      </c>
      <c r="E31" s="605">
        <v>288100.09999999998</v>
      </c>
      <c r="F31" s="606">
        <v>497567.95</v>
      </c>
      <c r="G31" s="605">
        <v>399502.30216133239</v>
      </c>
      <c r="H31" s="606">
        <v>957302.97436187696</v>
      </c>
      <c r="I31" s="605">
        <v>1601.0768223998834</v>
      </c>
      <c r="J31" s="606">
        <v>30051.19</v>
      </c>
      <c r="K31" s="605">
        <v>12674.32</v>
      </c>
      <c r="L31" s="606">
        <v>7163.2</v>
      </c>
      <c r="M31" s="605">
        <v>25235.63</v>
      </c>
      <c r="N31" s="606">
        <v>95677.048367392868</v>
      </c>
      <c r="O31" s="605">
        <v>18441.490452886996</v>
      </c>
    </row>
    <row r="32" spans="1:15">
      <c r="A32" s="603"/>
      <c r="B32" s="617" t="s">
        <v>577</v>
      </c>
      <c r="C32" s="605">
        <v>951986.179999999</v>
      </c>
      <c r="D32" s="606">
        <v>461829.78</v>
      </c>
      <c r="E32" s="605">
        <v>297866.20500000002</v>
      </c>
      <c r="F32" s="606">
        <v>514434.66</v>
      </c>
      <c r="G32" s="605">
        <v>448898.01537334279</v>
      </c>
      <c r="H32" s="606">
        <v>1004695.0192834424</v>
      </c>
      <c r="I32" s="605">
        <v>2241.5075513598367</v>
      </c>
      <c r="J32" s="606">
        <v>31075.89</v>
      </c>
      <c r="K32" s="605">
        <v>12953.88</v>
      </c>
      <c r="L32" s="606">
        <v>7256.37</v>
      </c>
      <c r="M32" s="605">
        <v>25648.73</v>
      </c>
      <c r="N32" s="606">
        <v>101658.48200758436</v>
      </c>
      <c r="O32" s="605">
        <v>30304.680297453302</v>
      </c>
    </row>
    <row r="33" spans="1:17">
      <c r="A33" s="603"/>
      <c r="B33" s="617" t="s">
        <v>578</v>
      </c>
      <c r="C33" s="605">
        <v>967465.62999999896</v>
      </c>
      <c r="D33" s="606">
        <v>469463.33</v>
      </c>
      <c r="E33" s="605">
        <v>307632.31</v>
      </c>
      <c r="F33" s="606">
        <v>531301.37</v>
      </c>
      <c r="G33" s="605">
        <v>498272.03622222529</v>
      </c>
      <c r="H33" s="606">
        <v>1052120.6503404907</v>
      </c>
      <c r="I33" s="605">
        <v>2881.93828031979</v>
      </c>
      <c r="J33" s="606">
        <v>32100.59</v>
      </c>
      <c r="K33" s="605">
        <v>13233.44</v>
      </c>
      <c r="L33" s="606">
        <v>7349.54</v>
      </c>
      <c r="M33" s="605">
        <v>26061.83</v>
      </c>
      <c r="N33" s="606">
        <v>107639.91252108946</v>
      </c>
      <c r="O33" s="605">
        <v>41746.755920812378</v>
      </c>
    </row>
    <row r="34" spans="1:17">
      <c r="A34" s="603"/>
      <c r="B34" s="617" t="s">
        <v>579</v>
      </c>
      <c r="C34" s="605">
        <v>982945.07999999891</v>
      </c>
      <c r="D34" s="606">
        <v>477096.88</v>
      </c>
      <c r="E34" s="605">
        <v>317398.41499999998</v>
      </c>
      <c r="F34" s="606">
        <v>548168.07999999996</v>
      </c>
      <c r="G34" s="605">
        <v>547643.48409203894</v>
      </c>
      <c r="H34" s="606">
        <v>1099551.9414082814</v>
      </c>
      <c r="I34" s="605">
        <v>3522.3690092797433</v>
      </c>
      <c r="J34" s="606">
        <v>33125.29</v>
      </c>
      <c r="K34" s="605">
        <v>13513</v>
      </c>
      <c r="L34" s="606">
        <v>7442.71</v>
      </c>
      <c r="M34" s="605">
        <v>26474.93</v>
      </c>
      <c r="N34" s="606">
        <v>113621.34302583814</v>
      </c>
      <c r="O34" s="605">
        <v>53245.546619501314</v>
      </c>
    </row>
    <row r="35" spans="1:17">
      <c r="A35" s="603"/>
      <c r="B35" s="617" t="s">
        <v>580</v>
      </c>
      <c r="C35" s="605">
        <v>998424.52999999886</v>
      </c>
      <c r="D35" s="606">
        <v>484730.43</v>
      </c>
      <c r="E35" s="605">
        <v>327164.52</v>
      </c>
      <c r="F35" s="606">
        <v>565034.79</v>
      </c>
      <c r="G35" s="605">
        <v>597103.19399050623</v>
      </c>
      <c r="H35" s="606">
        <v>1146989.4611135309</v>
      </c>
      <c r="I35" s="605">
        <v>4162.799738239697</v>
      </c>
      <c r="J35" s="606">
        <v>34149.99</v>
      </c>
      <c r="K35" s="605">
        <v>13792.56</v>
      </c>
      <c r="L35" s="606">
        <v>7535.88</v>
      </c>
      <c r="M35" s="605">
        <v>26888.03</v>
      </c>
      <c r="N35" s="606">
        <v>119602.77352183042</v>
      </c>
      <c r="O35" s="605">
        <v>72019.847877453954</v>
      </c>
    </row>
    <row r="36" spans="1:17">
      <c r="A36" s="603"/>
      <c r="B36" s="617" t="s">
        <v>581</v>
      </c>
      <c r="C36" s="605">
        <v>1013903.98</v>
      </c>
      <c r="D36" s="606">
        <v>492363.98</v>
      </c>
      <c r="E36" s="605">
        <v>336930.62499999994</v>
      </c>
      <c r="F36" s="606">
        <v>581901.5</v>
      </c>
      <c r="G36" s="605">
        <v>646632.35172421683</v>
      </c>
      <c r="H36" s="606">
        <v>1194433.829036854</v>
      </c>
      <c r="I36" s="605">
        <v>4803.2304671996508</v>
      </c>
      <c r="J36" s="606">
        <v>35174.69</v>
      </c>
      <c r="K36" s="605">
        <v>14072.12</v>
      </c>
      <c r="L36" s="606">
        <v>7629.05</v>
      </c>
      <c r="M36" s="605">
        <v>27301.13</v>
      </c>
      <c r="N36" s="606">
        <v>125584.20401782269</v>
      </c>
      <c r="O36" s="605">
        <v>98134.369033852956</v>
      </c>
    </row>
    <row r="37" spans="1:17">
      <c r="A37" s="603"/>
      <c r="B37" s="617" t="s">
        <v>582</v>
      </c>
      <c r="C37" s="605">
        <v>1029383.43</v>
      </c>
      <c r="D37" s="606">
        <v>499997.5299999995</v>
      </c>
      <c r="E37" s="605">
        <v>346696.73</v>
      </c>
      <c r="F37" s="606">
        <v>598768.21</v>
      </c>
      <c r="G37" s="605">
        <v>696158.29971102416</v>
      </c>
      <c r="H37" s="606">
        <v>1242082.4256597736</v>
      </c>
      <c r="I37" s="605">
        <v>5443.6611961596045</v>
      </c>
      <c r="J37" s="606">
        <v>36199.39</v>
      </c>
      <c r="K37" s="605">
        <v>14351.68</v>
      </c>
      <c r="L37" s="606">
        <v>7722.22</v>
      </c>
      <c r="M37" s="605">
        <v>27714.23</v>
      </c>
      <c r="N37" s="606">
        <v>131565.63451381496</v>
      </c>
      <c r="O37" s="605">
        <v>125834.79577382885</v>
      </c>
    </row>
    <row r="38" spans="1:17">
      <c r="A38" s="608"/>
      <c r="B38" s="609" t="str">
        <f>+B22</f>
        <v>December 2013</v>
      </c>
      <c r="C38" s="610">
        <v>1044862.88</v>
      </c>
      <c r="D38" s="611">
        <v>507631.07999999949</v>
      </c>
      <c r="E38" s="610">
        <v>356462.8349999999</v>
      </c>
      <c r="F38" s="611">
        <v>615634.92000000004</v>
      </c>
      <c r="G38" s="610">
        <v>745700.44662058575</v>
      </c>
      <c r="H38" s="611">
        <v>1289758.3134485034</v>
      </c>
      <c r="I38" s="610">
        <v>6084.0919251195583</v>
      </c>
      <c r="J38" s="611">
        <v>37224.089999999997</v>
      </c>
      <c r="K38" s="610">
        <v>14631.24</v>
      </c>
      <c r="L38" s="611">
        <v>7815.39</v>
      </c>
      <c r="M38" s="610">
        <v>28127.33</v>
      </c>
      <c r="N38" s="611">
        <v>137547.06500980724</v>
      </c>
      <c r="O38" s="610">
        <v>157693.75689132104</v>
      </c>
    </row>
    <row r="39" spans="1:17">
      <c r="A39" s="612"/>
      <c r="B39" s="613" t="s">
        <v>583</v>
      </c>
      <c r="C39" s="614">
        <f t="shared" ref="C39:O39" si="1">AVERAGE(C26:C38)</f>
        <v>951986.17999999947</v>
      </c>
      <c r="D39" s="615">
        <f t="shared" si="1"/>
        <v>461829.77999999985</v>
      </c>
      <c r="E39" s="614">
        <f t="shared" si="1"/>
        <v>297866.20500000002</v>
      </c>
      <c r="F39" s="615">
        <f t="shared" si="1"/>
        <v>514434.66000000003</v>
      </c>
      <c r="G39" s="614">
        <f t="shared" si="1"/>
        <v>449445.45285161032</v>
      </c>
      <c r="H39" s="615">
        <f t="shared" si="1"/>
        <v>1005076.7647977232</v>
      </c>
      <c r="I39" s="614">
        <f t="shared" si="1"/>
        <v>2463.1951113844361</v>
      </c>
      <c r="J39" s="615">
        <f t="shared" si="1"/>
        <v>31075.889999999996</v>
      </c>
      <c r="K39" s="614">
        <f t="shared" si="1"/>
        <v>12953.880000000001</v>
      </c>
      <c r="L39" s="615">
        <f t="shared" si="1"/>
        <v>7256.3700000000008</v>
      </c>
      <c r="M39" s="614">
        <f t="shared" si="1"/>
        <v>25648.73</v>
      </c>
      <c r="N39" s="615">
        <f t="shared" si="1"/>
        <v>101688.32332729564</v>
      </c>
      <c r="O39" s="614">
        <f t="shared" si="1"/>
        <v>46428.128499482562</v>
      </c>
    </row>
    <row r="40" spans="1:17" s="592" customFormat="1">
      <c r="A40" s="618"/>
      <c r="B40" s="619"/>
      <c r="C40" s="616"/>
      <c r="D40" s="616"/>
      <c r="E40" s="616"/>
      <c r="F40" s="616"/>
      <c r="G40" s="616"/>
      <c r="H40" s="616"/>
      <c r="I40" s="616"/>
      <c r="J40" s="616"/>
      <c r="K40" s="616"/>
      <c r="L40" s="616"/>
      <c r="M40" s="616"/>
      <c r="N40" s="616"/>
      <c r="O40" s="616"/>
      <c r="Q40" s="447"/>
    </row>
    <row r="41" spans="1:17">
      <c r="A41" s="612"/>
      <c r="B41" s="620"/>
      <c r="C41" s="621"/>
      <c r="D41" s="621"/>
      <c r="E41" s="621"/>
      <c r="F41" s="621"/>
      <c r="G41" s="621"/>
      <c r="H41" s="621"/>
      <c r="I41" s="621"/>
      <c r="J41" s="621"/>
      <c r="K41" s="621"/>
      <c r="L41" s="621"/>
      <c r="M41" s="621"/>
      <c r="N41" s="621"/>
      <c r="O41" s="621"/>
    </row>
    <row r="42" spans="1:17">
      <c r="A42" s="612"/>
      <c r="B42" s="622"/>
      <c r="C42" s="623"/>
      <c r="D42" s="623"/>
      <c r="E42" s="623"/>
      <c r="F42" s="623"/>
      <c r="G42" s="623"/>
      <c r="H42" s="623"/>
      <c r="I42" s="623"/>
      <c r="J42" s="623"/>
      <c r="K42" s="623"/>
      <c r="L42" s="623"/>
      <c r="M42" s="623"/>
      <c r="N42" s="623"/>
      <c r="O42" s="623"/>
    </row>
    <row r="43" spans="1:17">
      <c r="A43" s="599" t="s">
        <v>586</v>
      </c>
      <c r="B43" s="624" t="str">
        <f>B10</f>
        <v>December 2012</v>
      </c>
      <c r="C43" s="601">
        <f t="shared" ref="C43:O55" si="2">+C10-C26</f>
        <v>6213709.2200000007</v>
      </c>
      <c r="D43" s="602">
        <f t="shared" si="2"/>
        <v>3071869.03</v>
      </c>
      <c r="E43" s="601">
        <f t="shared" si="2"/>
        <v>4223025.6749999998</v>
      </c>
      <c r="F43" s="602">
        <f t="shared" si="2"/>
        <v>7293446.8699999992</v>
      </c>
      <c r="G43" s="601">
        <f t="shared" si="2"/>
        <v>29464066.627563834</v>
      </c>
      <c r="H43" s="602">
        <f t="shared" si="2"/>
        <v>80724692.804092616</v>
      </c>
      <c r="I43" s="601">
        <f t="shared" si="2"/>
        <v>22320420.929999996</v>
      </c>
      <c r="J43" s="602">
        <f t="shared" si="2"/>
        <v>443274.12</v>
      </c>
      <c r="K43" s="601">
        <f t="shared" si="2"/>
        <v>116459.81</v>
      </c>
      <c r="L43" s="602">
        <f t="shared" si="2"/>
        <v>40789.279999999999</v>
      </c>
      <c r="M43" s="601">
        <f t="shared" si="2"/>
        <v>207658.31</v>
      </c>
      <c r="N43" s="602">
        <f t="shared" si="2"/>
        <v>4300409.9386796113</v>
      </c>
      <c r="O43" s="601">
        <f t="shared" si="2"/>
        <v>452712.2</v>
      </c>
    </row>
    <row r="44" spans="1:17">
      <c r="A44" s="603" t="s">
        <v>587</v>
      </c>
      <c r="B44" s="625" t="str">
        <f>B11</f>
        <v>January 2013</v>
      </c>
      <c r="C44" s="605">
        <f t="shared" si="2"/>
        <v>6198229.7700000014</v>
      </c>
      <c r="D44" s="606">
        <f t="shared" si="2"/>
        <v>3064235.4799999995</v>
      </c>
      <c r="E44" s="605">
        <f t="shared" si="2"/>
        <v>4213259.57</v>
      </c>
      <c r="F44" s="606">
        <f t="shared" si="2"/>
        <v>7276580.1599999992</v>
      </c>
      <c r="G44" s="605">
        <f t="shared" si="2"/>
        <v>29490954.183964539</v>
      </c>
      <c r="H44" s="606">
        <f t="shared" si="2"/>
        <v>82613535.106136352</v>
      </c>
      <c r="I44" s="605">
        <f t="shared" si="2"/>
        <v>23638730.439999998</v>
      </c>
      <c r="J44" s="606">
        <f t="shared" si="2"/>
        <v>442249.42</v>
      </c>
      <c r="K44" s="605">
        <f t="shared" si="2"/>
        <v>116180.25</v>
      </c>
      <c r="L44" s="606">
        <f t="shared" si="2"/>
        <v>40696.11</v>
      </c>
      <c r="M44" s="605">
        <f t="shared" si="2"/>
        <v>207245.21</v>
      </c>
      <c r="N44" s="606">
        <f t="shared" si="2"/>
        <v>4290668.0415049102</v>
      </c>
      <c r="O44" s="605">
        <f t="shared" si="2"/>
        <v>389178.03435062128</v>
      </c>
    </row>
    <row r="45" spans="1:17">
      <c r="A45" s="603"/>
      <c r="B45" s="617" t="s">
        <v>574</v>
      </c>
      <c r="C45" s="605">
        <f t="shared" si="2"/>
        <v>6182750.3200000012</v>
      </c>
      <c r="D45" s="606">
        <f t="shared" si="2"/>
        <v>3056601.9299999997</v>
      </c>
      <c r="E45" s="605">
        <f t="shared" si="2"/>
        <v>4203493.4649999999</v>
      </c>
      <c r="F45" s="606">
        <f t="shared" si="2"/>
        <v>7259713.4499999993</v>
      </c>
      <c r="G45" s="605">
        <f t="shared" si="2"/>
        <v>29803787.554463223</v>
      </c>
      <c r="H45" s="606">
        <f t="shared" si="2"/>
        <v>87980801.360021964</v>
      </c>
      <c r="I45" s="605">
        <f t="shared" si="2"/>
        <v>25498709.139999997</v>
      </c>
      <c r="J45" s="606">
        <f t="shared" si="2"/>
        <v>441224.72</v>
      </c>
      <c r="K45" s="605">
        <f t="shared" si="2"/>
        <v>115900.69</v>
      </c>
      <c r="L45" s="606">
        <f t="shared" si="2"/>
        <v>40602.939999999995</v>
      </c>
      <c r="M45" s="605">
        <f t="shared" si="2"/>
        <v>206832.11</v>
      </c>
      <c r="N45" s="606">
        <f t="shared" si="2"/>
        <v>4282317.1638486767</v>
      </c>
      <c r="O45" s="605">
        <f t="shared" si="2"/>
        <v>390813.69777410326</v>
      </c>
    </row>
    <row r="46" spans="1:17">
      <c r="A46" s="603"/>
      <c r="B46" s="617" t="s">
        <v>575</v>
      </c>
      <c r="C46" s="605">
        <f t="shared" si="2"/>
        <v>6167270.870000001</v>
      </c>
      <c r="D46" s="606">
        <f t="shared" si="2"/>
        <v>3048968.38</v>
      </c>
      <c r="E46" s="605">
        <f t="shared" si="2"/>
        <v>4193727.36</v>
      </c>
      <c r="F46" s="606">
        <f t="shared" si="2"/>
        <v>7242846.7399999993</v>
      </c>
      <c r="G46" s="605">
        <f t="shared" si="2"/>
        <v>29835890.59931083</v>
      </c>
      <c r="H46" s="606">
        <f>+H13-H29</f>
        <v>92308351.845010817</v>
      </c>
      <c r="I46" s="605">
        <f t="shared" si="2"/>
        <v>27653564.354635514</v>
      </c>
      <c r="J46" s="606">
        <f t="shared" si="2"/>
        <v>440200.02</v>
      </c>
      <c r="K46" s="605">
        <f t="shared" si="2"/>
        <v>115621.13</v>
      </c>
      <c r="L46" s="606">
        <f t="shared" si="2"/>
        <v>40509.769999999997</v>
      </c>
      <c r="M46" s="605">
        <f t="shared" si="2"/>
        <v>206419.01</v>
      </c>
      <c r="N46" s="606">
        <f t="shared" si="2"/>
        <v>3804523.0504879132</v>
      </c>
      <c r="O46" s="605">
        <f t="shared" si="2"/>
        <v>392731.90505238646</v>
      </c>
    </row>
    <row r="47" spans="1:17">
      <c r="A47" s="603"/>
      <c r="B47" s="617" t="s">
        <v>576</v>
      </c>
      <c r="C47" s="605">
        <f t="shared" si="2"/>
        <v>6151791.4200000009</v>
      </c>
      <c r="D47" s="606">
        <f t="shared" si="2"/>
        <v>3041334.8299999996</v>
      </c>
      <c r="E47" s="605">
        <f t="shared" si="2"/>
        <v>4183961.2549999999</v>
      </c>
      <c r="F47" s="606">
        <f t="shared" si="2"/>
        <v>7225980.0299999993</v>
      </c>
      <c r="G47" s="605">
        <f t="shared" si="2"/>
        <v>29429863.264406927</v>
      </c>
      <c r="H47" s="606">
        <f t="shared" si="2"/>
        <v>95758570.018482372</v>
      </c>
      <c r="I47" s="605">
        <f t="shared" si="2"/>
        <v>25080098.513906553</v>
      </c>
      <c r="J47" s="606">
        <f t="shared" si="2"/>
        <v>439175.32</v>
      </c>
      <c r="K47" s="605">
        <f t="shared" si="2"/>
        <v>115341.57</v>
      </c>
      <c r="L47" s="606">
        <f t="shared" si="2"/>
        <v>40416.6</v>
      </c>
      <c r="M47" s="605">
        <f t="shared" si="2"/>
        <v>206005.91</v>
      </c>
      <c r="N47" s="606">
        <f t="shared" si="2"/>
        <v>3802615.1381819188</v>
      </c>
      <c r="O47" s="605">
        <f t="shared" si="2"/>
        <v>7409695.5846900633</v>
      </c>
    </row>
    <row r="48" spans="1:17">
      <c r="A48" s="603"/>
      <c r="B48" s="617" t="s">
        <v>61</v>
      </c>
      <c r="C48" s="605">
        <f t="shared" si="2"/>
        <v>6136311.9700000007</v>
      </c>
      <c r="D48" s="606">
        <f t="shared" si="2"/>
        <v>3033701.28</v>
      </c>
      <c r="E48" s="605">
        <f t="shared" si="2"/>
        <v>4174195.15</v>
      </c>
      <c r="F48" s="606">
        <f t="shared" si="2"/>
        <v>7209113.3199999994</v>
      </c>
      <c r="G48" s="605">
        <f t="shared" si="2"/>
        <v>29631897.18121567</v>
      </c>
      <c r="H48" s="606">
        <f t="shared" si="2"/>
        <v>100082837.27993047</v>
      </c>
      <c r="I48" s="605">
        <f t="shared" si="2"/>
        <v>27850647.883177597</v>
      </c>
      <c r="J48" s="606">
        <f t="shared" si="2"/>
        <v>438150.62</v>
      </c>
      <c r="K48" s="605">
        <f t="shared" si="2"/>
        <v>115062.01000000001</v>
      </c>
      <c r="L48" s="606">
        <f t="shared" si="2"/>
        <v>40323.43</v>
      </c>
      <c r="M48" s="605">
        <f t="shared" si="2"/>
        <v>205592.81</v>
      </c>
      <c r="N48" s="606">
        <f t="shared" si="2"/>
        <v>3796633.701415041</v>
      </c>
      <c r="O48" s="605">
        <f t="shared" si="2"/>
        <v>7433206.9958546571</v>
      </c>
    </row>
    <row r="49" spans="1:15">
      <c r="A49" s="603"/>
      <c r="B49" s="617" t="s">
        <v>577</v>
      </c>
      <c r="C49" s="605">
        <f t="shared" si="2"/>
        <v>6120832.5200000014</v>
      </c>
      <c r="D49" s="606">
        <f t="shared" si="2"/>
        <v>3026067.7299999995</v>
      </c>
      <c r="E49" s="605">
        <f t="shared" si="2"/>
        <v>4164429.0449999999</v>
      </c>
      <c r="F49" s="606">
        <f t="shared" si="2"/>
        <v>7192246.6099999994</v>
      </c>
      <c r="G49" s="605">
        <f t="shared" si="2"/>
        <v>29648488.208003659</v>
      </c>
      <c r="H49" s="606">
        <f t="shared" si="2"/>
        <v>104161123.00500892</v>
      </c>
      <c r="I49" s="605">
        <f t="shared" si="2"/>
        <v>29766384.142448638</v>
      </c>
      <c r="J49" s="606">
        <f t="shared" si="2"/>
        <v>437125.92</v>
      </c>
      <c r="K49" s="605">
        <f t="shared" si="2"/>
        <v>114782.45</v>
      </c>
      <c r="L49" s="606">
        <f t="shared" si="2"/>
        <v>40230.259999999995</v>
      </c>
      <c r="M49" s="605">
        <f t="shared" si="2"/>
        <v>205179.71</v>
      </c>
      <c r="N49" s="606">
        <f t="shared" si="2"/>
        <v>3790648.6970365583</v>
      </c>
      <c r="O49" s="605">
        <f t="shared" si="2"/>
        <v>6975913.653128908</v>
      </c>
    </row>
    <row r="50" spans="1:15">
      <c r="A50" s="603"/>
      <c r="B50" s="617" t="s">
        <v>578</v>
      </c>
      <c r="C50" s="605">
        <f t="shared" si="2"/>
        <v>6105353.0700000012</v>
      </c>
      <c r="D50" s="606">
        <f t="shared" si="2"/>
        <v>3018434.1799999997</v>
      </c>
      <c r="E50" s="605">
        <f t="shared" si="2"/>
        <v>4154662.94</v>
      </c>
      <c r="F50" s="606">
        <f t="shared" si="2"/>
        <v>7175379.8999999994</v>
      </c>
      <c r="G50" s="605">
        <f t="shared" si="2"/>
        <v>29553650.327154774</v>
      </c>
      <c r="H50" s="606">
        <f t="shared" si="2"/>
        <v>108677130.02395184</v>
      </c>
      <c r="I50" s="605">
        <f t="shared" si="2"/>
        <v>33683725.251719676</v>
      </c>
      <c r="J50" s="606">
        <f t="shared" si="2"/>
        <v>436101.22</v>
      </c>
      <c r="K50" s="605">
        <f t="shared" si="2"/>
        <v>114502.89</v>
      </c>
      <c r="L50" s="606">
        <f t="shared" si="2"/>
        <v>40137.089999999997</v>
      </c>
      <c r="M50" s="605">
        <f t="shared" si="2"/>
        <v>204766.61</v>
      </c>
      <c r="N50" s="606">
        <f t="shared" si="2"/>
        <v>3784667.2665230534</v>
      </c>
      <c r="O50" s="605">
        <f t="shared" si="2"/>
        <v>6989499.8903793013</v>
      </c>
    </row>
    <row r="51" spans="1:15">
      <c r="A51" s="603"/>
      <c r="B51" s="617" t="s">
        <v>579</v>
      </c>
      <c r="C51" s="605">
        <f t="shared" si="2"/>
        <v>6089873.620000001</v>
      </c>
      <c r="D51" s="606">
        <f t="shared" si="2"/>
        <v>3010800.63</v>
      </c>
      <c r="E51" s="605">
        <f t="shared" si="2"/>
        <v>4144896.835</v>
      </c>
      <c r="F51" s="606">
        <f t="shared" si="2"/>
        <v>7158513.1899999995</v>
      </c>
      <c r="G51" s="605">
        <f t="shared" si="2"/>
        <v>29609794.269284964</v>
      </c>
      <c r="H51" s="606">
        <f t="shared" si="2"/>
        <v>117597504.56288406</v>
      </c>
      <c r="I51" s="605">
        <f t="shared" si="2"/>
        <v>41538439.510990717</v>
      </c>
      <c r="J51" s="606">
        <f t="shared" si="2"/>
        <v>435076.52</v>
      </c>
      <c r="K51" s="605">
        <f t="shared" si="2"/>
        <v>114223.33</v>
      </c>
      <c r="L51" s="606">
        <f t="shared" si="2"/>
        <v>40043.919999999998</v>
      </c>
      <c r="M51" s="605">
        <f t="shared" si="2"/>
        <v>204353.51</v>
      </c>
      <c r="N51" s="606">
        <f t="shared" si="2"/>
        <v>3778685.826018305</v>
      </c>
      <c r="O51" s="605">
        <f t="shared" si="2"/>
        <v>7053671.9004161321</v>
      </c>
    </row>
    <row r="52" spans="1:15">
      <c r="A52" s="603"/>
      <c r="B52" s="617" t="s">
        <v>580</v>
      </c>
      <c r="C52" s="605">
        <f t="shared" si="2"/>
        <v>6074394.1700000018</v>
      </c>
      <c r="D52" s="606">
        <f t="shared" si="2"/>
        <v>3003167.0799999996</v>
      </c>
      <c r="E52" s="605">
        <f t="shared" si="2"/>
        <v>4135130.73</v>
      </c>
      <c r="F52" s="606">
        <f t="shared" si="2"/>
        <v>7141646.4799999995</v>
      </c>
      <c r="G52" s="605">
        <f t="shared" si="2"/>
        <v>29629360.069386497</v>
      </c>
      <c r="H52" s="606">
        <f t="shared" si="2"/>
        <v>125796488.12317881</v>
      </c>
      <c r="I52" s="605">
        <f t="shared" si="2"/>
        <v>52218023.120261751</v>
      </c>
      <c r="J52" s="606">
        <f t="shared" si="2"/>
        <v>434051.82</v>
      </c>
      <c r="K52" s="605">
        <f t="shared" si="2"/>
        <v>113943.77</v>
      </c>
      <c r="L52" s="606">
        <f t="shared" si="2"/>
        <v>39950.75</v>
      </c>
      <c r="M52" s="605">
        <f t="shared" si="2"/>
        <v>203940.41</v>
      </c>
      <c r="N52" s="606">
        <f t="shared" si="2"/>
        <v>3772704.3955223127</v>
      </c>
      <c r="O52" s="605">
        <f t="shared" si="2"/>
        <v>15484721.081389032</v>
      </c>
    </row>
    <row r="53" spans="1:15">
      <c r="A53" s="603"/>
      <c r="B53" s="617" t="s">
        <v>581</v>
      </c>
      <c r="C53" s="605">
        <f t="shared" si="2"/>
        <v>6058914.7200000007</v>
      </c>
      <c r="D53" s="606">
        <f t="shared" si="2"/>
        <v>2995533.53</v>
      </c>
      <c r="E53" s="605">
        <f>+E20-E36</f>
        <v>4125364.625</v>
      </c>
      <c r="F53" s="606">
        <f t="shared" si="2"/>
        <v>7124779.7699999996</v>
      </c>
      <c r="G53" s="605">
        <f t="shared" si="2"/>
        <v>29595435.741652787</v>
      </c>
      <c r="H53" s="606">
        <f t="shared" si="2"/>
        <v>132213768.56525549</v>
      </c>
      <c r="I53" s="605">
        <f t="shared" si="2"/>
        <v>61447956.599532798</v>
      </c>
      <c r="J53" s="606">
        <f t="shared" si="2"/>
        <v>433027.12</v>
      </c>
      <c r="K53" s="605">
        <f t="shared" si="2"/>
        <v>113664.21</v>
      </c>
      <c r="L53" s="606">
        <f t="shared" si="2"/>
        <v>39857.579999999994</v>
      </c>
      <c r="M53" s="605">
        <f t="shared" si="2"/>
        <v>203527.31</v>
      </c>
      <c r="N53" s="606">
        <f t="shared" si="2"/>
        <v>3766722.9650263204</v>
      </c>
      <c r="O53" s="605">
        <f t="shared" si="2"/>
        <v>15577814.645767493</v>
      </c>
    </row>
    <row r="54" spans="1:15">
      <c r="A54" s="603"/>
      <c r="B54" s="617" t="s">
        <v>582</v>
      </c>
      <c r="C54" s="605">
        <f t="shared" si="2"/>
        <v>6043435.2700000005</v>
      </c>
      <c r="D54" s="606">
        <f t="shared" si="2"/>
        <v>2987899.9800000004</v>
      </c>
      <c r="E54" s="605">
        <f t="shared" si="2"/>
        <v>4115598.52</v>
      </c>
      <c r="F54" s="606">
        <f t="shared" si="2"/>
        <v>7107913.0599999996</v>
      </c>
      <c r="G54" s="605">
        <f t="shared" si="2"/>
        <v>29526202.353665981</v>
      </c>
      <c r="H54" s="606">
        <f t="shared" si="2"/>
        <v>141282897.59863257</v>
      </c>
      <c r="I54" s="605">
        <f t="shared" si="2"/>
        <v>80029736.618803844</v>
      </c>
      <c r="J54" s="606">
        <f t="shared" si="2"/>
        <v>432002.42</v>
      </c>
      <c r="K54" s="605">
        <f t="shared" si="2"/>
        <v>113384.65</v>
      </c>
      <c r="L54" s="606">
        <f t="shared" si="2"/>
        <v>39764.409999999996</v>
      </c>
      <c r="M54" s="605">
        <f t="shared" si="2"/>
        <v>203114.21</v>
      </c>
      <c r="N54" s="606">
        <f t="shared" si="2"/>
        <v>3760741.5345303281</v>
      </c>
      <c r="O54" s="605">
        <f t="shared" si="2"/>
        <v>17359657.82552157</v>
      </c>
    </row>
    <row r="55" spans="1:15">
      <c r="A55" s="608"/>
      <c r="B55" s="626" t="str">
        <f>+B38</f>
        <v>December 2013</v>
      </c>
      <c r="C55" s="610">
        <f t="shared" si="2"/>
        <v>6027955.8200000003</v>
      </c>
      <c r="D55" s="611">
        <f t="shared" si="2"/>
        <v>2980266.43</v>
      </c>
      <c r="E55" s="610">
        <f t="shared" si="2"/>
        <v>4105832.415</v>
      </c>
      <c r="F55" s="611">
        <f t="shared" si="2"/>
        <v>7091046.3499999996</v>
      </c>
      <c r="G55" s="610">
        <f t="shared" si="2"/>
        <v>29505587.266756415</v>
      </c>
      <c r="H55" s="611">
        <f t="shared" si="2"/>
        <v>151688821.14084387</v>
      </c>
      <c r="I55" s="610">
        <f t="shared" si="2"/>
        <v>87506989.708074868</v>
      </c>
      <c r="J55" s="611">
        <f t="shared" si="2"/>
        <v>430977.72</v>
      </c>
      <c r="K55" s="610">
        <f t="shared" si="2"/>
        <v>113105.09</v>
      </c>
      <c r="L55" s="611">
        <f t="shared" si="2"/>
        <v>39671.24</v>
      </c>
      <c r="M55" s="610">
        <f t="shared" si="2"/>
        <v>202701.11</v>
      </c>
      <c r="N55" s="611">
        <f t="shared" si="2"/>
        <v>3754760.1040343358</v>
      </c>
      <c r="O55" s="610">
        <f t="shared" si="2"/>
        <v>20376464.228891056</v>
      </c>
    </row>
    <row r="56" spans="1:15">
      <c r="A56" s="612"/>
      <c r="B56" s="613" t="s">
        <v>583</v>
      </c>
      <c r="C56" s="614">
        <f>AVERAGE(C43:C55)</f>
        <v>6120832.5200000014</v>
      </c>
      <c r="D56" s="615">
        <f>AVERAGE(D43:D55)</f>
        <v>3026067.73</v>
      </c>
      <c r="E56" s="614">
        <f t="shared" ref="E56:O56" si="3">AVERAGE(E43:E55)</f>
        <v>4164429.0449999995</v>
      </c>
      <c r="F56" s="615">
        <f t="shared" si="3"/>
        <v>7192246.6099999985</v>
      </c>
      <c r="G56" s="614">
        <f t="shared" si="3"/>
        <v>29594229.049756166</v>
      </c>
      <c r="H56" s="615">
        <f t="shared" si="3"/>
        <v>109298963.18718694</v>
      </c>
      <c r="I56" s="614">
        <f t="shared" si="3"/>
        <v>41402571.247196309</v>
      </c>
      <c r="J56" s="615">
        <f t="shared" si="3"/>
        <v>437125.92</v>
      </c>
      <c r="K56" s="614">
        <f t="shared" si="3"/>
        <v>114782.44999999998</v>
      </c>
      <c r="L56" s="615">
        <f t="shared" si="3"/>
        <v>40230.259999999995</v>
      </c>
      <c r="M56" s="614">
        <f t="shared" si="3"/>
        <v>205179.71</v>
      </c>
      <c r="N56" s="615">
        <f t="shared" si="3"/>
        <v>3898930.6017545592</v>
      </c>
      <c r="O56" s="614">
        <f t="shared" si="3"/>
        <v>8175852.4340934865</v>
      </c>
    </row>
    <row r="57" spans="1:15">
      <c r="A57" s="612"/>
      <c r="B57" s="620"/>
      <c r="C57" s="627"/>
      <c r="D57" s="627"/>
      <c r="E57" s="627"/>
      <c r="F57" s="627"/>
      <c r="G57" s="627"/>
      <c r="H57" s="627"/>
      <c r="I57" s="627"/>
      <c r="J57" s="627"/>
      <c r="K57" s="627"/>
      <c r="L57" s="627"/>
      <c r="M57" s="627"/>
      <c r="N57" s="627"/>
      <c r="O57" s="627"/>
    </row>
    <row r="58" spans="1:15">
      <c r="A58" s="612"/>
      <c r="B58" s="628"/>
      <c r="C58" s="629"/>
      <c r="D58" s="629"/>
      <c r="E58" s="629"/>
      <c r="F58" s="629"/>
      <c r="G58" s="629"/>
      <c r="H58" s="629"/>
      <c r="I58" s="629"/>
      <c r="J58" s="629"/>
      <c r="K58" s="629"/>
      <c r="L58" s="629"/>
      <c r="M58" s="629"/>
      <c r="N58" s="629"/>
      <c r="O58" s="629"/>
    </row>
    <row r="59" spans="1:15">
      <c r="A59" s="630" t="s">
        <v>588</v>
      </c>
      <c r="B59" s="631" t="s">
        <v>379</v>
      </c>
      <c r="C59" s="632">
        <v>185753.4</v>
      </c>
      <c r="D59" s="633">
        <v>91602.6</v>
      </c>
      <c r="E59" s="632">
        <v>117193.26</v>
      </c>
      <c r="F59" s="633">
        <v>202400.52</v>
      </c>
      <c r="G59" s="632">
        <v>588325.08080741658</v>
      </c>
      <c r="H59" s="633">
        <v>566472.17324876622</v>
      </c>
      <c r="I59" s="632">
        <v>6084.0919251195583</v>
      </c>
      <c r="J59" s="633">
        <v>12296.4</v>
      </c>
      <c r="K59" s="632">
        <v>3354.72</v>
      </c>
      <c r="L59" s="633">
        <v>1118.04</v>
      </c>
      <c r="M59" s="632">
        <v>4957</v>
      </c>
      <c r="N59" s="633">
        <v>71420</v>
      </c>
      <c r="O59" s="632">
        <v>157694</v>
      </c>
    </row>
    <row r="60" spans="1:15">
      <c r="A60" s="608" t="s">
        <v>589</v>
      </c>
      <c r="B60" s="634" t="s">
        <v>590</v>
      </c>
      <c r="C60" s="610">
        <v>0</v>
      </c>
      <c r="D60" s="611">
        <v>0</v>
      </c>
      <c r="E60" s="610">
        <v>0</v>
      </c>
      <c r="F60" s="611">
        <v>0</v>
      </c>
      <c r="G60" s="610">
        <v>0</v>
      </c>
      <c r="H60" s="611">
        <v>0</v>
      </c>
      <c r="I60" s="610">
        <v>0</v>
      </c>
      <c r="J60" s="611">
        <v>0</v>
      </c>
      <c r="K60" s="610">
        <v>0</v>
      </c>
      <c r="L60" s="611">
        <v>0</v>
      </c>
      <c r="M60" s="610">
        <v>0</v>
      </c>
      <c r="N60" s="611">
        <v>0</v>
      </c>
      <c r="O60" s="610">
        <v>0</v>
      </c>
    </row>
    <row r="61" spans="1:15">
      <c r="A61" s="586"/>
      <c r="B61" s="613" t="s">
        <v>591</v>
      </c>
      <c r="C61" s="614">
        <f>+C59+C60</f>
        <v>185753.4</v>
      </c>
      <c r="D61" s="615">
        <f>+D59+D60</f>
        <v>91602.6</v>
      </c>
      <c r="E61" s="614">
        <f t="shared" ref="E61:O61" si="4">+E59+E60</f>
        <v>117193.26</v>
      </c>
      <c r="F61" s="615">
        <f t="shared" si="4"/>
        <v>202400.52</v>
      </c>
      <c r="G61" s="614">
        <f t="shared" si="4"/>
        <v>588325.08080741658</v>
      </c>
      <c r="H61" s="615">
        <f t="shared" si="4"/>
        <v>566472.17324876622</v>
      </c>
      <c r="I61" s="614">
        <f t="shared" si="4"/>
        <v>6084.0919251195583</v>
      </c>
      <c r="J61" s="615">
        <f t="shared" si="4"/>
        <v>12296.4</v>
      </c>
      <c r="K61" s="614">
        <f t="shared" si="4"/>
        <v>3354.72</v>
      </c>
      <c r="L61" s="615">
        <f t="shared" si="4"/>
        <v>1118.04</v>
      </c>
      <c r="M61" s="614">
        <f t="shared" si="4"/>
        <v>4957</v>
      </c>
      <c r="N61" s="615">
        <f t="shared" si="4"/>
        <v>71420</v>
      </c>
      <c r="O61" s="614">
        <f t="shared" si="4"/>
        <v>157694</v>
      </c>
    </row>
    <row r="62" spans="1:15">
      <c r="E62" s="449"/>
      <c r="G62" s="592"/>
    </row>
    <row r="63" spans="1:15" s="635" customFormat="1"/>
    <row r="64" spans="1:15" s="635" customFormat="1"/>
    <row r="65" s="635" customFormat="1"/>
  </sheetData>
  <dataValidations disablePrompts="1" count="1">
    <dataValidation type="list" allowBlank="1" showInputMessage="1" showErrorMessage="1" sqref="C9:O9">
      <formula1>$P$6:$P$7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pageSetUpPr fitToPage="1"/>
  </sheetPr>
  <dimension ref="B2:N38"/>
  <sheetViews>
    <sheetView showGridLines="0" workbookViewId="0">
      <selection activeCell="H30" sqref="H30"/>
    </sheetView>
  </sheetViews>
  <sheetFormatPr defaultRowHeight="14.25"/>
  <cols>
    <col min="1" max="1" width="1.5" style="459" customWidth="1"/>
    <col min="2" max="2" width="4.75" style="459" customWidth="1"/>
    <col min="3" max="3" width="22.625" style="459" customWidth="1"/>
    <col min="4" max="4" width="9" style="459"/>
    <col min="5" max="5" width="13.5" style="459" bestFit="1" customWidth="1"/>
    <col min="6" max="6" width="14.375" style="459" customWidth="1"/>
    <col min="7" max="7" width="17.625" style="459" bestFit="1" customWidth="1"/>
    <col min="8" max="8" width="15" style="459" customWidth="1"/>
    <col min="9" max="9" width="13.125" style="459" bestFit="1" customWidth="1"/>
    <col min="10" max="10" width="11.5" style="459" bestFit="1" customWidth="1"/>
    <col min="11" max="11" width="13.375" style="459" bestFit="1" customWidth="1"/>
    <col min="12" max="12" width="13.5" style="459" customWidth="1"/>
    <col min="13" max="16384" width="9" style="459"/>
  </cols>
  <sheetData>
    <row r="2" spans="2:12" ht="15">
      <c r="B2" s="458" t="s">
        <v>512</v>
      </c>
    </row>
    <row r="3" spans="2:12">
      <c r="B3" s="459" t="s">
        <v>513</v>
      </c>
    </row>
    <row r="6" spans="2:12">
      <c r="C6" s="460" t="s">
        <v>514</v>
      </c>
      <c r="D6" s="461" t="s">
        <v>515</v>
      </c>
      <c r="E6" s="461"/>
      <c r="F6" s="461"/>
    </row>
    <row r="7" spans="2:12">
      <c r="C7" s="460" t="s">
        <v>516</v>
      </c>
      <c r="D7" s="461">
        <v>2013</v>
      </c>
      <c r="E7" s="461"/>
      <c r="F7" s="461"/>
    </row>
    <row r="8" spans="2:12">
      <c r="C8" s="460" t="s">
        <v>517</v>
      </c>
      <c r="D8" s="494"/>
      <c r="E8" s="494"/>
      <c r="F8" s="494"/>
    </row>
    <row r="11" spans="2:12">
      <c r="B11" s="462" t="s">
        <v>518</v>
      </c>
      <c r="C11" s="462" t="s">
        <v>519</v>
      </c>
      <c r="D11" s="462" t="s">
        <v>520</v>
      </c>
      <c r="E11" s="462" t="s">
        <v>521</v>
      </c>
      <c r="F11" s="462" t="s">
        <v>522</v>
      </c>
      <c r="G11" s="462" t="s">
        <v>523</v>
      </c>
      <c r="H11" s="462" t="s">
        <v>524</v>
      </c>
      <c r="I11" s="462" t="s">
        <v>525</v>
      </c>
      <c r="J11" s="462" t="s">
        <v>526</v>
      </c>
      <c r="K11" s="462" t="s">
        <v>527</v>
      </c>
      <c r="L11" s="462" t="s">
        <v>528</v>
      </c>
    </row>
    <row r="12" spans="2:12">
      <c r="B12" s="463"/>
      <c r="C12" s="464"/>
      <c r="D12" s="464"/>
      <c r="E12" s="464"/>
      <c r="F12" s="464"/>
      <c r="G12" s="465" t="s">
        <v>181</v>
      </c>
      <c r="H12" s="464"/>
      <c r="I12" s="464"/>
      <c r="J12" s="464"/>
      <c r="K12" s="464"/>
      <c r="L12" s="466"/>
    </row>
    <row r="13" spans="2:12">
      <c r="B13" s="467"/>
      <c r="C13" s="468"/>
      <c r="D13" s="468"/>
      <c r="E13" s="468"/>
      <c r="F13" s="469" t="s">
        <v>97</v>
      </c>
      <c r="G13" s="469" t="s">
        <v>437</v>
      </c>
      <c r="H13" s="469" t="s">
        <v>181</v>
      </c>
      <c r="I13" s="469" t="s">
        <v>49</v>
      </c>
      <c r="J13" s="469" t="s">
        <v>529</v>
      </c>
      <c r="K13" s="469" t="s">
        <v>49</v>
      </c>
      <c r="L13" s="470"/>
    </row>
    <row r="14" spans="2:12">
      <c r="B14" s="467"/>
      <c r="C14" s="468"/>
      <c r="D14" s="469" t="s">
        <v>530</v>
      </c>
      <c r="E14" s="469" t="s">
        <v>181</v>
      </c>
      <c r="F14" s="469" t="s">
        <v>531</v>
      </c>
      <c r="G14" s="469" t="s">
        <v>532</v>
      </c>
      <c r="H14" s="469" t="s">
        <v>531</v>
      </c>
      <c r="I14" s="469" t="s">
        <v>50</v>
      </c>
      <c r="J14" s="469" t="s">
        <v>52</v>
      </c>
      <c r="K14" s="469" t="s">
        <v>50</v>
      </c>
      <c r="L14" s="471" t="s">
        <v>73</v>
      </c>
    </row>
    <row r="15" spans="2:12">
      <c r="B15" s="472" t="s">
        <v>322</v>
      </c>
      <c r="C15" s="469" t="s">
        <v>103</v>
      </c>
      <c r="D15" s="469" t="s">
        <v>103</v>
      </c>
      <c r="E15" s="469" t="s">
        <v>437</v>
      </c>
      <c r="F15" s="469" t="s">
        <v>99</v>
      </c>
      <c r="G15" s="469" t="s">
        <v>533</v>
      </c>
      <c r="H15" s="469" t="s">
        <v>99</v>
      </c>
      <c r="I15" s="469" t="s">
        <v>105</v>
      </c>
      <c r="J15" s="469" t="s">
        <v>534</v>
      </c>
      <c r="K15" s="469" t="s">
        <v>52</v>
      </c>
      <c r="L15" s="471" t="s">
        <v>49</v>
      </c>
    </row>
    <row r="16" spans="2:12" ht="16.5">
      <c r="B16" s="473" t="s">
        <v>326</v>
      </c>
      <c r="C16" s="474" t="s">
        <v>535</v>
      </c>
      <c r="D16" s="474" t="s">
        <v>536</v>
      </c>
      <c r="E16" s="474" t="s">
        <v>532</v>
      </c>
      <c r="F16" s="474" t="s">
        <v>554</v>
      </c>
      <c r="G16" s="474" t="s">
        <v>555</v>
      </c>
      <c r="H16" s="474" t="s">
        <v>554</v>
      </c>
      <c r="I16" s="474" t="s">
        <v>537</v>
      </c>
      <c r="J16" s="474" t="s">
        <v>537</v>
      </c>
      <c r="K16" s="474" t="s">
        <v>537</v>
      </c>
      <c r="L16" s="475" t="s">
        <v>50</v>
      </c>
    </row>
    <row r="17" spans="2:14" s="447" customFormat="1" ht="12.75">
      <c r="B17" s="448"/>
      <c r="C17" s="449"/>
      <c r="D17" s="449"/>
      <c r="E17" s="449"/>
      <c r="F17" s="451" t="s">
        <v>97</v>
      </c>
      <c r="G17" s="451" t="s">
        <v>538</v>
      </c>
      <c r="H17" s="451" t="s">
        <v>181</v>
      </c>
      <c r="I17" s="449"/>
      <c r="J17" s="449"/>
      <c r="K17" s="449"/>
      <c r="L17" s="450"/>
    </row>
    <row r="18" spans="2:14" s="447" customFormat="1" ht="12.75">
      <c r="B18" s="448"/>
      <c r="C18" s="449"/>
      <c r="D18" s="449"/>
      <c r="E18" s="449"/>
      <c r="F18" s="451" t="s">
        <v>437</v>
      </c>
      <c r="G18" s="451" t="s">
        <v>539</v>
      </c>
      <c r="H18" s="451" t="s">
        <v>437</v>
      </c>
      <c r="I18" s="449"/>
      <c r="J18" s="451" t="s">
        <v>540</v>
      </c>
      <c r="K18" s="451" t="s">
        <v>541</v>
      </c>
      <c r="L18" s="450"/>
    </row>
    <row r="19" spans="2:14" s="447" customFormat="1">
      <c r="B19" s="452"/>
      <c r="C19" s="453"/>
      <c r="D19" s="453"/>
      <c r="E19" s="453"/>
      <c r="F19" s="454" t="s">
        <v>557</v>
      </c>
      <c r="G19" s="454" t="s">
        <v>558</v>
      </c>
      <c r="H19" s="454" t="s">
        <v>557</v>
      </c>
      <c r="I19" s="454" t="s">
        <v>542</v>
      </c>
      <c r="J19" s="454" t="s">
        <v>543</v>
      </c>
      <c r="K19" s="454" t="s">
        <v>559</v>
      </c>
      <c r="L19" s="455" t="s">
        <v>544</v>
      </c>
    </row>
    <row r="20" spans="2:14" ht="9.75" customHeight="1">
      <c r="B20" s="463"/>
      <c r="C20" s="464"/>
      <c r="D20" s="464"/>
      <c r="E20" s="464"/>
      <c r="F20" s="464"/>
      <c r="G20" s="464"/>
      <c r="H20" s="464"/>
      <c r="I20" s="464"/>
      <c r="J20" s="464"/>
      <c r="K20" s="464"/>
      <c r="L20" s="466"/>
    </row>
    <row r="21" spans="2:14" ht="32.25" customHeight="1">
      <c r="B21" s="477">
        <v>1</v>
      </c>
      <c r="C21" s="582" t="s">
        <v>556</v>
      </c>
      <c r="D21" s="582"/>
      <c r="E21" s="492">
        <v>28916457</v>
      </c>
      <c r="F21" s="468"/>
      <c r="G21" s="468"/>
      <c r="H21" s="468"/>
      <c r="I21" s="468"/>
      <c r="J21" s="468"/>
      <c r="K21" s="468"/>
      <c r="L21" s="470"/>
    </row>
    <row r="22" spans="2:14" ht="6.75" customHeight="1">
      <c r="B22" s="472"/>
      <c r="C22" s="468"/>
      <c r="D22" s="468"/>
      <c r="E22" s="468"/>
      <c r="F22" s="468"/>
      <c r="G22" s="468"/>
      <c r="H22" s="468"/>
      <c r="I22" s="468"/>
      <c r="J22" s="468"/>
      <c r="K22" s="468"/>
      <c r="L22" s="470"/>
    </row>
    <row r="23" spans="2:14">
      <c r="B23" s="472" t="s">
        <v>545</v>
      </c>
      <c r="C23" s="468" t="s">
        <v>546</v>
      </c>
      <c r="D23" s="468"/>
      <c r="E23" s="478"/>
      <c r="F23" s="493">
        <v>31379692</v>
      </c>
      <c r="G23" s="478">
        <f>IF(F23=0,0,ROUND($E$21*(F23/$F$30),0))</f>
        <v>28916457</v>
      </c>
      <c r="H23" s="493">
        <v>27612948.797749069</v>
      </c>
      <c r="I23" s="479">
        <f>+H23-G23</f>
        <v>-1303508.2022509314</v>
      </c>
      <c r="J23" s="480">
        <f>IF(I23&gt;0,$J$34,$J$35)</f>
        <v>2.7083333333333334E-3</v>
      </c>
      <c r="K23" s="479">
        <f>ROUND((I23*J23)*24,0)</f>
        <v>-84728</v>
      </c>
      <c r="L23" s="481">
        <f>+I23+K23</f>
        <v>-1388236.2022509314</v>
      </c>
    </row>
    <row r="24" spans="2:14">
      <c r="B24" s="484"/>
      <c r="C24" s="485"/>
      <c r="D24" s="485"/>
      <c r="E24" s="486"/>
      <c r="F24" s="487"/>
      <c r="G24" s="486"/>
      <c r="H24" s="487"/>
      <c r="I24" s="488"/>
      <c r="J24" s="489"/>
      <c r="K24" s="488"/>
      <c r="L24" s="490"/>
    </row>
    <row r="25" spans="2:14">
      <c r="B25" s="484"/>
      <c r="C25" s="485"/>
      <c r="D25" s="485"/>
      <c r="E25" s="486"/>
      <c r="F25" s="487"/>
      <c r="G25" s="486"/>
      <c r="H25" s="487"/>
      <c r="I25" s="488"/>
      <c r="J25" s="489"/>
      <c r="K25" s="488"/>
      <c r="L25" s="490"/>
    </row>
    <row r="26" spans="2:14">
      <c r="B26" s="484"/>
      <c r="C26" s="485"/>
      <c r="D26" s="485"/>
      <c r="E26" s="486"/>
      <c r="F26" s="487"/>
      <c r="G26" s="486"/>
      <c r="H26" s="487"/>
      <c r="I26" s="488"/>
      <c r="J26" s="489"/>
      <c r="K26" s="488"/>
      <c r="L26" s="490"/>
    </row>
    <row r="27" spans="2:14">
      <c r="B27" s="484"/>
      <c r="C27" s="485"/>
      <c r="D27" s="485"/>
      <c r="E27" s="485"/>
      <c r="F27" s="485"/>
      <c r="G27" s="485"/>
      <c r="H27" s="485"/>
      <c r="I27" s="485"/>
      <c r="J27" s="485"/>
      <c r="K27" s="485"/>
      <c r="L27" s="491"/>
    </row>
    <row r="28" spans="2:14">
      <c r="B28" s="472"/>
      <c r="C28" s="468"/>
      <c r="D28" s="468"/>
      <c r="E28" s="468"/>
      <c r="F28" s="468"/>
      <c r="G28" s="468"/>
      <c r="H28" s="468"/>
      <c r="I28" s="468"/>
      <c r="J28" s="468"/>
      <c r="K28" s="468"/>
      <c r="L28" s="470"/>
    </row>
    <row r="29" spans="2:14">
      <c r="B29" s="473"/>
      <c r="C29" s="476"/>
      <c r="D29" s="476"/>
      <c r="E29" s="476"/>
      <c r="F29" s="476"/>
      <c r="G29" s="476"/>
      <c r="H29" s="476"/>
      <c r="I29" s="476"/>
      <c r="J29" s="476"/>
      <c r="K29" s="476"/>
      <c r="L29" s="482"/>
    </row>
    <row r="30" spans="2:14">
      <c r="B30" s="462">
        <v>3</v>
      </c>
      <c r="C30" s="459" t="s">
        <v>547</v>
      </c>
      <c r="E30" s="483"/>
      <c r="F30" s="483">
        <f>SUM(F23:F29)</f>
        <v>31379692</v>
      </c>
      <c r="G30" s="483">
        <f>SUM(G23:G29)</f>
        <v>28916457</v>
      </c>
      <c r="H30" s="483">
        <f>SUM(H23:H29)</f>
        <v>27612948.797749069</v>
      </c>
      <c r="I30" s="483"/>
      <c r="M30" s="483"/>
      <c r="N30" s="483"/>
    </row>
    <row r="31" spans="2:14">
      <c r="B31" s="462"/>
    </row>
    <row r="32" spans="2:14">
      <c r="B32" s="462">
        <v>4</v>
      </c>
      <c r="C32" s="459" t="s">
        <v>548</v>
      </c>
      <c r="I32" s="483">
        <f>SUM(I23:I29)</f>
        <v>-1303508.2022509314</v>
      </c>
      <c r="K32" s="483">
        <f>SUM(K23:K29)</f>
        <v>-84728</v>
      </c>
      <c r="L32" s="483">
        <f>SUM(L23:L29)</f>
        <v>-1388236.2022509314</v>
      </c>
    </row>
    <row r="33" spans="2:10">
      <c r="B33" s="462"/>
    </row>
    <row r="34" spans="2:10">
      <c r="B34" s="462">
        <v>5</v>
      </c>
      <c r="C34" s="459" t="s">
        <v>549</v>
      </c>
      <c r="J34" s="456">
        <v>0</v>
      </c>
    </row>
    <row r="35" spans="2:10">
      <c r="B35" s="462">
        <v>6</v>
      </c>
      <c r="C35" s="459" t="s">
        <v>550</v>
      </c>
      <c r="J35" s="456">
        <f>3.25%/12</f>
        <v>2.7083333333333334E-3</v>
      </c>
    </row>
    <row r="36" spans="2:10">
      <c r="B36" s="462"/>
    </row>
    <row r="37" spans="2:10" ht="16.5">
      <c r="B37" s="457" t="s">
        <v>551</v>
      </c>
      <c r="C37" s="459" t="s">
        <v>552</v>
      </c>
    </row>
    <row r="38" spans="2:10" ht="16.5">
      <c r="B38" s="457" t="s">
        <v>421</v>
      </c>
      <c r="C38" s="459" t="s">
        <v>553</v>
      </c>
    </row>
  </sheetData>
  <mergeCells count="1">
    <mergeCell ref="C21:D21"/>
  </mergeCells>
  <phoneticPr fontId="20" type="noConversion"/>
  <pageMargins left="0.75" right="0.75" top="1" bottom="1" header="0.5" footer="0.5"/>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Att GG True Up</vt:lpstr>
      <vt:lpstr>Proof of True-Up</vt:lpstr>
      <vt:lpstr>Actual Load</vt:lpstr>
      <vt:lpstr>Zonal Load</vt:lpstr>
      <vt:lpstr>Interest Under Collect</vt:lpstr>
      <vt:lpstr>Interest Over Collect </vt:lpstr>
      <vt:lpstr>Attachment GG Actuals</vt:lpstr>
      <vt:lpstr>Attachment GG Supporting Data</vt:lpstr>
      <vt:lpstr>Att MM True Up</vt:lpstr>
      <vt:lpstr>Attachment MM Actuals</vt:lpstr>
      <vt:lpstr>Attachment MM Supporting Data</vt:lpstr>
      <vt:lpstr>'Actual Load'!Print_Area</vt:lpstr>
      <vt:lpstr>'Att GG True Up'!Print_Area</vt:lpstr>
      <vt:lpstr>'Interest Over Collect '!Print_Area</vt:lpstr>
      <vt:lpstr>'Interest Under Collect'!Print_Area</vt:lpstr>
      <vt:lpstr>'Zonal Load'!Print_Area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Kramer</dc:creator>
  <cp:lastModifiedBy>Xcel Energy</cp:lastModifiedBy>
  <cp:lastPrinted>2014-09-29T17:07:37Z</cp:lastPrinted>
  <dcterms:created xsi:type="dcterms:W3CDTF">2010-07-06T14:39:45Z</dcterms:created>
  <dcterms:modified xsi:type="dcterms:W3CDTF">2014-09-29T19:27:26Z</dcterms:modified>
</cp:coreProperties>
</file>