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160" windowHeight="10305" firstSheet="1" activeTab="7"/>
  </bookViews>
  <sheets>
    <sheet name="Coversheet" sheetId="2" r:id="rId1"/>
    <sheet name="Nonlevelized-EIA 412" sheetId="17" r:id="rId2"/>
    <sheet name="Divisor" sheetId="1" r:id="rId3"/>
    <sheet name="Plant" sheetId="4" r:id="rId4"/>
    <sheet name="CWIP" sheetId="5" r:id="rId5"/>
    <sheet name="Adj to Rate Base" sheetId="3" r:id="rId6"/>
    <sheet name="Abandoned Plant" sheetId="6" r:id="rId7"/>
    <sheet name="Land Held for Future Use" sheetId="7" r:id="rId8"/>
    <sheet name="Materials and Prepayments" sheetId="8" r:id="rId9"/>
    <sheet name="Capital Structure" sheetId="9" r:id="rId10"/>
    <sheet name="Trans_OM" sheetId="14" r:id="rId11"/>
    <sheet name="A&amp;G" sheetId="13" r:id="rId12"/>
    <sheet name="Other_Exp_Inc" sheetId="15" r:id="rId13"/>
  </sheets>
  <externalReferences>
    <externalReference r:id="rId14"/>
  </externalReferences>
  <definedNames>
    <definedName name="CH_COS">#REF!</definedName>
    <definedName name="NSP_COS">#REF!</definedName>
    <definedName name="_xlnm.Print_Area" localSheetId="9">'Capital Structure'!$B$1:$G$24</definedName>
    <definedName name="_xlnm.Print_Area" localSheetId="1">'Nonlevelized-EIA 412'!$A$1:$K$336</definedName>
    <definedName name="_xlnm.Print_Titles" localSheetId="3">Plant!$B:$C</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O97" i="17" l="1"/>
  <c r="Q97" i="17"/>
  <c r="O96" i="17"/>
  <c r="O95" i="17"/>
  <c r="O92" i="17"/>
  <c r="O91" i="17"/>
  <c r="E26" i="9" l="1"/>
  <c r="F30" i="9" l="1"/>
  <c r="F31" i="9"/>
  <c r="F34" i="14" l="1"/>
  <c r="D36" i="14"/>
  <c r="D156" i="17"/>
  <c r="D155" i="17"/>
  <c r="E30" i="13"/>
  <c r="E24" i="13"/>
  <c r="E11" i="13"/>
  <c r="D164" i="17"/>
  <c r="D162" i="17"/>
  <c r="E12" i="15"/>
  <c r="E11" i="15"/>
  <c r="E33" i="15"/>
  <c r="I279" i="17"/>
  <c r="I280" i="17"/>
  <c r="I281" i="17"/>
  <c r="I278" i="17"/>
  <c r="I275" i="17"/>
  <c r="I229" i="17"/>
  <c r="D152" i="17" l="1"/>
  <c r="D132" i="17"/>
  <c r="D131" i="17"/>
  <c r="D116" i="17"/>
  <c r="I116" i="17" s="1"/>
  <c r="D103" i="17"/>
  <c r="D101" i="17"/>
  <c r="D100" i="17"/>
  <c r="D99" i="17"/>
  <c r="D94" i="17"/>
  <c r="D92" i="17"/>
  <c r="D91" i="17"/>
  <c r="D90" i="17"/>
  <c r="I34" i="17"/>
  <c r="D238" i="17"/>
  <c r="D239" i="17"/>
  <c r="D240" i="17"/>
  <c r="D237" i="17"/>
  <c r="G237" i="17" s="1"/>
  <c r="D290" i="17"/>
  <c r="D289" i="17"/>
  <c r="K288" i="17"/>
  <c r="C288" i="17"/>
  <c r="B288" i="17"/>
  <c r="D13" i="17"/>
  <c r="I273" i="17"/>
  <c r="E264" i="17"/>
  <c r="I263" i="17"/>
  <c r="G263" i="17"/>
  <c r="G254" i="17"/>
  <c r="G240" i="17"/>
  <c r="G239" i="17"/>
  <c r="L236" i="17"/>
  <c r="L229" i="17"/>
  <c r="L231" i="17" s="1"/>
  <c r="L237" i="17" s="1"/>
  <c r="D216" i="17"/>
  <c r="D214" i="17"/>
  <c r="K213" i="17"/>
  <c r="D213" i="17"/>
  <c r="B213" i="17"/>
  <c r="I205" i="17"/>
  <c r="I201" i="17"/>
  <c r="D180" i="17"/>
  <c r="D184" i="17" s="1"/>
  <c r="D188" i="17" s="1"/>
  <c r="F175" i="17"/>
  <c r="F171" i="17"/>
  <c r="B165" i="17"/>
  <c r="I163" i="17"/>
  <c r="D166" i="17"/>
  <c r="B162" i="17"/>
  <c r="I158" i="17"/>
  <c r="F156" i="17"/>
  <c r="F154" i="17"/>
  <c r="F155" i="17" s="1"/>
  <c r="I151" i="17"/>
  <c r="D145" i="17"/>
  <c r="D143" i="17"/>
  <c r="K142" i="17"/>
  <c r="D142" i="17"/>
  <c r="B142" i="17"/>
  <c r="F127" i="17"/>
  <c r="D125" i="17"/>
  <c r="I124" i="17"/>
  <c r="F122" i="17"/>
  <c r="D113" i="17"/>
  <c r="B113" i="17"/>
  <c r="I111" i="17"/>
  <c r="D111" i="17"/>
  <c r="B108" i="17"/>
  <c r="F104" i="17"/>
  <c r="B104" i="17"/>
  <c r="F103" i="17"/>
  <c r="B103" i="17"/>
  <c r="B112" i="17" s="1"/>
  <c r="G102" i="17"/>
  <c r="F102" i="17"/>
  <c r="B102" i="17"/>
  <c r="B111" i="17" s="1"/>
  <c r="F100" i="17"/>
  <c r="B100" i="17"/>
  <c r="B109" i="17" s="1"/>
  <c r="G99" i="17"/>
  <c r="F99" i="17"/>
  <c r="D108" i="17"/>
  <c r="B99" i="17"/>
  <c r="D85" i="17"/>
  <c r="D83" i="17"/>
  <c r="K82" i="17"/>
  <c r="D82" i="17"/>
  <c r="B82" i="17"/>
  <c r="I53" i="17"/>
  <c r="I52" i="17"/>
  <c r="I41" i="17"/>
  <c r="I25" i="17"/>
  <c r="I27" i="17" s="1"/>
  <c r="I21" i="17"/>
  <c r="F14" i="17"/>
  <c r="D112" i="17" l="1"/>
  <c r="O93" i="17"/>
  <c r="D105" i="17"/>
  <c r="D109" i="17"/>
  <c r="I220" i="17"/>
  <c r="D241" i="17"/>
  <c r="D96" i="17"/>
  <c r="D244" i="17" s="1"/>
  <c r="D247" i="17" s="1"/>
  <c r="G245" i="17" s="1"/>
  <c r="D110" i="17"/>
  <c r="D137" i="17" s="1"/>
  <c r="I282" i="17"/>
  <c r="D14" i="17" s="1"/>
  <c r="D114" i="17" l="1"/>
  <c r="P92" i="17"/>
  <c r="P91" i="17"/>
  <c r="P93" i="17" s="1"/>
  <c r="I223" i="17"/>
  <c r="I225" i="17" s="1"/>
  <c r="I233" i="17" l="1"/>
  <c r="G13" i="17"/>
  <c r="E238" i="17"/>
  <c r="G238" i="17" s="1"/>
  <c r="G241" i="17" s="1"/>
  <c r="I241" i="17" s="1"/>
  <c r="G92" i="17"/>
  <c r="I92" i="17" s="1"/>
  <c r="G91" i="17"/>
  <c r="G153" i="17" l="1"/>
  <c r="G155" i="17"/>
  <c r="I155" i="17" s="1"/>
  <c r="G154" i="17"/>
  <c r="I154" i="17" s="1"/>
  <c r="G94" i="17"/>
  <c r="I245" i="17"/>
  <c r="K245" i="17" s="1"/>
  <c r="G16" i="17"/>
  <c r="I16" i="17" s="1"/>
  <c r="G14" i="17"/>
  <c r="I14" i="17" s="1"/>
  <c r="G15" i="17"/>
  <c r="I15" i="17" s="1"/>
  <c r="I13" i="17"/>
  <c r="I91" i="17"/>
  <c r="G101" i="17"/>
  <c r="I101" i="17" s="1"/>
  <c r="I110" i="17" s="1"/>
  <c r="I137" i="17" s="1"/>
  <c r="G100" i="17"/>
  <c r="I17" i="17" l="1"/>
  <c r="G127" i="17"/>
  <c r="I100" i="17"/>
  <c r="I109" i="17" s="1"/>
  <c r="G95" i="17"/>
  <c r="G157" i="17"/>
  <c r="G164" i="17"/>
  <c r="G103" i="17"/>
  <c r="I103" i="17" s="1"/>
  <c r="I94" i="17"/>
  <c r="G165" i="17" l="1"/>
  <c r="I165" i="17" s="1"/>
  <c r="I157" i="17"/>
  <c r="G170" i="17"/>
  <c r="I164" i="17"/>
  <c r="I112" i="17"/>
  <c r="I95" i="17"/>
  <c r="G104" i="17"/>
  <c r="I104" i="17" s="1"/>
  <c r="I105" i="17" s="1"/>
  <c r="G162" i="17"/>
  <c r="I162" i="17" s="1"/>
  <c r="I127" i="17"/>
  <c r="I166" i="17" l="1"/>
  <c r="I113" i="17"/>
  <c r="I114" i="17" s="1"/>
  <c r="G114" i="17" s="1"/>
  <c r="I96" i="17"/>
  <c r="G96" i="17" s="1"/>
  <c r="I170" i="17"/>
  <c r="G171" i="17"/>
  <c r="I171" i="17" s="1"/>
  <c r="G188" i="17" l="1"/>
  <c r="I188" i="17" s="1"/>
  <c r="G120" i="17"/>
  <c r="G121" i="17" s="1"/>
  <c r="G132" i="17"/>
  <c r="I132" i="17" s="1"/>
  <c r="G173" i="17"/>
  <c r="I120" i="17" l="1"/>
  <c r="G122" i="17"/>
  <c r="I122" i="17" s="1"/>
  <c r="I121" i="17"/>
  <c r="G123" i="17"/>
  <c r="I123" i="17" s="1"/>
  <c r="G175" i="17"/>
  <c r="I125" i="17" l="1"/>
  <c r="G176" i="17"/>
  <c r="I176" i="17" s="1"/>
  <c r="I175" i="17"/>
  <c r="L78" i="4" l="1"/>
  <c r="L79" i="4"/>
  <c r="K69" i="4"/>
  <c r="K78" i="4"/>
  <c r="Q25" i="4" l="1"/>
  <c r="Q42" i="4" s="1"/>
  <c r="F26" i="9" l="1"/>
  <c r="I82" i="4"/>
  <c r="S62" i="4"/>
  <c r="T61" i="4" s="1"/>
  <c r="P73" i="4" l="1"/>
  <c r="P65" i="4"/>
  <c r="P66" i="4"/>
  <c r="P67" i="4"/>
  <c r="P68" i="4"/>
  <c r="P69" i="4"/>
  <c r="P70" i="4"/>
  <c r="P71" i="4"/>
  <c r="P75" i="4"/>
  <c r="P76" i="4"/>
  <c r="P77" i="4"/>
  <c r="P79" i="4"/>
  <c r="P64" i="4"/>
  <c r="T64" i="4" s="1"/>
  <c r="H72" i="4"/>
  <c r="H46" i="5"/>
  <c r="F26" i="5"/>
  <c r="G46" i="5" s="1"/>
  <c r="F32" i="5"/>
  <c r="E32" i="5"/>
  <c r="T73" i="4" l="1"/>
  <c r="Q26" i="4"/>
  <c r="I53" i="5" l="1"/>
  <c r="E51" i="5"/>
  <c r="G50" i="5"/>
  <c r="G51" i="5" s="1"/>
  <c r="F50" i="5"/>
  <c r="F51" i="5" s="1"/>
  <c r="I49" i="5"/>
  <c r="J78" i="4"/>
  <c r="I78" i="4"/>
  <c r="I51" i="5" l="1"/>
  <c r="F52" i="5" s="1"/>
  <c r="G52" i="5"/>
  <c r="G53" i="5" s="1"/>
  <c r="E52" i="5"/>
  <c r="P78" i="4"/>
  <c r="H45" i="5"/>
  <c r="G30" i="5" s="1"/>
  <c r="G74" i="4" s="1"/>
  <c r="G27" i="5"/>
  <c r="G29" i="5"/>
  <c r="E74" i="4" s="1"/>
  <c r="F28" i="5"/>
  <c r="J52" i="5" l="1"/>
  <c r="F39" i="5"/>
  <c r="F27" i="5" s="1"/>
  <c r="G45" i="5"/>
  <c r="P74" i="4"/>
  <c r="O74" i="4"/>
  <c r="G8" i="5"/>
  <c r="G9" i="5" s="1"/>
  <c r="G10" i="5" s="1"/>
  <c r="S74" i="4" l="1"/>
  <c r="R8" i="4"/>
  <c r="G28" i="5"/>
  <c r="E28" i="5"/>
  <c r="F92" i="4" l="1"/>
  <c r="G64" i="4"/>
  <c r="G69" i="4"/>
  <c r="F96" i="4" l="1"/>
  <c r="E8" i="9" l="1"/>
  <c r="E9" i="9" s="1"/>
  <c r="F8" i="9"/>
  <c r="F9" i="9" s="1"/>
  <c r="K70" i="4"/>
  <c r="N72" i="4"/>
  <c r="M72" i="4"/>
  <c r="K67" i="4"/>
  <c r="K66" i="4"/>
  <c r="H47" i="5" l="1"/>
  <c r="F8" i="5" l="1"/>
  <c r="F9" i="5" s="1"/>
  <c r="F10" i="5" s="1"/>
  <c r="F11" i="5" s="1"/>
  <c r="I86" i="4" l="1"/>
  <c r="J84" i="4"/>
  <c r="J82" i="4"/>
  <c r="J86" i="4"/>
  <c r="L82" i="4"/>
  <c r="K82" i="4"/>
  <c r="R25" i="4" l="1"/>
  <c r="R42" i="4" s="1"/>
  <c r="O25" i="4"/>
  <c r="P25" i="4"/>
  <c r="P42" i="4" s="1"/>
  <c r="H24" i="4" l="1"/>
  <c r="E60" i="4"/>
  <c r="R65" i="4" l="1"/>
  <c r="R66" i="4"/>
  <c r="R67" i="4"/>
  <c r="R68" i="4"/>
  <c r="R69" i="4"/>
  <c r="R70" i="4"/>
  <c r="R75" i="4"/>
  <c r="R71" i="4"/>
  <c r="R72" i="4"/>
  <c r="R73" i="4"/>
  <c r="R74" i="4"/>
  <c r="R76" i="4"/>
  <c r="R77" i="4"/>
  <c r="R78" i="4"/>
  <c r="R79" i="4"/>
  <c r="R64" i="4"/>
  <c r="T65" i="4"/>
  <c r="T68" i="4"/>
  <c r="T69" i="4"/>
  <c r="T75" i="4"/>
  <c r="T77" i="4"/>
  <c r="O73" i="4"/>
  <c r="Q8" i="4" l="1"/>
  <c r="Q27" i="4"/>
  <c r="T74" i="4"/>
  <c r="R26" i="4"/>
  <c r="R27" i="4" s="1"/>
  <c r="T71" i="4"/>
  <c r="O26" i="4"/>
  <c r="Q9" i="4" l="1"/>
  <c r="Q43" i="4"/>
  <c r="Q10" i="4" l="1"/>
  <c r="Q44" i="4"/>
  <c r="Q28" i="4"/>
  <c r="Q29" i="4" s="1"/>
  <c r="H69" i="4"/>
  <c r="H64" i="4"/>
  <c r="J9" i="4"/>
  <c r="J10" i="4" s="1"/>
  <c r="J11" i="4" s="1"/>
  <c r="J12" i="4" s="1"/>
  <c r="J13" i="4" s="1"/>
  <c r="J14" i="4" s="1"/>
  <c r="J15" i="4" s="1"/>
  <c r="J16" i="4" s="1"/>
  <c r="J17" i="4" s="1"/>
  <c r="J18" i="4" s="1"/>
  <c r="J19" i="4" s="1"/>
  <c r="J20" i="4" s="1"/>
  <c r="O65" i="4"/>
  <c r="S65" i="4" s="1"/>
  <c r="U65" i="4" s="1"/>
  <c r="O71" i="4"/>
  <c r="O76" i="4"/>
  <c r="S76" i="4" s="1"/>
  <c r="O77" i="4"/>
  <c r="S77" i="4" s="1"/>
  <c r="U77" i="4" s="1"/>
  <c r="F65" i="4"/>
  <c r="F71" i="4"/>
  <c r="M64" i="4"/>
  <c r="E64" i="4" s="1"/>
  <c r="O64" i="4" s="1"/>
  <c r="S64" i="4" s="1"/>
  <c r="T76" i="4"/>
  <c r="M65" i="4"/>
  <c r="N65" i="4"/>
  <c r="N66" i="4"/>
  <c r="N67" i="4"/>
  <c r="M68" i="4"/>
  <c r="N68" i="4"/>
  <c r="M69" i="4"/>
  <c r="N69" i="4"/>
  <c r="N70" i="4"/>
  <c r="M75" i="4"/>
  <c r="E75" i="4" s="1"/>
  <c r="G75" i="4" s="1"/>
  <c r="H75" i="4" s="1"/>
  <c r="N75" i="4"/>
  <c r="M71" i="4"/>
  <c r="N71" i="4"/>
  <c r="M74" i="4"/>
  <c r="N74" i="4"/>
  <c r="M76" i="4"/>
  <c r="N79" i="4"/>
  <c r="N84" i="4" s="1"/>
  <c r="M77" i="4"/>
  <c r="N77" i="4"/>
  <c r="N78" i="4"/>
  <c r="L84" i="4"/>
  <c r="K83" i="4"/>
  <c r="K84" i="4"/>
  <c r="J83" i="4"/>
  <c r="J81" i="4"/>
  <c r="H74" i="4"/>
  <c r="H71" i="4"/>
  <c r="H70" i="4"/>
  <c r="H68" i="4"/>
  <c r="H67" i="4"/>
  <c r="H66" i="4"/>
  <c r="H65" i="4"/>
  <c r="Q11" i="4" l="1"/>
  <c r="Q45" i="4"/>
  <c r="E69" i="4"/>
  <c r="O69" i="4" s="1"/>
  <c r="S69" i="4" s="1"/>
  <c r="U69" i="4" s="1"/>
  <c r="E68" i="4"/>
  <c r="O68" i="4" s="1"/>
  <c r="U76" i="4"/>
  <c r="N76" i="4"/>
  <c r="N83" i="4" s="1"/>
  <c r="L83" i="4"/>
  <c r="T70" i="4"/>
  <c r="T82" i="4" s="1"/>
  <c r="N64" i="4"/>
  <c r="N81" i="4" s="1"/>
  <c r="O8" i="4"/>
  <c r="S71" i="4"/>
  <c r="U71" i="4" s="1"/>
  <c r="T66" i="4"/>
  <c r="O78" i="4"/>
  <c r="S78" i="4" s="1"/>
  <c r="T78" i="4"/>
  <c r="T83" i="4" s="1"/>
  <c r="M67" i="4"/>
  <c r="E67" i="4" s="1"/>
  <c r="T67" i="4"/>
  <c r="I83" i="4"/>
  <c r="H32" i="5"/>
  <c r="I32" i="5" s="1"/>
  <c r="H28" i="5"/>
  <c r="L81" i="4"/>
  <c r="M66" i="4"/>
  <c r="M78" i="4"/>
  <c r="M83" i="4" s="1"/>
  <c r="N82" i="4"/>
  <c r="K81" i="4"/>
  <c r="I81" i="4"/>
  <c r="O75" i="4"/>
  <c r="S75" i="4" s="1"/>
  <c r="M70" i="4"/>
  <c r="E70" i="4" s="1"/>
  <c r="O70" i="4" s="1"/>
  <c r="F10" i="9"/>
  <c r="F11" i="9" s="1"/>
  <c r="F12" i="9" s="1"/>
  <c r="F13" i="9" s="1"/>
  <c r="J85" i="4"/>
  <c r="J87" i="4" s="1"/>
  <c r="Q12" i="4" l="1"/>
  <c r="Q46" i="4"/>
  <c r="Q30" i="4"/>
  <c r="S68" i="4"/>
  <c r="U68" i="4" s="1"/>
  <c r="N8" i="4"/>
  <c r="F68" i="4"/>
  <c r="E66" i="4"/>
  <c r="O66" i="4" s="1"/>
  <c r="S66" i="4" s="1"/>
  <c r="U66" i="4" s="1"/>
  <c r="F69" i="4"/>
  <c r="F14" i="9"/>
  <c r="F70" i="4"/>
  <c r="F67" i="4"/>
  <c r="U78" i="4"/>
  <c r="O9" i="4"/>
  <c r="O10" i="4" s="1"/>
  <c r="O11" i="4" s="1"/>
  <c r="O12" i="4" s="1"/>
  <c r="O13" i="4" s="1"/>
  <c r="O14" i="4" s="1"/>
  <c r="O15" i="4" s="1"/>
  <c r="O16" i="4" s="1"/>
  <c r="O17" i="4" s="1"/>
  <c r="O18" i="4" s="1"/>
  <c r="O19" i="4" s="1"/>
  <c r="O20" i="4" s="1"/>
  <c r="O27" i="4"/>
  <c r="L85" i="4"/>
  <c r="L87" i="4" s="1"/>
  <c r="M81" i="4"/>
  <c r="T81" i="4"/>
  <c r="K85" i="4"/>
  <c r="K87" i="4" s="1"/>
  <c r="N85" i="4"/>
  <c r="N87" i="4" s="1"/>
  <c r="F64" i="4"/>
  <c r="F75" i="4"/>
  <c r="M82" i="4"/>
  <c r="G8" i="9"/>
  <c r="E28" i="15"/>
  <c r="D250" i="17" s="1"/>
  <c r="B9" i="13"/>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7" i="14"/>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9" i="15"/>
  <c r="B10" i="15" s="1"/>
  <c r="B11" i="15" s="1"/>
  <c r="B12" i="15" s="1"/>
  <c r="B13" i="15" s="1"/>
  <c r="B14" i="15" s="1"/>
  <c r="B15" i="15" s="1"/>
  <c r="B16" i="15" s="1"/>
  <c r="B17" i="15" s="1"/>
  <c r="B18" i="15" s="1"/>
  <c r="B19" i="15" s="1"/>
  <c r="B21" i="15" s="1"/>
  <c r="B22" i="15" s="1"/>
  <c r="B23" i="15" s="1"/>
  <c r="D5" i="15"/>
  <c r="Q31" i="4" l="1"/>
  <c r="Q13" i="4"/>
  <c r="Q47" i="4"/>
  <c r="N9" i="4"/>
  <c r="N10" i="4" s="1"/>
  <c r="N11" i="4" s="1"/>
  <c r="N12" i="4" s="1"/>
  <c r="N13" i="4" s="1"/>
  <c r="N14" i="4" s="1"/>
  <c r="N15" i="4" s="1"/>
  <c r="N16" i="4" s="1"/>
  <c r="N17" i="4" s="1"/>
  <c r="N18" i="4" s="1"/>
  <c r="N19" i="4" s="1"/>
  <c r="N20" i="4" s="1"/>
  <c r="F15" i="9"/>
  <c r="F16" i="9" s="1"/>
  <c r="F17" i="9" s="1"/>
  <c r="F18" i="9" s="1"/>
  <c r="F19" i="9" s="1"/>
  <c r="F20" i="9" s="1"/>
  <c r="F66" i="4"/>
  <c r="R43" i="4"/>
  <c r="R9" i="4"/>
  <c r="D40" i="15"/>
  <c r="D36" i="15"/>
  <c r="O67" i="4"/>
  <c r="S67" i="4" s="1"/>
  <c r="U67" i="4" s="1"/>
  <c r="O28" i="4"/>
  <c r="O29" i="4" s="1"/>
  <c r="O30" i="4" s="1"/>
  <c r="O31" i="4" s="1"/>
  <c r="O32" i="4" s="1"/>
  <c r="O33" i="4" s="1"/>
  <c r="O34" i="4" s="1"/>
  <c r="O35" i="4" s="1"/>
  <c r="O36" i="4" s="1"/>
  <c r="O37" i="4" s="1"/>
  <c r="O38" i="4" s="1"/>
  <c r="S70" i="4"/>
  <c r="S82" i="4" s="1"/>
  <c r="O83" i="4"/>
  <c r="I8" i="4" s="1"/>
  <c r="I9" i="4" s="1"/>
  <c r="I10" i="4" s="1"/>
  <c r="I11" i="4" s="1"/>
  <c r="I12" i="4" s="1"/>
  <c r="I13" i="4" s="1"/>
  <c r="I14" i="4" s="1"/>
  <c r="I15" i="4" s="1"/>
  <c r="I16" i="4" s="1"/>
  <c r="I17" i="4" s="1"/>
  <c r="I18" i="4" s="1"/>
  <c r="I19" i="4" s="1"/>
  <c r="I20" i="4" s="1"/>
  <c r="O43" i="4"/>
  <c r="B20" i="15"/>
  <c r="D35" i="15"/>
  <c r="D33" i="15"/>
  <c r="D30" i="15"/>
  <c r="D34" i="15"/>
  <c r="D32" i="15"/>
  <c r="D26" i="15"/>
  <c r="D24" i="15"/>
  <c r="D22" i="15"/>
  <c r="D27" i="15"/>
  <c r="D25" i="15"/>
  <c r="D23" i="15"/>
  <c r="D21" i="15"/>
  <c r="B24" i="15"/>
  <c r="B25" i="15" s="1"/>
  <c r="B26" i="15" s="1"/>
  <c r="B27" i="15" s="1"/>
  <c r="D8" i="15"/>
  <c r="D9" i="15"/>
  <c r="D11" i="15"/>
  <c r="D12" i="15"/>
  <c r="D13" i="15"/>
  <c r="D15" i="15"/>
  <c r="D17" i="15"/>
  <c r="D19" i="15"/>
  <c r="D39" i="15"/>
  <c r="D41" i="15"/>
  <c r="D10" i="15"/>
  <c r="D14" i="15"/>
  <c r="D16" i="15"/>
  <c r="D18" i="15"/>
  <c r="D38" i="15"/>
  <c r="Q14" i="4" l="1"/>
  <c r="Q48" i="4"/>
  <c r="Q32" i="4"/>
  <c r="Q33" i="4" s="1"/>
  <c r="R10" i="4"/>
  <c r="R28" i="4"/>
  <c r="R44" i="4"/>
  <c r="U70" i="4"/>
  <c r="M8" i="4"/>
  <c r="M9" i="4" s="1"/>
  <c r="F9" i="4" s="1"/>
  <c r="U82" i="4"/>
  <c r="O81" i="4"/>
  <c r="E8" i="4" s="1"/>
  <c r="S81" i="4"/>
  <c r="U81" i="4" s="1"/>
  <c r="U64" i="4"/>
  <c r="S83" i="4"/>
  <c r="U75" i="4"/>
  <c r="O44" i="4"/>
  <c r="B30" i="15"/>
  <c r="B31" i="15" s="1"/>
  <c r="B32" i="15" s="1"/>
  <c r="B33" i="15" s="1"/>
  <c r="B34" i="15" s="1"/>
  <c r="B35" i="15" s="1"/>
  <c r="B28" i="15"/>
  <c r="B29" i="15" s="1"/>
  <c r="O22" i="4"/>
  <c r="D2" i="14"/>
  <c r="C2" i="14"/>
  <c r="C1" i="14"/>
  <c r="F21" i="1"/>
  <c r="E21" i="1"/>
  <c r="G19" i="1"/>
  <c r="G18" i="1"/>
  <c r="G17" i="1"/>
  <c r="G16" i="1"/>
  <c r="G15" i="1"/>
  <c r="G14" i="1"/>
  <c r="G13" i="1"/>
  <c r="G12" i="1"/>
  <c r="G11" i="1"/>
  <c r="G10" i="1"/>
  <c r="G9" i="1"/>
  <c r="G8" i="1"/>
  <c r="Q15" i="4" l="1"/>
  <c r="Q49" i="4"/>
  <c r="F8" i="4"/>
  <c r="R29" i="4"/>
  <c r="R11" i="4"/>
  <c r="R45" i="4"/>
  <c r="U83" i="4"/>
  <c r="E9" i="4"/>
  <c r="E10" i="4" s="1"/>
  <c r="M10" i="4"/>
  <c r="F10" i="4" s="1"/>
  <c r="B36" i="15"/>
  <c r="B37" i="15" s="1"/>
  <c r="B38" i="15" s="1"/>
  <c r="B39" i="15" s="1"/>
  <c r="B40" i="15" s="1"/>
  <c r="B41" i="15" s="1"/>
  <c r="G21" i="1"/>
  <c r="O45" i="4"/>
  <c r="E22" i="13"/>
  <c r="E26" i="13" l="1"/>
  <c r="D153" i="17"/>
  <c r="Q16" i="4"/>
  <c r="Q50" i="4"/>
  <c r="Q34" i="4"/>
  <c r="F59" i="4"/>
  <c r="F60" i="4" s="1"/>
  <c r="E11" i="4"/>
  <c r="E12" i="4" s="1"/>
  <c r="E13" i="4" s="1"/>
  <c r="E14" i="4" s="1"/>
  <c r="E15" i="4" s="1"/>
  <c r="E16" i="4" s="1"/>
  <c r="E17" i="4" s="1"/>
  <c r="E18" i="4" s="1"/>
  <c r="E19" i="4" s="1"/>
  <c r="E20" i="4" s="1"/>
  <c r="R30" i="4"/>
  <c r="R12" i="4"/>
  <c r="R46" i="4"/>
  <c r="M11" i="4"/>
  <c r="F11" i="4" s="1"/>
  <c r="O46" i="4"/>
  <c r="D34" i="14"/>
  <c r="D38" i="14" l="1"/>
  <c r="D150" i="17"/>
  <c r="I228" i="17" s="1"/>
  <c r="I230" i="17" s="1"/>
  <c r="I232" i="17" s="1"/>
  <c r="I234" i="17" s="1"/>
  <c r="I153" i="17"/>
  <c r="Q35" i="4"/>
  <c r="Q17" i="4"/>
  <c r="Q51" i="4"/>
  <c r="R31" i="4"/>
  <c r="R47" i="4"/>
  <c r="R13" i="4"/>
  <c r="M12" i="4"/>
  <c r="F12" i="4" s="1"/>
  <c r="O47" i="4"/>
  <c r="D5" i="13"/>
  <c r="B4" i="13"/>
  <c r="D159" i="17" l="1"/>
  <c r="D130" i="17" s="1"/>
  <c r="D133" i="17" s="1"/>
  <c r="D135" i="17" s="1"/>
  <c r="G131" i="17"/>
  <c r="I131" i="17" s="1"/>
  <c r="G150" i="17"/>
  <c r="Q18" i="4"/>
  <c r="Q52" i="4"/>
  <c r="Q36" i="4"/>
  <c r="Q37" i="4" s="1"/>
  <c r="M13" i="4"/>
  <c r="F13" i="4" s="1"/>
  <c r="R32" i="4"/>
  <c r="R48" i="4"/>
  <c r="R14" i="4"/>
  <c r="O48" i="4"/>
  <c r="J25" i="4"/>
  <c r="J42" i="4" s="1"/>
  <c r="I25" i="4"/>
  <c r="I42" i="4" s="1"/>
  <c r="I150" i="17" l="1"/>
  <c r="G152" i="17"/>
  <c r="I152" i="17" s="1"/>
  <c r="G156" i="17"/>
  <c r="I156" i="17" s="1"/>
  <c r="Q19" i="4"/>
  <c r="Q53" i="4"/>
  <c r="M14" i="4"/>
  <c r="F14" i="4" s="1"/>
  <c r="R33" i="4"/>
  <c r="R15" i="4"/>
  <c r="R49" i="4"/>
  <c r="O49" i="4"/>
  <c r="I159" i="17" l="1"/>
  <c r="I130" i="17" s="1"/>
  <c r="I133" i="17" s="1"/>
  <c r="I135" i="17" s="1"/>
  <c r="Q20" i="4"/>
  <c r="Q54" i="4"/>
  <c r="Q38" i="4"/>
  <c r="Q40" i="4" s="1"/>
  <c r="M15" i="4"/>
  <c r="F15" i="4" s="1"/>
  <c r="R34" i="4"/>
  <c r="R16" i="4"/>
  <c r="R50" i="4"/>
  <c r="M16" i="4"/>
  <c r="F16" i="4" s="1"/>
  <c r="O50" i="4"/>
  <c r="Q22" i="4" l="1"/>
  <c r="Q55" i="4"/>
  <c r="Q57" i="4" s="1"/>
  <c r="R35" i="4"/>
  <c r="R17" i="4"/>
  <c r="R51" i="4"/>
  <c r="M17" i="4"/>
  <c r="F17" i="4" s="1"/>
  <c r="O51" i="4"/>
  <c r="R52" i="4" l="1"/>
  <c r="R18" i="4"/>
  <c r="R36" i="4"/>
  <c r="M18" i="4"/>
  <c r="F18" i="4" s="1"/>
  <c r="O52" i="4"/>
  <c r="R37" i="4" l="1"/>
  <c r="R53" i="4"/>
  <c r="R19" i="4"/>
  <c r="R20" i="4" s="1"/>
  <c r="M19" i="4"/>
  <c r="F19" i="4" s="1"/>
  <c r="O53" i="4"/>
  <c r="R38" i="4" l="1"/>
  <c r="R55" i="4" s="1"/>
  <c r="R54" i="4"/>
  <c r="R22" i="4"/>
  <c r="M20" i="4"/>
  <c r="F20" i="4" s="1"/>
  <c r="O54" i="4"/>
  <c r="R57" i="4" l="1"/>
  <c r="R40" i="4"/>
  <c r="O55" i="4"/>
  <c r="O57" i="4" s="1"/>
  <c r="O40" i="4"/>
  <c r="F9" i="8" l="1"/>
  <c r="F10" i="8" s="1"/>
  <c r="F11" i="8" s="1"/>
  <c r="F12" i="8" s="1"/>
  <c r="F13" i="8" s="1"/>
  <c r="F14" i="8" s="1"/>
  <c r="F15" i="8" s="1"/>
  <c r="F16" i="8" s="1"/>
  <c r="F17" i="8" s="1"/>
  <c r="F18" i="8" s="1"/>
  <c r="F19" i="8" s="1"/>
  <c r="F20" i="8" s="1"/>
  <c r="E9" i="8"/>
  <c r="E10" i="8" s="1"/>
  <c r="E11" i="8" s="1"/>
  <c r="E12" i="8" s="1"/>
  <c r="E13" i="8" s="1"/>
  <c r="E14" i="8" s="1"/>
  <c r="E15" i="8" s="1"/>
  <c r="E16" i="8" s="1"/>
  <c r="E17" i="8" s="1"/>
  <c r="E18" i="8" s="1"/>
  <c r="E19" i="8" s="1"/>
  <c r="E20" i="8" s="1"/>
  <c r="N22" i="4" l="1"/>
  <c r="E5" i="9"/>
  <c r="D19" i="9" s="1"/>
  <c r="B4" i="9"/>
  <c r="F22" i="8"/>
  <c r="E22" i="8"/>
  <c r="E5" i="8"/>
  <c r="D20" i="8" s="1"/>
  <c r="B4" i="8"/>
  <c r="E5" i="7"/>
  <c r="D20" i="7" s="1"/>
  <c r="E22" i="7"/>
  <c r="B4" i="7"/>
  <c r="D17" i="7" l="1"/>
  <c r="D9" i="7"/>
  <c r="D13" i="7"/>
  <c r="E10" i="9"/>
  <c r="E11" i="9" s="1"/>
  <c r="G9" i="9"/>
  <c r="F22" i="9"/>
  <c r="D254" i="17" s="1"/>
  <c r="D10" i="7"/>
  <c r="D14" i="7"/>
  <c r="D18" i="7"/>
  <c r="D11" i="7"/>
  <c r="D19" i="7"/>
  <c r="D15" i="7"/>
  <c r="D8" i="7"/>
  <c r="D12" i="7"/>
  <c r="D16" i="7"/>
  <c r="D8" i="9"/>
  <c r="D10" i="9"/>
  <c r="D12" i="9"/>
  <c r="D14" i="9"/>
  <c r="D16" i="9"/>
  <c r="D18" i="9"/>
  <c r="D20" i="9"/>
  <c r="D9" i="9"/>
  <c r="D11" i="9"/>
  <c r="D13" i="9"/>
  <c r="D15" i="9"/>
  <c r="D17" i="9"/>
  <c r="D8" i="8"/>
  <c r="D9" i="8"/>
  <c r="D10" i="8"/>
  <c r="D11" i="8"/>
  <c r="D12" i="8"/>
  <c r="D13" i="8"/>
  <c r="D14" i="8"/>
  <c r="D15" i="8"/>
  <c r="D16" i="8"/>
  <c r="D17" i="8"/>
  <c r="D18" i="8"/>
  <c r="D19" i="8"/>
  <c r="G10" i="9" l="1"/>
  <c r="E5" i="6"/>
  <c r="D20" i="6" s="1"/>
  <c r="G22" i="6"/>
  <c r="F22" i="6"/>
  <c r="E22" i="6"/>
  <c r="H20" i="6"/>
  <c r="H19" i="6"/>
  <c r="H18" i="6"/>
  <c r="H17" i="6"/>
  <c r="H16" i="6"/>
  <c r="H15" i="6"/>
  <c r="H14" i="6"/>
  <c r="H13" i="6"/>
  <c r="H12" i="6"/>
  <c r="H11" i="6"/>
  <c r="H10" i="6"/>
  <c r="H9" i="6"/>
  <c r="H8" i="6"/>
  <c r="B4" i="6"/>
  <c r="E15" i="3"/>
  <c r="E5" i="3"/>
  <c r="C4" i="3"/>
  <c r="G11" i="9" l="1"/>
  <c r="E12" i="9"/>
  <c r="H22" i="6"/>
  <c r="D8" i="6"/>
  <c r="D9" i="6"/>
  <c r="D10" i="6"/>
  <c r="D11" i="6"/>
  <c r="D12" i="6"/>
  <c r="D13" i="6"/>
  <c r="D14" i="6"/>
  <c r="D15" i="6"/>
  <c r="D16" i="6"/>
  <c r="D17" i="6"/>
  <c r="D18" i="6"/>
  <c r="D19" i="6"/>
  <c r="E13" i="9" l="1"/>
  <c r="G12" i="9"/>
  <c r="G22" i="5"/>
  <c r="E5" i="5"/>
  <c r="D20" i="5" s="1"/>
  <c r="B4" i="5"/>
  <c r="K55" i="4"/>
  <c r="H55" i="4"/>
  <c r="K54" i="4"/>
  <c r="H54" i="4"/>
  <c r="K53" i="4"/>
  <c r="H53" i="4"/>
  <c r="K52" i="4"/>
  <c r="H52" i="4"/>
  <c r="K51" i="4"/>
  <c r="H51" i="4"/>
  <c r="K50" i="4"/>
  <c r="H50" i="4"/>
  <c r="K49" i="4"/>
  <c r="H49" i="4"/>
  <c r="K48" i="4"/>
  <c r="H48" i="4"/>
  <c r="K47" i="4"/>
  <c r="H47" i="4"/>
  <c r="K46" i="4"/>
  <c r="H46" i="4"/>
  <c r="K45" i="4"/>
  <c r="H45" i="4"/>
  <c r="K44" i="4"/>
  <c r="H44" i="4"/>
  <c r="K43" i="4"/>
  <c r="H43" i="4"/>
  <c r="K40" i="4"/>
  <c r="H40" i="4"/>
  <c r="K22" i="4"/>
  <c r="K61" i="4" s="1"/>
  <c r="I22" i="4"/>
  <c r="H22" i="4"/>
  <c r="H61" i="4" s="1"/>
  <c r="E22" i="4"/>
  <c r="E5" i="4"/>
  <c r="D20" i="4" s="1"/>
  <c r="B4" i="4"/>
  <c r="E5" i="1"/>
  <c r="D18" i="1" s="1"/>
  <c r="B4" i="1"/>
  <c r="E61" i="4" l="1"/>
  <c r="Q81" i="4"/>
  <c r="I61" i="4"/>
  <c r="Q83" i="4"/>
  <c r="E14" i="9"/>
  <c r="G13" i="9"/>
  <c r="D9" i="1"/>
  <c r="D11" i="1"/>
  <c r="D13" i="1"/>
  <c r="D15" i="1"/>
  <c r="D17" i="1"/>
  <c r="D19" i="1"/>
  <c r="D27" i="4"/>
  <c r="D28" i="4"/>
  <c r="D29" i="4"/>
  <c r="D30" i="4"/>
  <c r="D31" i="4"/>
  <c r="D32" i="4"/>
  <c r="D33" i="4"/>
  <c r="D34" i="4"/>
  <c r="D35" i="4"/>
  <c r="D36" i="4"/>
  <c r="D37" i="4"/>
  <c r="D38" i="4"/>
  <c r="D26" i="4"/>
  <c r="D44" i="4"/>
  <c r="D46" i="4"/>
  <c r="D48" i="4"/>
  <c r="D50" i="4"/>
  <c r="D52" i="4"/>
  <c r="D54" i="4"/>
  <c r="D8" i="1"/>
  <c r="D10" i="1"/>
  <c r="D12" i="1"/>
  <c r="D14" i="1"/>
  <c r="D16" i="1"/>
  <c r="D43" i="4"/>
  <c r="D45" i="4"/>
  <c r="D47" i="4"/>
  <c r="D49" i="4"/>
  <c r="D51" i="4"/>
  <c r="D53" i="4"/>
  <c r="D55" i="4"/>
  <c r="K57" i="4"/>
  <c r="H57" i="4"/>
  <c r="D8" i="5"/>
  <c r="D9" i="5"/>
  <c r="D10" i="5"/>
  <c r="D11" i="5"/>
  <c r="D12" i="5"/>
  <c r="D13" i="5"/>
  <c r="D14" i="5"/>
  <c r="D15" i="5"/>
  <c r="D16" i="5"/>
  <c r="D17" i="5"/>
  <c r="D18" i="5"/>
  <c r="D19" i="5"/>
  <c r="D9" i="4"/>
  <c r="D8" i="4" s="1"/>
  <c r="D10" i="4"/>
  <c r="D11" i="4"/>
  <c r="D12" i="4"/>
  <c r="D13" i="4"/>
  <c r="D14" i="4"/>
  <c r="D15" i="4"/>
  <c r="D16" i="4"/>
  <c r="D17" i="4"/>
  <c r="D18" i="4"/>
  <c r="D19" i="4"/>
  <c r="R83" i="4" l="1"/>
  <c r="P83" i="4"/>
  <c r="I26" i="4" s="1"/>
  <c r="I43" i="4" s="1"/>
  <c r="R81" i="4"/>
  <c r="P81" i="4"/>
  <c r="E26" i="4" s="1"/>
  <c r="E43" i="4" s="1"/>
  <c r="E15" i="9"/>
  <c r="G14" i="9"/>
  <c r="E27" i="4" l="1"/>
  <c r="E28" i="4" s="1"/>
  <c r="E44" i="4"/>
  <c r="I27" i="4"/>
  <c r="E29" i="4"/>
  <c r="E45" i="4"/>
  <c r="E16" i="9"/>
  <c r="E17" i="9" s="1"/>
  <c r="G15" i="9"/>
  <c r="I28" i="4" l="1"/>
  <c r="I44" i="4"/>
  <c r="E30" i="4"/>
  <c r="E46" i="4"/>
  <c r="G16" i="9"/>
  <c r="I29" i="4" l="1"/>
  <c r="I45" i="4"/>
  <c r="E31" i="4"/>
  <c r="E47" i="4"/>
  <c r="G17" i="9"/>
  <c r="E18" i="9"/>
  <c r="M22" i="4"/>
  <c r="I30" i="4" l="1"/>
  <c r="I46" i="4"/>
  <c r="E32" i="4"/>
  <c r="E48" i="4"/>
  <c r="E19" i="9"/>
  <c r="G18" i="9"/>
  <c r="I31" i="4" l="1"/>
  <c r="I47" i="4"/>
  <c r="E33" i="4"/>
  <c r="E49" i="4"/>
  <c r="E20" i="9"/>
  <c r="G20" i="9" s="1"/>
  <c r="G19" i="9"/>
  <c r="I32" i="4" l="1"/>
  <c r="I48" i="4"/>
  <c r="E34" i="4"/>
  <c r="E50" i="4"/>
  <c r="T79" i="4"/>
  <c r="T84" i="4" s="1"/>
  <c r="T85" i="4" s="1"/>
  <c r="T87" i="4" s="1"/>
  <c r="M79" i="4"/>
  <c r="M84" i="4" s="1"/>
  <c r="M85" i="4" s="1"/>
  <c r="M87" i="4" s="1"/>
  <c r="O79" i="4"/>
  <c r="F22" i="4"/>
  <c r="E22" i="9"/>
  <c r="D253" i="17" s="1"/>
  <c r="I84" i="4"/>
  <c r="G253" i="17" l="1"/>
  <c r="D255" i="17"/>
  <c r="I33" i="4"/>
  <c r="I49" i="4"/>
  <c r="I85" i="4"/>
  <c r="I87" i="4" s="1"/>
  <c r="E35" i="4"/>
  <c r="E51" i="4"/>
  <c r="F61" i="4"/>
  <c r="Q82" i="4"/>
  <c r="O84" i="4"/>
  <c r="S79" i="4"/>
  <c r="E253" i="17" l="1"/>
  <c r="E254" i="17"/>
  <c r="I254" i="17" s="1"/>
  <c r="G262" i="17"/>
  <c r="I262" i="17" s="1"/>
  <c r="I264" i="17" s="1"/>
  <c r="P82" i="4"/>
  <c r="I34" i="4"/>
  <c r="I50" i="4"/>
  <c r="R82" i="4"/>
  <c r="E36" i="4"/>
  <c r="E52" i="4"/>
  <c r="S84" i="4"/>
  <c r="U84" i="4" s="1"/>
  <c r="U79" i="4"/>
  <c r="E255" i="17" l="1"/>
  <c r="I253" i="17"/>
  <c r="I255" i="17" s="1"/>
  <c r="I35" i="4"/>
  <c r="I51" i="4"/>
  <c r="S85" i="4"/>
  <c r="S87" i="4" s="1"/>
  <c r="E37" i="4"/>
  <c r="E53" i="4"/>
  <c r="D181" i="17" l="1"/>
  <c r="I187" i="17" s="1"/>
  <c r="I189" i="17" s="1"/>
  <c r="D192" i="17"/>
  <c r="D187" i="17" s="1"/>
  <c r="D189" i="17" s="1"/>
  <c r="I192" i="17"/>
  <c r="I258" i="17"/>
  <c r="I266" i="17"/>
  <c r="I52" i="4"/>
  <c r="I36" i="4"/>
  <c r="E38" i="4"/>
  <c r="E54" i="4"/>
  <c r="I195" i="17" l="1"/>
  <c r="D195" i="17"/>
  <c r="I37" i="4"/>
  <c r="I53" i="4"/>
  <c r="E24" i="4"/>
  <c r="E55" i="4"/>
  <c r="E57" i="4" s="1"/>
  <c r="E40" i="4"/>
  <c r="I38" i="4" l="1"/>
  <c r="I54" i="4"/>
  <c r="I24" i="4" l="1"/>
  <c r="I40" i="4"/>
  <c r="I55" i="4"/>
  <c r="I57" i="4" s="1"/>
  <c r="J22" i="4" l="1"/>
  <c r="J61" i="4" l="1"/>
  <c r="L61" i="4" s="1"/>
  <c r="Q84" i="4"/>
  <c r="R84" i="4" l="1"/>
  <c r="P84" i="4"/>
  <c r="J26" i="4" l="1"/>
  <c r="J43" i="4" s="1"/>
  <c r="P85" i="4"/>
  <c r="J27" i="4"/>
  <c r="J28" i="4" l="1"/>
  <c r="J44" i="4"/>
  <c r="P87" i="4"/>
  <c r="J45" i="4" l="1"/>
  <c r="J29" i="4"/>
  <c r="J30" i="4" l="1"/>
  <c r="J46" i="4"/>
  <c r="J47" i="4" l="1"/>
  <c r="J31" i="4"/>
  <c r="J32" i="4" l="1"/>
  <c r="J48" i="4"/>
  <c r="J49" i="4" l="1"/>
  <c r="J33" i="4"/>
  <c r="J50" i="4" l="1"/>
  <c r="J34" i="4"/>
  <c r="J51" i="4" l="1"/>
  <c r="J35" i="4"/>
  <c r="J52" i="4" l="1"/>
  <c r="J36" i="4"/>
  <c r="J37" i="4" l="1"/>
  <c r="J53" i="4"/>
  <c r="J54" i="4" l="1"/>
  <c r="J38" i="4"/>
  <c r="J40" i="4" l="1"/>
  <c r="J55" i="4"/>
  <c r="J57" i="4" s="1"/>
  <c r="J24" i="4"/>
  <c r="F53" i="5" l="1"/>
  <c r="J53" i="5"/>
  <c r="E45" i="5"/>
  <c r="E47" i="5" s="1"/>
  <c r="E26" i="5" l="1"/>
  <c r="F45" i="5"/>
  <c r="G47" i="5"/>
  <c r="F30" i="5"/>
  <c r="H30" i="5" l="1"/>
  <c r="G73" i="4"/>
  <c r="F12" i="5"/>
  <c r="F47" i="5"/>
  <c r="E39" i="5" s="1"/>
  <c r="E27" i="5" s="1"/>
  <c r="I45" i="5"/>
  <c r="F46" i="5"/>
  <c r="E29" i="5"/>
  <c r="H26" i="5"/>
  <c r="J26" i="5" s="1"/>
  <c r="E8" i="5" l="1"/>
  <c r="H27" i="5"/>
  <c r="E72" i="4"/>
  <c r="H29" i="5"/>
  <c r="F13" i="5"/>
  <c r="F14" i="5" s="1"/>
  <c r="F15" i="5" s="1"/>
  <c r="F16" i="5" s="1"/>
  <c r="F17" i="5" s="1"/>
  <c r="F18" i="5" s="1"/>
  <c r="F19" i="5" s="1"/>
  <c r="F20" i="5" s="1"/>
  <c r="F22" i="5"/>
  <c r="F90" i="4"/>
  <c r="F95" i="4" s="1"/>
  <c r="I46" i="5"/>
  <c r="I47" i="5" s="1"/>
  <c r="H73" i="4"/>
  <c r="S73" i="4"/>
  <c r="P72" i="4" l="1"/>
  <c r="O72" i="4"/>
  <c r="E9" i="5"/>
  <c r="H8" i="5"/>
  <c r="E10" i="5" l="1"/>
  <c r="H9" i="5"/>
  <c r="P8" i="4"/>
  <c r="S72" i="4"/>
  <c r="O82" i="4"/>
  <c r="O85" i="4" s="1"/>
  <c r="P26" i="4"/>
  <c r="T72" i="4"/>
  <c r="P27" i="4" l="1"/>
  <c r="G27" i="4" s="1"/>
  <c r="G26" i="4"/>
  <c r="P43" i="4"/>
  <c r="G8" i="4"/>
  <c r="P9" i="4"/>
  <c r="O87" i="4"/>
  <c r="E11" i="5"/>
  <c r="H10" i="5"/>
  <c r="D173" i="17" l="1"/>
  <c r="E12" i="5"/>
  <c r="H11" i="5"/>
  <c r="P28" i="4"/>
  <c r="G9" i="4"/>
  <c r="P44" i="4"/>
  <c r="P10" i="4"/>
  <c r="F26" i="4"/>
  <c r="G43" i="4"/>
  <c r="S8" i="4"/>
  <c r="L8" i="4"/>
  <c r="D177" i="17" l="1"/>
  <c r="D197" i="17" s="1"/>
  <c r="D206" i="17" s="1"/>
  <c r="I173" i="17"/>
  <c r="I177" i="17" s="1"/>
  <c r="I197" i="17" s="1"/>
  <c r="I206" i="17" s="1"/>
  <c r="I10" i="17" s="1"/>
  <c r="I31" i="17" s="1"/>
  <c r="F43" i="4"/>
  <c r="F27" i="4"/>
  <c r="L26" i="4"/>
  <c r="G28" i="4"/>
  <c r="P29" i="4"/>
  <c r="G10" i="4"/>
  <c r="P45" i="4"/>
  <c r="P11" i="4"/>
  <c r="S9" i="4"/>
  <c r="G44" i="4"/>
  <c r="L9" i="4"/>
  <c r="E13" i="5"/>
  <c r="H12" i="5"/>
  <c r="D43" i="17" l="1"/>
  <c r="O34" i="17"/>
  <c r="O33" i="17"/>
  <c r="P12" i="4"/>
  <c r="G11" i="4"/>
  <c r="P46" i="4"/>
  <c r="F28" i="4"/>
  <c r="F44" i="4"/>
  <c r="L27" i="4"/>
  <c r="L44" i="4" s="1"/>
  <c r="E14" i="5"/>
  <c r="H13" i="5"/>
  <c r="S10" i="4"/>
  <c r="G45" i="4"/>
  <c r="L10" i="4"/>
  <c r="P30" i="4"/>
  <c r="G29" i="4"/>
  <c r="M26" i="4"/>
  <c r="L43" i="4"/>
  <c r="O35" i="17" l="1"/>
  <c r="D44" i="17"/>
  <c r="D49" i="17"/>
  <c r="I47" i="17"/>
  <c r="D47" i="17"/>
  <c r="I49" i="17"/>
  <c r="I48" i="17"/>
  <c r="D48" i="17"/>
  <c r="P31" i="4"/>
  <c r="G31" i="4" s="1"/>
  <c r="G30" i="4"/>
  <c r="E15" i="5"/>
  <c r="H14" i="5"/>
  <c r="S11" i="4"/>
  <c r="G46" i="4"/>
  <c r="L11" i="4"/>
  <c r="G12" i="4"/>
  <c r="P13" i="4"/>
  <c r="P47" i="4"/>
  <c r="F29" i="4"/>
  <c r="F45" i="4"/>
  <c r="L28" i="4"/>
  <c r="S12" i="4" l="1"/>
  <c r="G47" i="4"/>
  <c r="L12" i="4"/>
  <c r="L45" i="4"/>
  <c r="E16" i="5"/>
  <c r="H15" i="5"/>
  <c r="F30" i="4"/>
  <c r="F46" i="4"/>
  <c r="L29" i="4"/>
  <c r="L46" i="4" s="1"/>
  <c r="P32" i="4"/>
  <c r="G32" i="4" s="1"/>
  <c r="G13" i="4"/>
  <c r="P14" i="4"/>
  <c r="P48" i="4"/>
  <c r="S13" i="4" l="1"/>
  <c r="G48" i="4"/>
  <c r="L13" i="4"/>
  <c r="F31" i="4"/>
  <c r="F47" i="4"/>
  <c r="L30" i="4"/>
  <c r="P33" i="4"/>
  <c r="P15" i="4"/>
  <c r="G14" i="4"/>
  <c r="P49" i="4"/>
  <c r="E17" i="5"/>
  <c r="H16" i="5"/>
  <c r="S14" i="4" l="1"/>
  <c r="G49" i="4"/>
  <c r="L14" i="4"/>
  <c r="L47" i="4"/>
  <c r="P34" i="4"/>
  <c r="G34" i="4" s="1"/>
  <c r="P16" i="4"/>
  <c r="G15" i="4"/>
  <c r="P50" i="4"/>
  <c r="E18" i="5"/>
  <c r="H17" i="5"/>
  <c r="G33" i="4"/>
  <c r="F32" i="4"/>
  <c r="F48" i="4"/>
  <c r="L31" i="4"/>
  <c r="L48" i="4" s="1"/>
  <c r="S15" i="4" l="1"/>
  <c r="G50" i="4"/>
  <c r="L15" i="4"/>
  <c r="F33" i="4"/>
  <c r="F49" i="4"/>
  <c r="L32" i="4"/>
  <c r="L49" i="4" s="1"/>
  <c r="E19" i="5"/>
  <c r="H18" i="5"/>
  <c r="P35" i="4"/>
  <c r="G35" i="4" s="1"/>
  <c r="G16" i="4"/>
  <c r="P17" i="4"/>
  <c r="P51" i="4"/>
  <c r="E20" i="5" l="1"/>
  <c r="H19" i="5"/>
  <c r="F34" i="4"/>
  <c r="F50" i="4"/>
  <c r="L33" i="4"/>
  <c r="S16" i="4"/>
  <c r="G51" i="4"/>
  <c r="L16" i="4"/>
  <c r="P36" i="4"/>
  <c r="G36" i="4" s="1"/>
  <c r="P18" i="4"/>
  <c r="G17" i="4"/>
  <c r="P52" i="4"/>
  <c r="S17" i="4" l="1"/>
  <c r="G52" i="4"/>
  <c r="L17" i="4"/>
  <c r="F35" i="4"/>
  <c r="F51" i="4"/>
  <c r="L34" i="4"/>
  <c r="L51" i="4" s="1"/>
  <c r="P37" i="4"/>
  <c r="G18" i="4"/>
  <c r="P19" i="4"/>
  <c r="P53" i="4"/>
  <c r="L50" i="4"/>
  <c r="H20" i="5"/>
  <c r="H22" i="5" s="1"/>
  <c r="E22" i="5"/>
  <c r="P38" i="4" l="1"/>
  <c r="G37" i="4"/>
  <c r="P20" i="4"/>
  <c r="G19" i="4"/>
  <c r="P54" i="4"/>
  <c r="S18" i="4"/>
  <c r="G53" i="4"/>
  <c r="L18" i="4"/>
  <c r="F36" i="4"/>
  <c r="F52" i="4"/>
  <c r="L35" i="4"/>
  <c r="L52" i="4" s="1"/>
  <c r="S19" i="4" l="1"/>
  <c r="G54" i="4"/>
  <c r="L19" i="4"/>
  <c r="G20" i="4"/>
  <c r="P22" i="4"/>
  <c r="F37" i="4"/>
  <c r="F53" i="4"/>
  <c r="L36" i="4"/>
  <c r="L53" i="4" s="1"/>
  <c r="P55" i="4"/>
  <c r="P57" i="4" s="1"/>
  <c r="G38" i="4"/>
  <c r="P40" i="4"/>
  <c r="G55" i="4" l="1"/>
  <c r="G57" i="4" s="1"/>
  <c r="G40" i="4"/>
  <c r="F38" i="4"/>
  <c r="F54" i="4"/>
  <c r="L37" i="4"/>
  <c r="L54" i="4" s="1"/>
  <c r="R23" i="4"/>
  <c r="Q23" i="4"/>
  <c r="S20" i="4"/>
  <c r="L20" i="4"/>
  <c r="L22" i="4" s="1"/>
  <c r="G22" i="4"/>
  <c r="F55" i="4" l="1"/>
  <c r="F57" i="4" s="1"/>
  <c r="F24" i="4"/>
  <c r="L38" i="4"/>
  <c r="F40" i="4"/>
  <c r="L55" i="4" l="1"/>
  <c r="L57" i="4" s="1"/>
  <c r="L40" i="4"/>
</calcChain>
</file>

<file path=xl/sharedStrings.xml><?xml version="1.0" encoding="utf-8"?>
<sst xmlns="http://schemas.openxmlformats.org/spreadsheetml/2006/main" count="1039" uniqueCount="674">
  <si>
    <t>Line No.</t>
  </si>
  <si>
    <t xml:space="preserve">Month </t>
  </si>
  <si>
    <t>Year</t>
  </si>
  <si>
    <t>Otter Tail Power Pricing Zone</t>
  </si>
  <si>
    <t>Missouri River Energy Services</t>
  </si>
  <si>
    <t>Attachment O Workpapers - Divisor</t>
  </si>
  <si>
    <t xml:space="preserve">Attachment O Workpapers </t>
  </si>
  <si>
    <t>Forecasted 12 Months Ended December 31,</t>
  </si>
  <si>
    <t>WAPA Pricing Zone</t>
  </si>
  <si>
    <t>Total Divisor</t>
  </si>
  <si>
    <t>January</t>
  </si>
  <si>
    <t>February</t>
  </si>
  <si>
    <t>March</t>
  </si>
  <si>
    <t>April</t>
  </si>
  <si>
    <t>May</t>
  </si>
  <si>
    <t>June</t>
  </si>
  <si>
    <t>July</t>
  </si>
  <si>
    <t>August</t>
  </si>
  <si>
    <t>September</t>
  </si>
  <si>
    <t>October</t>
  </si>
  <si>
    <t>November</t>
  </si>
  <si>
    <t>December</t>
  </si>
  <si>
    <t>12 Month Average</t>
  </si>
  <si>
    <t>Production</t>
  </si>
  <si>
    <t>Transmission</t>
  </si>
  <si>
    <t>Distribution</t>
  </si>
  <si>
    <t>Common</t>
  </si>
  <si>
    <t>13 Month Average</t>
  </si>
  <si>
    <t>Total Gross Plant in Service</t>
  </si>
  <si>
    <t>Gross Plant in Service</t>
  </si>
  <si>
    <t>Accumulated Depreciation</t>
  </si>
  <si>
    <t>Total Accumulated Depreciation</t>
  </si>
  <si>
    <t>Net Plant</t>
  </si>
  <si>
    <t>Total Net Plant in Service</t>
  </si>
  <si>
    <t>Attachment O Workpapers - Construction Work In Progress</t>
  </si>
  <si>
    <t>Attachment O Workpapers - Plant</t>
  </si>
  <si>
    <t>Fargo Phase 2</t>
  </si>
  <si>
    <t>Fargo Phase 3</t>
  </si>
  <si>
    <t>Brookings</t>
  </si>
  <si>
    <t>Total CWIP</t>
  </si>
  <si>
    <t>Account 190</t>
  </si>
  <si>
    <t>Total Adjustments to Rate Base</t>
  </si>
  <si>
    <t>Attachment O Workpapers - Adjustments to Rate Base</t>
  </si>
  <si>
    <t>Adjustments to Rate Base</t>
  </si>
  <si>
    <t>Account 281 (enter as negative)</t>
  </si>
  <si>
    <t>Account 282  (enter as negative)</t>
  </si>
  <si>
    <t>Account 283  (enter as negative)</t>
  </si>
  <si>
    <t>Account 255  (enter as negative)</t>
  </si>
  <si>
    <t>Total Abandoned Plant</t>
  </si>
  <si>
    <t>Attachment O Workpapers - Abandoned Plant</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</si>
  <si>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</si>
  <si>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</si>
  <si>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Materials and Supplies</t>
  </si>
  <si>
    <t>Prepayments - Account 165</t>
  </si>
  <si>
    <t>Attachment O Workpapers - Materials &amp; Supplies and Prepayments</t>
  </si>
  <si>
    <t>Attachment O Workpapers - Capital Structure</t>
  </si>
  <si>
    <t>Outstanding Long-term Debt</t>
  </si>
  <si>
    <t>Expense</t>
  </si>
  <si>
    <t>LSE Expenses included in Transmission O&amp;M Accounts</t>
  </si>
  <si>
    <t>Transmission O&amp;M Expenses</t>
  </si>
  <si>
    <t>FERC Annual Fees</t>
  </si>
  <si>
    <t>EPRI &amp; Regulatory Commission Expenses &amp; Non-safety Advertising</t>
  </si>
  <si>
    <t>Transmission Related Regulatory Commission Expenses</t>
  </si>
  <si>
    <t>Common Expenses</t>
  </si>
  <si>
    <t>Transmission Lease Payments</t>
  </si>
  <si>
    <t>Transmission Plant Depreciation Expense</t>
  </si>
  <si>
    <t>General Plant Depreciation Expense</t>
  </si>
  <si>
    <t>Common Plant Depreciation Expense</t>
  </si>
  <si>
    <t>Payroll Taxes</t>
  </si>
  <si>
    <t>Highway and Vehicle Taxes</t>
  </si>
  <si>
    <t>Property Taxes</t>
  </si>
  <si>
    <t>Gross Receipts Taxes</t>
  </si>
  <si>
    <t>Other Taxes</t>
  </si>
  <si>
    <t>Payments in Lieu of Taxes</t>
  </si>
  <si>
    <t>Wages and Salaries</t>
  </si>
  <si>
    <t xml:space="preserve">Production </t>
  </si>
  <si>
    <t>Other</t>
  </si>
  <si>
    <t>Budgeted Expense</t>
  </si>
  <si>
    <t>MBPP Production</t>
  </si>
  <si>
    <t>Worthington Wind</t>
  </si>
  <si>
    <t>Watertown</t>
  </si>
  <si>
    <t>Exira</t>
  </si>
  <si>
    <t>Irv Simmons</t>
  </si>
  <si>
    <t>MBPP Transmisison</t>
  </si>
  <si>
    <t>ITA Facilities</t>
  </si>
  <si>
    <t>Total</t>
  </si>
  <si>
    <t>Average Monthly</t>
  </si>
  <si>
    <t>MRES General Plant</t>
  </si>
  <si>
    <t>Monthly Depreciation Rate</t>
  </si>
  <si>
    <t>Annual Depreciation Rate</t>
  </si>
  <si>
    <t>Intangible</t>
  </si>
  <si>
    <t>Transmission O&amp;M Expense</t>
  </si>
  <si>
    <t>Administrative and General Expense</t>
  </si>
  <si>
    <t>Amount</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</si>
  <si>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</si>
  <si>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</si>
  <si>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</si>
  <si>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</si>
  <si>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</si>
  <si>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</si>
  <si>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</si>
  <si>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</si>
  <si>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</si>
  <si>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</si>
  <si>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</si>
  <si>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</si>
  <si>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</si>
  <si>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</si>
  <si>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</si>
  <si>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Difference</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</si>
  <si>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</si>
  <si>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</si>
  <si>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</si>
  <si>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</si>
  <si>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</si>
  <si>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</si>
  <si>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</si>
  <si>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</si>
  <si>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</si>
  <si>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</si>
  <si>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</si>
  <si>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</si>
  <si>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</si>
  <si>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</si>
  <si>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</si>
  <si>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</si>
  <si>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</si>
  <si>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</si>
  <si>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</si>
  <si>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</si>
  <si>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</si>
  <si>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</si>
  <si>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</si>
  <si>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</si>
  <si>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</si>
  <si>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</si>
  <si>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</si>
  <si>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</si>
  <si>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</si>
  <si>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</si>
  <si>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</si>
  <si>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</si>
  <si>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Total A&amp;G Per Budget</t>
  </si>
  <si>
    <t>Attachment O Workpapers - Budgeted A&amp;G Expenses</t>
  </si>
  <si>
    <t>Total Budgeted Transmisison O&amp;M</t>
  </si>
  <si>
    <t>Transmission Plant by Pricing Zone</t>
  </si>
  <si>
    <t>OTP Zone</t>
  </si>
  <si>
    <t>WAPA Zone</t>
  </si>
  <si>
    <t>427- Long Term Interest Expense</t>
  </si>
  <si>
    <t>428- Amortization of debt discount and expense</t>
  </si>
  <si>
    <t>428.1- Amortization of loss on reacquired debt</t>
  </si>
  <si>
    <t>429- Amortization of premium on debt</t>
  </si>
  <si>
    <t>429.1 Amortization of gain on reacquired debt</t>
  </si>
  <si>
    <t>430- Interest on debt to associated companies</t>
  </si>
  <si>
    <t>431- Other interest expense</t>
  </si>
  <si>
    <t>454- Rent from Electric Property</t>
  </si>
  <si>
    <t>Attach O, page 3, line 3 and EIA 412, Sch 7, line 13</t>
  </si>
  <si>
    <t>Attach O, page 3, line 5a</t>
  </si>
  <si>
    <t>Attach O, page 3, line 5</t>
  </si>
  <si>
    <t>Attach O, page 3, line 4</t>
  </si>
  <si>
    <t>Attach O, page 4, line 35</t>
  </si>
  <si>
    <t>Attach O, page 4, line 36</t>
  </si>
  <si>
    <t>Attach O, page 4, line 36a</t>
  </si>
  <si>
    <t>Attach O, page 4, line 36b</t>
  </si>
  <si>
    <t>Attach O, page 4, line 12</t>
  </si>
  <si>
    <t>Attach O, page 4, line 13</t>
  </si>
  <si>
    <t>Attach O, page 4, line 14</t>
  </si>
  <si>
    <t>Attach O, page 4, line 15</t>
  </si>
  <si>
    <t>Attach O, page 3, line 6</t>
  </si>
  <si>
    <t>Attach O, page 3, line 7</t>
  </si>
  <si>
    <t>Attach O, page 3, line 9</t>
  </si>
  <si>
    <t>Attach O, page 3, line 10</t>
  </si>
  <si>
    <t>Attach O, page 3, line 11</t>
  </si>
  <si>
    <t>Attach O, page 3, line 13</t>
  </si>
  <si>
    <t>Attach O, page 3, line 14</t>
  </si>
  <si>
    <t>Attach O, page 3, line 16</t>
  </si>
  <si>
    <t>Attach O, page 3, line 17</t>
  </si>
  <si>
    <t>Attach O, page 3, line 18</t>
  </si>
  <si>
    <t>Attach O, page 3, line 19</t>
  </si>
  <si>
    <t>Attach O, page 4, line 21</t>
  </si>
  <si>
    <t>Attach O, page 4, line 34</t>
  </si>
  <si>
    <t>Attachment O Work papers - Other Expenses/ Income</t>
  </si>
  <si>
    <t>456.1- Other Electric Revenue</t>
  </si>
  <si>
    <t>a. Transmission charges for transmission transactions</t>
  </si>
  <si>
    <t>b. Transmission charges for all transmission transactions included in Divisor on page 1</t>
  </si>
  <si>
    <t>c. Transmission charges associated with Schedule 26</t>
  </si>
  <si>
    <t>d. Transmission charges associated with Schedule 26-A</t>
  </si>
  <si>
    <t>Budgeted Expense or Income</t>
  </si>
  <si>
    <t>Total Interest Expense</t>
  </si>
  <si>
    <t>Attach O, page 1, line 8</t>
  </si>
  <si>
    <t>Attachment O, Page 2</t>
  </si>
  <si>
    <t>Line 1</t>
  </si>
  <si>
    <t>Line 2</t>
  </si>
  <si>
    <t>Line 3</t>
  </si>
  <si>
    <t>Line 4</t>
  </si>
  <si>
    <t>Line 5</t>
  </si>
  <si>
    <t>Line 7</t>
  </si>
  <si>
    <t>Line 8</t>
  </si>
  <si>
    <t>Line 9</t>
  </si>
  <si>
    <t>Line 10</t>
  </si>
  <si>
    <t>Line 11</t>
  </si>
  <si>
    <t>Average Monthly Addition</t>
  </si>
  <si>
    <t>Line 18a</t>
  </si>
  <si>
    <t>Attachment O, Page 4</t>
  </si>
  <si>
    <t>Line 27</t>
  </si>
  <si>
    <t>Line 28</t>
  </si>
  <si>
    <t>Line 22</t>
  </si>
  <si>
    <t>Line 23</t>
  </si>
  <si>
    <t>Other Attachment O A&amp;G Expense Information</t>
  </si>
  <si>
    <t>Net Plant- Fargo 1</t>
  </si>
  <si>
    <t>Actual</t>
  </si>
  <si>
    <t xml:space="preserve">Projected </t>
  </si>
  <si>
    <t>MBPP General</t>
  </si>
  <si>
    <t>Plant</t>
  </si>
  <si>
    <t>A/Depreciation</t>
  </si>
  <si>
    <t>Marshall Wind Circuit</t>
  </si>
  <si>
    <t>Generation</t>
  </si>
  <si>
    <t>General Plant</t>
  </si>
  <si>
    <t>WMMPA General Plant</t>
  </si>
  <si>
    <t>MBPP Intangible</t>
  </si>
  <si>
    <t>WMMPA Share of Projected</t>
  </si>
  <si>
    <t>General</t>
  </si>
  <si>
    <t>Annual</t>
  </si>
  <si>
    <t>Fargo 1</t>
  </si>
  <si>
    <t>Fargo 2</t>
  </si>
  <si>
    <t>Fargo 3</t>
  </si>
  <si>
    <t>Depreciation</t>
  </si>
  <si>
    <t>Depreciation Rates</t>
  </si>
  <si>
    <t>Monthly</t>
  </si>
  <si>
    <t>W/O Incentives</t>
  </si>
  <si>
    <t>With Incentives</t>
  </si>
  <si>
    <t>Line 2a</t>
  </si>
  <si>
    <t>Line 8a</t>
  </si>
  <si>
    <t>Plant in Serrvice</t>
  </si>
  <si>
    <t>2014 Plant Closeouts</t>
  </si>
  <si>
    <t>Transnisison expense included in OATT</t>
  </si>
  <si>
    <t>Done</t>
  </si>
  <si>
    <t>Done.</t>
  </si>
  <si>
    <t>2014 Debt Issue</t>
  </si>
  <si>
    <t>Total Projected Cost</t>
  </si>
  <si>
    <t>Balance</t>
  </si>
  <si>
    <t>Per Terry, 3 line segments are expected to be closed out.</t>
  </si>
  <si>
    <t>Fargo</t>
  </si>
  <si>
    <t>12/31/13 Balance</t>
  </si>
  <si>
    <t>6/30/14 Balance</t>
  </si>
  <si>
    <t>Projected 12/31/14</t>
  </si>
  <si>
    <t>2015 CWIP Additions</t>
  </si>
  <si>
    <t>2015 Plant Closeouts</t>
  </si>
  <si>
    <t>2014 Debt Refunded</t>
  </si>
  <si>
    <t>2015 Debt Issue</t>
  </si>
  <si>
    <t>7-12/2014 Net Margin (Deficit)*</t>
  </si>
  <si>
    <t>2015 Net Margin</t>
  </si>
  <si>
    <t>Estimated 7-12/2014 Additions:</t>
  </si>
  <si>
    <t>Projected Brookings Closeout in 2014:</t>
  </si>
  <si>
    <t>* = Based on Discretionary Funds Table 1- 2014 budget book or post 2014 cash flow in 2014 capital budget sheet, exc. MRES (same as 2014 Budget/3).</t>
  </si>
  <si>
    <t>Total Projected Costs:</t>
  </si>
  <si>
    <t>7-12/2014 CWIP Additions</t>
  </si>
  <si>
    <t>Projected 2015 Closeouts (Assumed final phases are closed out in 1st quarter 2015.).</t>
  </si>
  <si>
    <t>Cost to 6/30/14</t>
  </si>
  <si>
    <t>Budgeted</t>
  </si>
  <si>
    <t>Per Jan's cash flow worksheet.</t>
  </si>
  <si>
    <t>Capital Adds (2014 Debt cash flow projections):</t>
  </si>
  <si>
    <t>CapX Per F/S</t>
  </si>
  <si>
    <t>Should be $0 after 3/31/15.</t>
  </si>
  <si>
    <t>Toatl Projected CapX Fargo (6/30/14 Report)</t>
  </si>
  <si>
    <t>WMMPA %</t>
  </si>
  <si>
    <t>WMMPA $</t>
  </si>
  <si>
    <t>WMMPA est. TotalWith Internal Costs</t>
  </si>
  <si>
    <t>Alloaction due to Alex Sub</t>
  </si>
  <si>
    <t>Per Terry, Fargo 2 energized in April 2014.</t>
  </si>
  <si>
    <t>Projected Phase 2 cost- $27.9 million- see CWIP tab.</t>
  </si>
  <si>
    <t>Projected 2015 Additions *</t>
  </si>
  <si>
    <t>Estimated</t>
  </si>
  <si>
    <t>Mo. Remaining</t>
  </si>
  <si>
    <t xml:space="preserve">Fargo 2 </t>
  </si>
  <si>
    <t>A/Depr.</t>
  </si>
  <si>
    <t xml:space="preserve">Change in </t>
  </si>
  <si>
    <t>Page 1 of 5</t>
  </si>
  <si>
    <t xml:space="preserve">Formula Rate - Non-Levelized </t>
  </si>
  <si>
    <t xml:space="preserve">   Rate Formula Template</t>
  </si>
  <si>
    <t>For the 12 months ended 12/31/15</t>
  </si>
  <si>
    <t xml:space="preserve"> </t>
  </si>
  <si>
    <t>Utilizing EIA Form 412 Data</t>
  </si>
  <si>
    <t>MRES</t>
  </si>
  <si>
    <t>Line</t>
  </si>
  <si>
    <t>Allocated</t>
  </si>
  <si>
    <t>No.</t>
  </si>
  <si>
    <t>GROSS REVENUE REQUIREMENT  (page 3, line 31)</t>
  </si>
  <si>
    <t xml:space="preserve">REVENUE CREDITS </t>
  </si>
  <si>
    <t>(Note T)</t>
  </si>
  <si>
    <t>Allocator</t>
  </si>
  <si>
    <t xml:space="preserve">  Account No. 454</t>
  </si>
  <si>
    <t>(page 4, line 34)</t>
  </si>
  <si>
    <t>TP</t>
  </si>
  <si>
    <t xml:space="preserve">  Account No. 456.1</t>
  </si>
  <si>
    <t>(page 4, line 37)</t>
  </si>
  <si>
    <t>Revenues from Grandfathered Interzonal Transactions</t>
  </si>
  <si>
    <t>Line 4 supported by schedules.</t>
  </si>
  <si>
    <t>Revenues from service provided by the ISO at a discount</t>
  </si>
  <si>
    <t>Line 5 supported by schedules.</t>
  </si>
  <si>
    <t>TOTAL REVENUE CREDITS  (sum lines 2-5)</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</si>
  <si>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</si>
  <si>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</si>
  <si>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</si>
  <si>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</si>
  <si>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</si>
  <si>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</si>
  <si>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</si>
  <si>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</si>
  <si>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</si>
  <si>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</si>
  <si>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</si>
  <si>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</si>
  <si>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</si>
  <si>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</si>
  <si>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</si>
  <si>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</si>
  <si>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</si>
  <si>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</si>
  <si>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</si>
  <si>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</si>
  <si>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</si>
  <si>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NET REVENUE REQUIREMENT</t>
  </si>
  <si>
    <t>(line 1 - line 6 + line 6c+ line 6h + line 6i)</t>
  </si>
  <si>
    <t>Based on Gross Plant</t>
  </si>
  <si>
    <t>Pricing Zone</t>
  </si>
  <si>
    <t>ATRR</t>
  </si>
  <si>
    <t>Divisor</t>
  </si>
  <si>
    <t>DIVISOR</t>
  </si>
  <si>
    <t xml:space="preserve">OTP </t>
  </si>
  <si>
    <t xml:space="preserve">  Average of 12 coincident system peaks for requirements (RQ) service       </t>
  </si>
  <si>
    <t>(Note A)</t>
  </si>
  <si>
    <t>WAPA *</t>
  </si>
  <si>
    <t xml:space="preserve">  Plus 12 CP of firm bundled sales over one year not in line 8.</t>
  </si>
  <si>
    <t>(Note B)</t>
  </si>
  <si>
    <t>ATRR in Zones</t>
  </si>
  <si>
    <t xml:space="preserve">  Plus 12 CP of Network Load not in line 8</t>
  </si>
  <si>
    <t>(Note C)</t>
  </si>
  <si>
    <t>* = Not in MISO.</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</si>
  <si>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</si>
  <si>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</si>
  <si>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</si>
  <si>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</si>
  <si>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</si>
  <si>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</si>
  <si>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</si>
  <si>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</si>
  <si>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</si>
  <si>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</si>
  <si>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</si>
  <si>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</si>
  <si>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</si>
  <si>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</si>
  <si>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</si>
  <si>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</si>
  <si>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</si>
  <si>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</si>
  <si>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</si>
  <si>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</si>
  <si>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</si>
  <si>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</si>
  <si>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</si>
  <si>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</si>
  <si>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</si>
  <si>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</si>
  <si>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</si>
  <si>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</si>
  <si>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</si>
  <si>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</si>
  <si>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</si>
  <si>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</si>
  <si>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RATE BASE:</t>
  </si>
  <si>
    <t>Reference</t>
  </si>
  <si>
    <t>Company Total</t>
  </si>
  <si>
    <t xml:space="preserve">                  Allocator</t>
  </si>
  <si>
    <t>(Col 3 times Col 4)</t>
  </si>
  <si>
    <t>GROSS PLANT IN SERVICE (Note AA and GG)</t>
  </si>
  <si>
    <t>Attachment O</t>
  </si>
  <si>
    <t xml:space="preserve">  Production</t>
  </si>
  <si>
    <t>IV.6.e</t>
  </si>
  <si>
    <t>NA</t>
  </si>
  <si>
    <t>Gross Plant</t>
  </si>
  <si>
    <t>Allocation</t>
  </si>
  <si>
    <t xml:space="preserve">  Transmission</t>
  </si>
  <si>
    <t>IV.7.e less Line 2a</t>
  </si>
  <si>
    <t>2a</t>
  </si>
  <si>
    <t>Transmission for projects with FERC incentives (Note EE)</t>
  </si>
  <si>
    <t xml:space="preserve">  Distribution</t>
  </si>
  <si>
    <t>IV.8.e</t>
  </si>
  <si>
    <t>Subtotal- Excludes GG &amp; MM Plant</t>
  </si>
  <si>
    <t xml:space="preserve">  General &amp; Intangible</t>
  </si>
  <si>
    <t>IV.1.e &amp; IV.9.e</t>
  </si>
  <si>
    <t>W/S</t>
  </si>
  <si>
    <t xml:space="preserve">  Common</t>
  </si>
  <si>
    <t>CE</t>
  </si>
  <si>
    <t>CapX Fargo</t>
  </si>
  <si>
    <t>TOTAL GROSS PLANT  (sum lines 1-5)</t>
  </si>
  <si>
    <t>GP=</t>
  </si>
  <si>
    <t>Total Transmission Plant</t>
  </si>
  <si>
    <t>ACCUMULATED DEPRECIATION (Note AA and GG)</t>
  </si>
  <si>
    <t>8a</t>
  </si>
  <si>
    <t>Transmission for projects with FERC approved incentives (Note EE)</t>
  </si>
  <si>
    <t>TOTAL ACCUM. DEPRECIATION  (sum lines 7-11)</t>
  </si>
  <si>
    <t>NET PLANT IN SERVICE (Note GG)</t>
  </si>
  <si>
    <t>(line 1- line 7)</t>
  </si>
  <si>
    <t>(line 2- line 8)</t>
  </si>
  <si>
    <t>14a</t>
  </si>
  <si>
    <t>Transmission for projects with FERC approved incentives  (line 2a - line 8a) (Note EE)</t>
  </si>
  <si>
    <t>(line 3 - line 9)</t>
  </si>
  <si>
    <t>(line 4 - line 10)</t>
  </si>
  <si>
    <t>(line 5 - line 11)</t>
  </si>
  <si>
    <t>TOTAL NET PLANT  (sum lines 13-17)</t>
  </si>
  <si>
    <t>NP=</t>
  </si>
  <si>
    <t>18a</t>
  </si>
  <si>
    <t>CWIP for projects with FERC approved incentives (Note CC and Note GG)</t>
  </si>
  <si>
    <t>N/A</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</si>
  <si>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</si>
  <si>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</si>
  <si>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</si>
  <si>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</si>
  <si>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</si>
  <si>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</si>
  <si>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</si>
  <si>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</si>
  <si>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23a</t>
  </si>
  <si>
    <t>Unamortized balance of Abandoned Plant (Note DD and Note GG)</t>
  </si>
  <si>
    <t>TOTAL ADJUSTMENTS  (sum lines 19 - 23)</t>
  </si>
  <si>
    <t>LAND HELD FOR FUTURE USE  (Note GG)</t>
  </si>
  <si>
    <t>IV.12.e  (Note G)</t>
  </si>
  <si>
    <t>WORKING CAPITAL</t>
  </si>
  <si>
    <t>(Note H)</t>
  </si>
  <si>
    <t xml:space="preserve">  CWC</t>
  </si>
  <si>
    <t xml:space="preserve">  Materials &amp; Supplies (Note GG)</t>
  </si>
  <si>
    <t>(Note G)</t>
  </si>
  <si>
    <t>TE</t>
  </si>
  <si>
    <t xml:space="preserve">  Prepayments (Note GG)</t>
  </si>
  <si>
    <t>II.20.b</t>
  </si>
  <si>
    <t>GP</t>
  </si>
  <si>
    <t>TOTAL WORKING CAPITAL  (sum lines 26 - 28)</t>
  </si>
  <si>
    <t>RATE BASE earning ACSR (lines 18 + 24 + 25 + 29 - 14a - 23a)</t>
  </si>
  <si>
    <t>30a</t>
  </si>
  <si>
    <t>RATE BASE earning HCSR (lines 14a + 18a + 23a)</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</si>
  <si>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</si>
  <si>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</si>
  <si>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</si>
  <si>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</si>
  <si>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</si>
  <si>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</si>
  <si>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</si>
  <si>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</si>
  <si>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</si>
  <si>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</si>
  <si>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</si>
  <si>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</si>
  <si>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</si>
  <si>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</si>
  <si>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</si>
  <si>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</si>
  <si>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9a</t>
  </si>
  <si>
    <t xml:space="preserve">  Abandoned Plant Amortization (Note DD)</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</si>
  <si>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</si>
  <si>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</si>
  <si>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</si>
  <si>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</si>
  <si>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</si>
  <si>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</si>
  <si>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</si>
  <si>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</si>
  <si>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</si>
  <si>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</si>
  <si>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</si>
  <si>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</si>
  <si>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</si>
  <si>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</si>
  <si>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</si>
  <si>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</si>
  <si>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</si>
  <si>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</si>
  <si>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</si>
  <si>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</si>
  <si>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</si>
  <si>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</si>
  <si>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</si>
  <si>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</si>
  <si>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</si>
  <si>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RETURN  from ACSR</t>
  </si>
  <si>
    <t xml:space="preserve">  [ Rate Base (page 2, line 30 + 30a) * Rate of Return (page 4, line 24)]</t>
  </si>
  <si>
    <t>28a</t>
  </si>
  <si>
    <t>RETURN  from HCSR</t>
  </si>
  <si>
    <t xml:space="preserve">  [ Rate Base (page 2, line 30a) * Rate of Return (page 4, line 30)]</t>
  </si>
  <si>
    <t>REV. REQUIREMENT  (sum lines 8, 12, 20, 27, 28 and 28a)</t>
  </si>
  <si>
    <t>LESS ATTACHMENT GG ADJUSTMENT [Attachment GG, page 2, line 3, column 10]  (Note W)</t>
  </si>
  <si>
    <t>[Revenue Requirement for facilities included on page 2, line 2, and also included</t>
  </si>
  <si>
    <t>in Attachment GG]</t>
  </si>
  <si>
    <t>LESS ATTACHMENT MM ADJUSTMENT [Attachment MM, page 2, line 3, column 14]  (Note Y)</t>
  </si>
  <si>
    <t>in Attachment MM]</t>
  </si>
  <si>
    <t xml:space="preserve">REVENUE REQUIREMENT TO BE COLLECTED UNDER ATTACHMENT O </t>
  </si>
  <si>
    <t>(line 29 - line 30 - line 30a)</t>
  </si>
  <si>
    <t>Page 4 of 5</t>
  </si>
  <si>
    <t xml:space="preserve">                SUPPORTING CALCULATIONS AND NOTES</t>
  </si>
  <si>
    <t>TRANSMISSION PLANT INCLUDED IN ISO RATES</t>
  </si>
  <si>
    <r>
      <t xml:space="preserve">Total transmission plant  (page 2, line 2 </t>
    </r>
    <r>
      <rPr>
        <sz val="12"/>
        <color theme="4"/>
        <rFont val="Times New Roman"/>
        <family val="1"/>
      </rPr>
      <t>and 2a</t>
    </r>
    <r>
      <rPr>
        <sz val="12"/>
        <rFont val="Times New Roman"/>
        <family val="1"/>
      </rPr>
      <t>, column 3)</t>
    </r>
  </si>
  <si>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</si>
  <si>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</si>
  <si>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</si>
  <si>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</si>
  <si>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</si>
  <si>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</si>
  <si>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</si>
  <si>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Total transmission expenses  (page 3, line 1, column 3)</t>
  </si>
  <si>
    <t>Schedule 1 Recoveralbe Expenses</t>
  </si>
  <si>
    <t>Less transmission expenses included in OATT Ancillary Services  (Note L)</t>
  </si>
  <si>
    <t>Acct 561 included in Line 7?</t>
  </si>
  <si>
    <t>Included transmission expenses ( line 6 less line 7)</t>
  </si>
  <si>
    <t>Acct 561.BA for Schedule 24</t>
  </si>
  <si>
    <t>Acct 561 available for Schedule 1</t>
  </si>
  <si>
    <t>Percentage of transmission expenses after adjustment  (line 8 divided by line 6)</t>
  </si>
  <si>
    <t>Revenue Credits for Sched 1/Acct 561</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</si>
  <si>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</si>
  <si>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</si>
  <si>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</si>
  <si>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</si>
  <si>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</si>
  <si>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</si>
  <si>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</si>
  <si>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
  </si>
  <si>
    <t>total Revenue Credits</t>
  </si>
  <si>
    <t>Net Schedule 1 Expenses (Acct 561 minus Credits)</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</si>
  <si>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</si>
  <si>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</si>
  <si>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</si>
  <si>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</si>
  <si>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</si>
  <si>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</si>
  <si>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</si>
  <si>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</si>
  <si>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</si>
  <si>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</si>
  <si>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</si>
  <si>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</si>
  <si>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</si>
  <si>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</si>
  <si>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</si>
  <si>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ACTUAL CAPITAL STRUCTURE RETURN (ACSR)</t>
  </si>
  <si>
    <t xml:space="preserve">              Long Term Interest  </t>
  </si>
  <si>
    <t>III.16.b + III.17.b  (Note U)</t>
  </si>
  <si>
    <t>Cost</t>
  </si>
  <si>
    <t>%</t>
  </si>
  <si>
    <t>(Note P)</t>
  </si>
  <si>
    <t>Weighted</t>
  </si>
  <si>
    <t xml:space="preserve">  Long Term Debt (Note GG)</t>
  </si>
  <si>
    <t xml:space="preserve">II.37.b </t>
  </si>
  <si>
    <t>=WCLTD</t>
  </si>
  <si>
    <t xml:space="preserve">  Proprietary Capital (Note GG)</t>
  </si>
  <si>
    <t>II.32.b</t>
  </si>
  <si>
    <t>Total  (sum lines 22, 23)</t>
  </si>
  <si>
    <t>=R</t>
  </si>
  <si>
    <t>Proprietary Capital Cost Rate =</t>
  </si>
  <si>
    <t>TIER =</t>
  </si>
  <si>
    <t>HYPOTHETICAL CAPITAL STRUCTURE RETURN (HCSR) (NOTE FF)</t>
  </si>
  <si>
    <t xml:space="preserve">  Long Term Debt (Cost of Long-term Debt from page 4, line 22)</t>
  </si>
  <si>
    <t xml:space="preserve">  Proprietary Capital (Cost of Proprietary Capital from page 4, line 25)</t>
  </si>
  <si>
    <t>Total  (sum lines 27, 28)</t>
  </si>
  <si>
    <t>Annual Allocation Factor for Incentive Return (line 29 minus line 24)</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</si>
  <si>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</si>
  <si>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</si>
  <si>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</si>
  <si>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</si>
  <si>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</si>
  <si>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</si>
  <si>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</si>
  <si>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</si>
  <si>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</si>
  <si>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</si>
  <si>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</si>
  <si>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36a</t>
  </si>
  <si>
    <t xml:space="preserve">  c. Transmission charges associated with Schedules 26 and 37  (Note X)</t>
  </si>
  <si>
    <t>36b</t>
  </si>
  <si>
    <t xml:space="preserve">  d. Transmission charges associated with Schedule 26-A  (Note Z)</t>
  </si>
  <si>
    <t xml:space="preserve">  Total of (a)-(b)-(c)-(d)</t>
  </si>
  <si>
    <t>Line 31 supported by notes in Form 412 or detailed Schedule</t>
  </si>
  <si>
    <t>Line 32 supported by notes in Form 412 or detailed Schedule</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</si>
  <si>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</si>
  <si>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</si>
  <si>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</si>
  <si>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</si>
  <si>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</si>
  <si>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</si>
  <si>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</si>
  <si>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</si>
  <si>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</si>
  <si>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</si>
  <si>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</si>
  <si>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</si>
  <si>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</si>
  <si>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</si>
  <si>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</si>
  <si>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The FERC's annual charges for the year assessed the Transmission Owner for service under this tariff, if any</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</si>
  <si>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</si>
  <si>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</si>
  <si>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</si>
  <si>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</si>
  <si>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</si>
  <si>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</si>
  <si>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</si>
  <si>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</si>
  <si>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</si>
  <si>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</si>
  <si>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</si>
  <si>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</si>
  <si>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</si>
  <si>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</si>
  <si>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</si>
  <si>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</si>
  <si>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</si>
  <si>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</si>
  <si>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</si>
  <si>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</si>
  <si>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</si>
  <si>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Removes transmission plant determined to be state-jurisdictional by Commission order according to the seven-factor test (until EIA 412 balances are adjusted to reflect application of seven-factor test).</t>
  </si>
  <si>
    <t>SIT work papers if required</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</si>
  <si>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</si>
  <si>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</si>
  <si>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</si>
  <si>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</si>
  <si>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</si>
  <si>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</si>
  <si>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</si>
  <si>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</si>
  <si>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</si>
  <si>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</si>
  <si>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</si>
  <si>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</si>
  <si>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</si>
  <si>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</si>
  <si>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</si>
  <si>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</si>
  <si>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</si>
  <si>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Account Nos. 561.4 and 561.8 consist of RTO expenses billed to load-serving entities and are not included in Transmission Owner revenue requirements.</t>
  </si>
  <si>
    <t>W</t>
  </si>
  <si>
    <t>Pursuant to Attachment GG of the Midwest ISO Tariff, removes dollar amount of revenue requirements calculated pursuant to Attachment GG and recovered under Schedule 26 of the Midwest ISO Tariff.</t>
  </si>
  <si>
    <t>X</t>
  </si>
  <si>
    <t>Removes from revenue credits revenues that are distributed pursuant to Schedules 26 and 37 of the Midwest ISO Tariff, since the Transmission Owner's Attachment O revenue requirements have already been reduced by the Attachment GG revenue requirements.</t>
  </si>
  <si>
    <t>Y</t>
  </si>
  <si>
    <t>Pursuant to Attachment MM of the Midwest ISO Tariff, removes dollar amount of revenue requirements calculated pursuant to Attachment MM and recovered under Schedule 26-A of the Midwest ISO Tariff.</t>
  </si>
  <si>
    <t>Z</t>
  </si>
  <si>
    <t>Removes from revenue credits revenues that are distributed pursuant to Schedule 26-A of the Midwest ISO Tariff, since the Transmission Owner's Attachment O revenue requirements have already been reduced by the Attachment MM revenue requirements.</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</si>
  <si>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</si>
  <si>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</si>
  <si>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</si>
  <si>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</si>
  <si>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CC</t>
  </si>
  <si>
    <t>The CWIP balance on Page 2, Line 18a is the 13 month average for the transmission projects approved for CWIP in rate base by FERC.  The projects approved for 100% CWIP recovery do not include any AFUDC in CWIP balances.</t>
  </si>
  <si>
    <t>DD</t>
  </si>
  <si>
    <t>Page 2, Line 23a includes any unamortized balances related to the recovery of abandoned plant costs for the projects approved by FERC.  Page 3, line 9a is the</t>
  </si>
  <si>
    <t xml:space="preserve">annual amortization expense of abandoned plant costs for the projects approved by FERC.  No abandoned plant costs will be included until approved by FERC </t>
  </si>
  <si>
    <t>under a separate docket.</t>
  </si>
  <si>
    <t>EE</t>
  </si>
  <si>
    <t>Includes the transmission gross plant in-service (Line 2a, page 2 of 5), accumulated depreciation (line 8a, page 2 of 5) and net transmission plant in-service (line 14a,</t>
  </si>
  <si>
    <t>page 2 of 5) for the transmisson projects granted a hypothetical capital structure of 55% debt and 45% equity by FERC.  These transmission plant balances do not</t>
  </si>
  <si>
    <t>include any AFUDC.</t>
  </si>
  <si>
    <t>FF</t>
  </si>
  <si>
    <t xml:space="preserve">The Hypothetical Capital Structure Return (HCSR) calculation is only applicable to the projects approved by FERC that use a hypothetical capital structure of </t>
  </si>
  <si>
    <t>55% debt and 45% equity.</t>
  </si>
  <si>
    <t>GG</t>
  </si>
  <si>
    <t>Calculated using 13 month average balance.</t>
  </si>
  <si>
    <t>Assumed 2015 budget numbers unless noted below:</t>
  </si>
  <si>
    <t>2015 budget totals.</t>
  </si>
  <si>
    <t>* = 7-12/14 Projected net margin.</t>
  </si>
  <si>
    <t>6/30/2014 **</t>
  </si>
  <si>
    <t>Net Assets (Proprietary Capital)</t>
  </si>
  <si>
    <t xml:space="preserve">** = Includes short-term debt </t>
  </si>
  <si>
    <t>CapX Brookings</t>
  </si>
  <si>
    <t>Attachment GG/MM Plant: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</si>
</sst>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quot;$&quot;#,##0.00"/>
    <numFmt numFmtId="168" formatCode="0.0%"/>
    <numFmt numFmtId="169" formatCode="mm/dd/yy;@"/>
    <numFmt numFmtId="170" formatCode="0.00000"/>
    <numFmt numFmtId="171" formatCode="&quot;$&quot;#,##0"/>
    <numFmt numFmtId="172" formatCode="#,##0.000"/>
    <numFmt numFmtId="173" formatCode="&quot;$&quot;#,##0.000"/>
    <numFmt numFmtId="174" formatCode="#,##0.00000"/>
    <numFmt numFmtId="175" formatCode="0.000%"/>
    <numFmt numFmtId="176" formatCode="_(* #,##0.00000_);_(* \(#,##0.00000\);_(* &quot;-&quot;??_);_(@_)"/>
    <numFmt numFmtId="177" formatCode="0.0000"/>
    <numFmt numFmtId="178" formatCode="#,##0.0000"/>
  </numFmts>
  <fonts count="55">
    <font>
      <sz val="11"/>
      <color theme="1"/>
      <name val="Calibri"/>
      <family val="2"/>
      <scheme val="minor"/>
    </font>
    <font>
      <sz val="10"/>
      <color theme="1"/>
      <name val="Calibri"/>
      <family val="2"/>
      <scheme val="minor"/>
    </font>
    <font>
      <sz val="10"/>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2"/>
      <color theme="1"/>
      <name val="Calibri"/>
      <family val="2"/>
      <scheme val="minor"/>
    </font>
    <font>
      <b/>
      <sz val="11"/>
      <color rgb="FFFF0000"/>
      <name val="Calibri"/>
      <family val="2"/>
      <scheme val="minor"/>
    </font>
    <font>
      <u val="singleAccounting"/>
      <sz val="11"/>
      <color theme="1"/>
      <name val="Calibri"/>
      <family val="2"/>
      <scheme val="minor"/>
    </font>
    <font>
      <b/>
      <u val="doubleAccounting"/>
      <sz val="11"/>
      <color theme="1"/>
      <name val="Calibri"/>
      <family val="2"/>
      <scheme val="minor"/>
    </font>
    <font>
      <u val="double"/>
      <sz val="11"/>
      <color theme="1"/>
      <name val="Calibri"/>
      <family val="2"/>
      <scheme val="minor"/>
    </font>
    <font>
      <u val="doubleAccounting"/>
      <sz val="11"/>
      <color theme="1"/>
      <name val="Calibri"/>
      <family val="2"/>
      <scheme val="minor"/>
    </font>
    <font>
      <b/>
      <sz val="9"/>
      <color theme="1"/>
      <name val="Arial"/>
      <family val="2"/>
    </font>
    <font>
      <sz val="9"/>
      <name val="Arial"/>
      <family val="2"/>
    </font>
    <font>
      <b/>
      <u/>
      <sz val="9"/>
      <color theme="1"/>
      <name val="Arial"/>
      <family val="2"/>
    </font>
    <font>
      <u val="singleAccounting"/>
      <sz val="9"/>
      <color theme="1"/>
      <name val="Arial"/>
      <family val="2"/>
    </font>
    <font>
      <u val="doubleAccounting"/>
      <sz val="9"/>
      <color theme="1"/>
      <name val="Arial"/>
      <family val="2"/>
    </font>
    <font>
      <sz val="12"/>
      <name val="Helv"/>
    </font>
    <font>
      <b/>
      <u val="singleAccounting"/>
      <sz val="9"/>
      <color theme="1"/>
      <name val="Arial"/>
      <family val="2"/>
    </font>
    <font>
      <u val="singleAccounting"/>
      <sz val="9"/>
      <name val="Arial"/>
      <family val="2"/>
    </font>
    <font>
      <b/>
      <u val="singleAccounting"/>
      <sz val="11"/>
      <color theme="1"/>
      <name val="Calibri"/>
      <family val="2"/>
      <scheme val="minor"/>
    </font>
    <font>
      <b/>
      <u val="singleAccounting"/>
      <sz val="10"/>
      <color theme="1"/>
      <name val="Calibri"/>
      <family val="2"/>
      <scheme val="minor"/>
    </font>
    <font>
      <sz val="10"/>
      <color theme="1"/>
      <name val="Calibri"/>
      <family val="2"/>
      <scheme val="minor"/>
    </font>
    <font>
      <b/>
      <u val="double"/>
      <sz val="11"/>
      <color theme="1"/>
      <name val="Calibri"/>
      <family val="2"/>
      <scheme val="minor"/>
    </font>
    <font>
      <u/>
      <sz val="11"/>
      <color theme="1"/>
      <name val="Calibri"/>
      <family val="2"/>
      <scheme val="minor"/>
    </font>
    <font>
      <u val="singleAccounting"/>
      <sz val="10"/>
      <color theme="1"/>
      <name val="Calibri"/>
      <family val="2"/>
      <scheme val="minor"/>
    </font>
    <font>
      <b/>
      <u/>
      <sz val="11"/>
      <color theme="1"/>
      <name val="Calibri"/>
      <family val="2"/>
      <scheme val="minor"/>
    </font>
    <font>
      <sz val="12"/>
      <name val="Arial MT"/>
    </font>
    <font>
      <sz val="12"/>
      <name val="Times New Roman"/>
      <family val="1"/>
    </font>
    <font>
      <sz val="12"/>
      <color indexed="17"/>
      <name val="Times New Roman"/>
      <family val="1"/>
    </font>
    <font>
      <sz val="10"/>
      <color indexed="8"/>
      <name val="Arial"/>
      <family val="2"/>
    </font>
    <font>
      <sz val="12"/>
      <name val="Arial"/>
      <family val="2"/>
    </font>
    <font>
      <b/>
      <sz val="10"/>
      <name val="Arial"/>
      <family val="2"/>
    </font>
    <font>
      <sz val="10"/>
      <name val="Arial"/>
      <family val="2"/>
    </font>
    <font>
      <sz val="11"/>
      <name val="Arial MT"/>
    </font>
    <font>
      <u/>
      <sz val="11"/>
      <name val="Arial MT"/>
    </font>
    <font>
      <u val="double"/>
      <sz val="11"/>
      <name val="Arial MT"/>
    </font>
    <font>
      <b/>
      <sz val="12"/>
      <name val="Times New Roman"/>
      <family val="1"/>
    </font>
    <font>
      <sz val="11"/>
      <name val="Arial"/>
      <family val="2"/>
    </font>
    <font>
      <sz val="11"/>
      <name val="Times New Roman"/>
      <family val="1"/>
    </font>
    <font>
      <b/>
      <sz val="11"/>
      <name val="Arial"/>
      <family val="2"/>
    </font>
    <font>
      <sz val="12"/>
      <color theme="4"/>
      <name val="Times New Roman"/>
      <family val="1"/>
    </font>
    <font>
      <b/>
      <u/>
      <sz val="12"/>
      <name val="Times New Roman"/>
      <family val="1"/>
    </font>
    <font>
      <u/>
      <sz val="12"/>
      <name val="Times New Roman"/>
      <family val="1"/>
    </font>
    <font>
      <u val="double"/>
      <sz val="11"/>
      <name val="Times New Roman"/>
      <family val="1"/>
    </font>
    <font>
      <b/>
      <sz val="12"/>
      <color indexed="10"/>
      <name val="Times New Roman"/>
      <family val="1"/>
    </font>
    <font>
      <sz val="12"/>
      <color indexed="10"/>
      <name val="Times New Roman"/>
      <family val="1"/>
    </font>
    <font>
      <b/>
      <sz val="12"/>
      <color indexed="48"/>
      <name val="Times New Roman"/>
      <family val="1"/>
    </font>
    <font>
      <u/>
      <sz val="12"/>
      <color indexed="17"/>
      <name val="Times New Roman"/>
      <family val="1"/>
    </font>
    <font>
      <sz val="12"/>
      <color rgb="FFFF0000"/>
      <name val="Times New Roman"/>
      <family val="1"/>
    </font>
  </fonts>
  <fills count="5">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rgb="FFFFFF99"/>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right/>
      <top style="thin">
        <color indexed="64"/>
      </top>
      <bottom/>
      <diagonal/>
    </border>
    <border>
      <left style="thin">
        <color indexed="64"/>
      </left>
      <right/>
      <top/>
      <bottom style="thin">
        <color indexed="64"/>
      </bottom>
      <diagonal/>
    </border>
  </borders>
  <cellStyleXfs count="12">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66" fontId="22" fillId="0" borderId="0"/>
    <xf numFmtId="167" fontId="32" fillId="0" borderId="0" applyProtection="0"/>
    <xf numFmtId="0" fontId="35" fillId="0" borderId="0"/>
    <xf numFmtId="44"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cellStyleXfs>
  <cellXfs count="372">
    <xf numFmtId="0" fontId="0" fillId="0" borderId="0" xfId="0"/>
    <xf numFmtId="0" fontId="9" fillId="0" borderId="0" xfId="0" applyFont="1"/>
    <xf numFmtId="0" fontId="10" fillId="0" borderId="0" xfId="0" applyFont="1"/>
    <xf numFmtId="0" fontId="9" fillId="2" borderId="0" xfId="0" applyFont="1" applyFill="1" applyAlignment="1">
      <alignment horizontal="left"/>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65" fontId="5" fillId="0" borderId="0" xfId="2"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8" fillId="0" borderId="0" xfId="0" applyFont="1" applyAlignment="1">
      <alignment horizontal="center" vertical="center"/>
    </xf>
    <xf numFmtId="165" fontId="5" fillId="0" borderId="1" xfId="2"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6" fillId="0" borderId="0" xfId="0" applyFont="1" applyAlignment="1">
      <alignment vertical="center"/>
    </xf>
    <xf numFmtId="165" fontId="6" fillId="0" borderId="0" xfId="2" applyNumberFormat="1" applyFont="1" applyAlignment="1">
      <alignment vertical="center"/>
    </xf>
    <xf numFmtId="164" fontId="6" fillId="0" borderId="0" xfId="0" applyNumberFormat="1" applyFont="1" applyAlignment="1">
      <alignment vertical="center"/>
    </xf>
    <xf numFmtId="165" fontId="0" fillId="0" borderId="0" xfId="2" applyNumberFormat="1" applyFont="1" applyAlignment="1">
      <alignment vertical="center"/>
    </xf>
    <xf numFmtId="165" fontId="0" fillId="0" borderId="1" xfId="2" applyNumberFormat="1" applyFont="1" applyBorder="1" applyAlignment="1">
      <alignment vertical="center"/>
    </xf>
    <xf numFmtId="164" fontId="0" fillId="0" borderId="0" xfId="1" applyNumberFormat="1" applyFont="1" applyAlignment="1">
      <alignment vertical="center"/>
    </xf>
    <xf numFmtId="164" fontId="0" fillId="0" borderId="0" xfId="0" applyNumberFormat="1" applyAlignment="1">
      <alignment vertical="center"/>
    </xf>
    <xf numFmtId="0" fontId="0" fillId="0" borderId="0" xfId="0" applyAlignment="1">
      <alignment horizontal="left" vertical="center"/>
    </xf>
    <xf numFmtId="0" fontId="6" fillId="0" borderId="0" xfId="0" applyFont="1" applyBorder="1"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wrapText="1"/>
    </xf>
    <xf numFmtId="165" fontId="13" fillId="0" borderId="0" xfId="2" applyNumberFormat="1" applyFont="1" applyBorder="1" applyAlignment="1">
      <alignment horizontal="center" vertical="center" wrapText="1"/>
    </xf>
    <xf numFmtId="165" fontId="14" fillId="0" borderId="0" xfId="2" applyNumberFormat="1" applyFont="1" applyAlignment="1">
      <alignment vertical="center"/>
    </xf>
    <xf numFmtId="165" fontId="0" fillId="0" borderId="0" xfId="0" applyNumberFormat="1" applyAlignment="1">
      <alignment vertical="center"/>
    </xf>
    <xf numFmtId="0" fontId="12" fillId="0" borderId="0" xfId="0" applyFont="1" applyFill="1" applyAlignment="1">
      <alignment vertical="center" wrapText="1"/>
    </xf>
    <xf numFmtId="165" fontId="5" fillId="0" borderId="0" xfId="2" applyNumberFormat="1" applyFont="1" applyFill="1" applyBorder="1" applyAlignment="1">
      <alignment horizontal="center" vertical="center" wrapText="1"/>
    </xf>
    <xf numFmtId="165" fontId="13" fillId="0" borderId="0" xfId="2" applyNumberFormat="1" applyFont="1" applyAlignment="1">
      <alignment vertical="center"/>
    </xf>
    <xf numFmtId="165" fontId="13" fillId="0" borderId="0" xfId="2" applyNumberFormat="1" applyFont="1" applyAlignment="1">
      <alignment horizontal="center" vertical="center"/>
    </xf>
    <xf numFmtId="0" fontId="13" fillId="0" borderId="0" xfId="0" applyFont="1" applyAlignment="1">
      <alignment horizontal="center" vertical="center"/>
    </xf>
    <xf numFmtId="10" fontId="15" fillId="0" borderId="0" xfId="3" applyNumberFormat="1" applyFont="1" applyAlignment="1">
      <alignment horizontal="center" vertical="center"/>
    </xf>
    <xf numFmtId="10" fontId="0" fillId="0" borderId="0" xfId="2" applyNumberFormat="1" applyFont="1" applyAlignment="1">
      <alignment vertical="center"/>
    </xf>
    <xf numFmtId="165" fontId="16" fillId="0" borderId="0" xfId="2" applyNumberFormat="1" applyFont="1" applyAlignment="1">
      <alignment horizontal="center" vertical="center"/>
    </xf>
    <xf numFmtId="165" fontId="16" fillId="0" borderId="0" xfId="2" applyNumberFormat="1" applyFont="1" applyAlignment="1">
      <alignment vertical="center"/>
    </xf>
    <xf numFmtId="0" fontId="17" fillId="0" borderId="0" xfId="0" applyNumberFormat="1" applyFont="1" applyAlignment="1">
      <alignment horizontal="center"/>
    </xf>
    <xf numFmtId="0" fontId="17" fillId="0" borderId="0" xfId="0" applyNumberFormat="1" applyFont="1" applyAlignment="1"/>
    <xf numFmtId="0" fontId="17" fillId="0" borderId="0" xfId="0" applyNumberFormat="1" applyFont="1"/>
    <xf numFmtId="0" fontId="18" fillId="0" borderId="0" xfId="0" applyNumberFormat="1" applyFont="1"/>
    <xf numFmtId="0" fontId="18" fillId="0" borderId="0" xfId="0" applyNumberFormat="1" applyFont="1" applyAlignment="1"/>
    <xf numFmtId="0" fontId="4" fillId="0" borderId="0" xfId="0" applyNumberFormat="1" applyFont="1" applyAlignment="1">
      <alignment horizontal="left" indent="2"/>
    </xf>
    <xf numFmtId="165" fontId="18" fillId="0" borderId="0" xfId="2" applyNumberFormat="1" applyFont="1"/>
    <xf numFmtId="165" fontId="18" fillId="0" borderId="0" xfId="1" applyNumberFormat="1" applyFont="1"/>
    <xf numFmtId="165" fontId="4" fillId="0" borderId="0" xfId="1" applyNumberFormat="1" applyFont="1"/>
    <xf numFmtId="165" fontId="18" fillId="0" borderId="0" xfId="1" applyNumberFormat="1" applyFont="1" applyFill="1" applyBorder="1"/>
    <xf numFmtId="165" fontId="4" fillId="0" borderId="0" xfId="1" applyNumberFormat="1" applyFont="1" applyFill="1" applyBorder="1"/>
    <xf numFmtId="165" fontId="18" fillId="0" borderId="0" xfId="0" applyNumberFormat="1" applyFont="1"/>
    <xf numFmtId="0" fontId="4" fillId="0" borderId="0" xfId="0" applyNumberFormat="1" applyFont="1" applyAlignment="1">
      <alignment horizontal="center"/>
    </xf>
    <xf numFmtId="165" fontId="21" fillId="0" borderId="0" xfId="2" applyNumberFormat="1" applyFont="1"/>
    <xf numFmtId="0" fontId="21" fillId="0" borderId="0" xfId="0" applyNumberFormat="1" applyFont="1"/>
    <xf numFmtId="0" fontId="4" fillId="0" borderId="0" xfId="0" applyNumberFormat="1" applyFont="1"/>
    <xf numFmtId="165" fontId="4" fillId="0" borderId="0" xfId="0" applyNumberFormat="1" applyFont="1"/>
    <xf numFmtId="0" fontId="4" fillId="0" borderId="0" xfId="0" applyNumberFormat="1" applyFont="1" applyAlignment="1">
      <alignment horizontal="left" indent="1"/>
    </xf>
    <xf numFmtId="166" fontId="18" fillId="0" borderId="0" xfId="4" applyFont="1"/>
    <xf numFmtId="167" fontId="18" fillId="0" borderId="0" xfId="0" applyNumberFormat="1" applyFont="1" applyAlignment="1"/>
    <xf numFmtId="165" fontId="18" fillId="0" borderId="0" xfId="0" applyNumberFormat="1" applyFont="1" applyFill="1" applyBorder="1"/>
    <xf numFmtId="0" fontId="18" fillId="0" borderId="0" xfId="0" applyNumberFormat="1" applyFont="1" applyAlignment="1">
      <alignment horizontal="left" indent="1"/>
    </xf>
    <xf numFmtId="0" fontId="3" fillId="0" borderId="0" xfId="0" applyNumberFormat="1" applyFont="1" applyAlignment="1">
      <alignment horizontal="left" indent="2"/>
    </xf>
    <xf numFmtId="0" fontId="3" fillId="0" borderId="0" xfId="0" applyNumberFormat="1" applyFont="1" applyAlignment="1">
      <alignment horizontal="center"/>
    </xf>
    <xf numFmtId="165" fontId="18" fillId="0" borderId="0" xfId="1" applyNumberFormat="1" applyFont="1" applyFill="1"/>
    <xf numFmtId="165" fontId="21" fillId="0" borderId="0" xfId="0" applyNumberFormat="1" applyFont="1"/>
    <xf numFmtId="0" fontId="23" fillId="0" borderId="0" xfId="0" applyNumberFormat="1" applyFont="1" applyAlignment="1">
      <alignment horizontal="center"/>
    </xf>
    <xf numFmtId="0" fontId="24" fillId="0" borderId="0" xfId="0" applyNumberFormat="1" applyFont="1"/>
    <xf numFmtId="164" fontId="14" fillId="0" borderId="0" xfId="0" applyNumberFormat="1" applyFont="1" applyAlignment="1">
      <alignment vertical="center"/>
    </xf>
    <xf numFmtId="164" fontId="13" fillId="0" borderId="0" xfId="1" applyNumberFormat="1" applyFont="1" applyBorder="1" applyAlignment="1">
      <alignment vertical="center"/>
    </xf>
    <xf numFmtId="164" fontId="13" fillId="0" borderId="0" xfId="0" applyNumberFormat="1" applyFont="1" applyBorder="1" applyAlignment="1">
      <alignment vertical="center"/>
    </xf>
    <xf numFmtId="165" fontId="13" fillId="0" borderId="0" xfId="0" applyNumberFormat="1" applyFont="1" applyAlignment="1">
      <alignment vertical="center"/>
    </xf>
    <xf numFmtId="0" fontId="0" fillId="0" borderId="0" xfId="0" applyFill="1" applyBorder="1" applyAlignment="1">
      <alignment vertical="center"/>
    </xf>
    <xf numFmtId="0" fontId="17" fillId="0" borderId="0" xfId="0" applyNumberFormat="1" applyFont="1" applyFill="1" applyBorder="1" applyAlignment="1"/>
    <xf numFmtId="14" fontId="19" fillId="0" borderId="0" xfId="0" applyNumberFormat="1" applyFont="1" applyFill="1" applyBorder="1" applyAlignment="1">
      <alignment horizontal="center"/>
    </xf>
    <xf numFmtId="0" fontId="18" fillId="0" borderId="0" xfId="0" applyNumberFormat="1" applyFont="1" applyFill="1" applyBorder="1"/>
    <xf numFmtId="0" fontId="23" fillId="0" borderId="0" xfId="0" applyNumberFormat="1" applyFont="1" applyFill="1" applyBorder="1" applyAlignment="1">
      <alignment horizontal="center"/>
    </xf>
    <xf numFmtId="165" fontId="18" fillId="0" borderId="0" xfId="2" applyNumberFormat="1" applyFont="1" applyFill="1" applyBorder="1"/>
    <xf numFmtId="165" fontId="0" fillId="0" borderId="0" xfId="0" applyNumberFormat="1" applyFill="1" applyBorder="1" applyAlignment="1">
      <alignment vertical="center"/>
    </xf>
    <xf numFmtId="168" fontId="0" fillId="0" borderId="0" xfId="3" applyNumberFormat="1" applyFont="1" applyFill="1" applyBorder="1" applyAlignment="1">
      <alignment horizontal="center" vertical="center"/>
    </xf>
    <xf numFmtId="165" fontId="20" fillId="0" borderId="0" xfId="1" applyNumberFormat="1" applyFont="1" applyFill="1" applyBorder="1"/>
    <xf numFmtId="165" fontId="21" fillId="0" borderId="0" xfId="2" applyNumberFormat="1" applyFont="1" applyFill="1" applyBorder="1"/>
    <xf numFmtId="0" fontId="21" fillId="0" borderId="0" xfId="0" applyNumberFormat="1" applyFont="1" applyFill="1" applyBorder="1"/>
    <xf numFmtId="165" fontId="21" fillId="0" borderId="0" xfId="0" applyNumberFormat="1" applyFont="1" applyFill="1" applyBorder="1"/>
    <xf numFmtId="44" fontId="21" fillId="0" borderId="0" xfId="0" applyNumberFormat="1" applyFont="1" applyFill="1" applyBorder="1"/>
    <xf numFmtId="167" fontId="18" fillId="0" borderId="0" xfId="0" applyNumberFormat="1" applyFont="1" applyFill="1" applyBorder="1" applyAlignment="1"/>
    <xf numFmtId="0" fontId="18" fillId="0" borderId="0" xfId="0" applyNumberFormat="1" applyFont="1" applyFill="1" applyBorder="1" applyAlignment="1">
      <alignment horizontal="center"/>
    </xf>
    <xf numFmtId="43" fontId="18" fillId="0" borderId="0" xfId="4" applyNumberFormat="1" applyFont="1" applyFill="1" applyBorder="1" applyAlignment="1">
      <alignment horizontal="center"/>
    </xf>
    <xf numFmtId="0" fontId="7" fillId="0" borderId="0" xfId="0" applyFont="1" applyAlignment="1">
      <alignment horizontal="center" vertical="center"/>
    </xf>
    <xf numFmtId="0" fontId="18" fillId="0" borderId="0" xfId="0" applyNumberFormat="1" applyFont="1" applyAlignment="1">
      <alignment vertical="center"/>
    </xf>
    <xf numFmtId="165" fontId="16" fillId="0" borderId="0" xfId="2" applyNumberFormat="1" applyFont="1" applyBorder="1" applyAlignment="1">
      <alignment horizontal="center" vertical="center" wrapText="1"/>
    </xf>
    <xf numFmtId="0" fontId="27" fillId="0" borderId="0" xfId="0" applyFont="1" applyAlignment="1">
      <alignment horizontal="center" vertical="center"/>
    </xf>
    <xf numFmtId="165" fontId="18" fillId="0" borderId="2" xfId="2" applyNumberFormat="1" applyFont="1" applyFill="1" applyBorder="1"/>
    <xf numFmtId="165" fontId="13" fillId="0" borderId="1" xfId="2" applyNumberFormat="1" applyFont="1" applyBorder="1" applyAlignment="1">
      <alignment horizontal="center" vertical="center" wrapText="1"/>
    </xf>
    <xf numFmtId="0" fontId="25" fillId="0" borderId="0" xfId="0" applyFont="1" applyBorder="1" applyAlignment="1">
      <alignment horizontal="center" vertical="center" wrapText="1"/>
    </xf>
    <xf numFmtId="15" fontId="8" fillId="0" borderId="0" xfId="0" applyNumberFormat="1" applyFont="1" applyAlignment="1">
      <alignment horizontal="center" vertical="center"/>
    </xf>
    <xf numFmtId="0" fontId="8" fillId="0" borderId="0" xfId="0" applyFont="1" applyAlignment="1">
      <alignment vertical="center"/>
    </xf>
    <xf numFmtId="0" fontId="0" fillId="0" borderId="0" xfId="0" applyFont="1" applyAlignment="1">
      <alignment vertical="center"/>
    </xf>
    <xf numFmtId="165" fontId="16" fillId="0" borderId="0" xfId="0" applyNumberFormat="1" applyFont="1" applyBorder="1" applyAlignment="1">
      <alignment horizontal="center" vertical="center" wrapText="1"/>
    </xf>
    <xf numFmtId="165" fontId="15" fillId="0" borderId="0" xfId="0" applyNumberFormat="1" applyFont="1" applyAlignment="1">
      <alignment vertical="center"/>
    </xf>
    <xf numFmtId="165" fontId="16" fillId="0" borderId="0" xfId="0" applyNumberFormat="1" applyFont="1" applyAlignment="1">
      <alignment vertical="center"/>
    </xf>
    <xf numFmtId="165" fontId="15" fillId="0" borderId="0" xfId="2" applyNumberFormat="1" applyFont="1" applyAlignment="1">
      <alignment vertical="center"/>
    </xf>
    <xf numFmtId="168" fontId="0" fillId="0" borderId="0" xfId="3" applyNumberFormat="1" applyFont="1" applyAlignment="1">
      <alignment horizontal="center" vertical="center" wrapText="1"/>
    </xf>
    <xf numFmtId="0" fontId="28" fillId="0" borderId="0" xfId="0" applyFont="1" applyAlignment="1">
      <alignment horizontal="center" vertical="center"/>
    </xf>
    <xf numFmtId="165" fontId="29" fillId="0" borderId="0" xfId="0" applyNumberFormat="1" applyFont="1" applyAlignment="1">
      <alignment vertical="center"/>
    </xf>
    <xf numFmtId="44" fontId="0" fillId="0" borderId="0" xfId="0" applyNumberFormat="1" applyAlignment="1">
      <alignment vertical="center"/>
    </xf>
    <xf numFmtId="0" fontId="26" fillId="0" borderId="0" xfId="0" applyFont="1" applyBorder="1" applyAlignment="1">
      <alignment horizontal="center" vertical="center" wrapText="1"/>
    </xf>
    <xf numFmtId="0" fontId="13" fillId="0" borderId="0" xfId="0" applyFont="1" applyAlignment="1">
      <alignment horizontal="center" vertical="center"/>
    </xf>
    <xf numFmtId="0" fontId="25" fillId="0" borderId="0" xfId="0" applyFont="1" applyAlignment="1">
      <alignment horizontal="center" vertical="center"/>
    </xf>
    <xf numFmtId="168" fontId="0" fillId="0" borderId="0" xfId="3" applyNumberFormat="1" applyFont="1" applyAlignment="1">
      <alignment horizontal="center" vertical="center"/>
    </xf>
    <xf numFmtId="165" fontId="0" fillId="0" borderId="0" xfId="2" applyNumberFormat="1" applyFont="1" applyAlignment="1">
      <alignment horizontal="center" vertical="center"/>
    </xf>
    <xf numFmtId="0" fontId="27" fillId="0" borderId="0" xfId="0" applyFont="1" applyAlignment="1">
      <alignment vertical="center"/>
    </xf>
    <xf numFmtId="165" fontId="28" fillId="0" borderId="0" xfId="0" applyNumberFormat="1" applyFont="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165" fontId="13" fillId="0" borderId="0" xfId="0" applyNumberFormat="1" applyFont="1" applyFill="1" applyAlignment="1">
      <alignment horizontal="center" vertical="center"/>
    </xf>
    <xf numFmtId="165" fontId="13" fillId="0" borderId="0" xfId="2" applyNumberFormat="1" applyFont="1" applyFill="1" applyAlignment="1">
      <alignment horizontal="center" vertical="center"/>
    </xf>
    <xf numFmtId="165"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165" fontId="15" fillId="0" borderId="0" xfId="2" applyNumberFormat="1" applyFont="1" applyFill="1" applyAlignment="1">
      <alignment vertical="center"/>
    </xf>
    <xf numFmtId="168" fontId="15" fillId="0" borderId="0" xfId="3" applyNumberFormat="1" applyFont="1" applyFill="1" applyAlignment="1">
      <alignment horizontal="center" vertical="center"/>
    </xf>
    <xf numFmtId="165" fontId="0" fillId="0" borderId="0" xfId="2" applyNumberFormat="1" applyFont="1" applyFill="1" applyAlignment="1">
      <alignment vertical="center"/>
    </xf>
    <xf numFmtId="165" fontId="16" fillId="0" borderId="0" xfId="0" applyNumberFormat="1" applyFont="1" applyFill="1" applyAlignment="1">
      <alignment vertical="center"/>
    </xf>
    <xf numFmtId="169" fontId="8" fillId="0" borderId="0" xfId="0" applyNumberFormat="1" applyFont="1" applyAlignment="1">
      <alignment horizontal="center" vertical="center"/>
    </xf>
    <xf numFmtId="0" fontId="0" fillId="0" borderId="0" xfId="0" applyFill="1" applyAlignment="1">
      <alignment horizontal="center" vertical="center"/>
    </xf>
    <xf numFmtId="165" fontId="16" fillId="0" borderId="0" xfId="2" applyNumberFormat="1" applyFont="1" applyFill="1" applyAlignment="1">
      <alignment vertical="center"/>
    </xf>
    <xf numFmtId="0" fontId="15" fillId="0" borderId="0" xfId="0" applyFont="1" applyAlignment="1">
      <alignment vertical="center"/>
    </xf>
    <xf numFmtId="169" fontId="0" fillId="0" borderId="0" xfId="0" applyNumberFormat="1" applyFont="1" applyFill="1" applyAlignment="1">
      <alignment horizontal="center" vertical="center"/>
    </xf>
    <xf numFmtId="0" fontId="2" fillId="0" borderId="0" xfId="0" applyFont="1" applyAlignment="1">
      <alignment vertical="center"/>
    </xf>
    <xf numFmtId="165" fontId="0" fillId="2" borderId="0" xfId="2" applyNumberFormat="1" applyFont="1" applyFill="1" applyAlignment="1">
      <alignment vertical="center"/>
    </xf>
    <xf numFmtId="0" fontId="13" fillId="0" borderId="0" xfId="0" applyFont="1" applyAlignment="1">
      <alignment horizontal="center" vertical="center"/>
    </xf>
    <xf numFmtId="165" fontId="13" fillId="0" borderId="0" xfId="2" applyNumberFormat="1" applyFont="1" applyFill="1" applyAlignment="1">
      <alignment vertical="center"/>
    </xf>
    <xf numFmtId="0" fontId="31" fillId="0" borderId="0" xfId="0" applyFont="1" applyAlignment="1">
      <alignment horizontal="center" vertical="center"/>
    </xf>
    <xf numFmtId="0" fontId="0" fillId="0" borderId="0" xfId="0" applyAlignment="1">
      <alignment horizontal="center" vertical="center"/>
    </xf>
    <xf numFmtId="9" fontId="29" fillId="0" borderId="0" xfId="3" applyFont="1" applyAlignment="1">
      <alignment horizontal="center" vertical="center"/>
    </xf>
    <xf numFmtId="44" fontId="16" fillId="0" borderId="0" xfId="2" applyNumberFormat="1" applyFont="1" applyAlignment="1">
      <alignment vertical="center"/>
    </xf>
    <xf numFmtId="0" fontId="25" fillId="0" borderId="0" xfId="0" applyFont="1" applyFill="1" applyAlignment="1">
      <alignment horizontal="center" vertical="center"/>
    </xf>
    <xf numFmtId="0" fontId="15" fillId="0" borderId="0" xfId="0" applyFont="1" applyAlignment="1">
      <alignment horizontal="center" vertical="center"/>
    </xf>
    <xf numFmtId="0" fontId="1" fillId="0" borderId="0" xfId="0" applyFont="1" applyAlignment="1">
      <alignment horizontal="center" vertical="center"/>
    </xf>
    <xf numFmtId="0" fontId="29" fillId="0" borderId="0" xfId="0" applyFont="1" applyAlignment="1">
      <alignment horizontal="center" vertical="center"/>
    </xf>
    <xf numFmtId="167" fontId="33" fillId="0" borderId="0" xfId="5" applyFont="1" applyAlignment="1"/>
    <xf numFmtId="0" fontId="33" fillId="0" borderId="0" xfId="5" applyNumberFormat="1" applyFont="1" applyAlignment="1" applyProtection="1">
      <protection locked="0"/>
    </xf>
    <xf numFmtId="0" fontId="33" fillId="0" borderId="0" xfId="5" applyNumberFormat="1" applyFont="1" applyAlignment="1" applyProtection="1">
      <alignment horizontal="left"/>
      <protection locked="0"/>
    </xf>
    <xf numFmtId="0" fontId="33" fillId="0" borderId="0" xfId="5" applyNumberFormat="1" applyFont="1" applyProtection="1">
      <protection locked="0"/>
    </xf>
    <xf numFmtId="0" fontId="33" fillId="0" borderId="0" xfId="5" applyNumberFormat="1" applyFont="1"/>
    <xf numFmtId="0" fontId="33" fillId="0" borderId="0" xfId="5" applyNumberFormat="1" applyFont="1" applyAlignment="1">
      <alignment horizontal="right"/>
    </xf>
    <xf numFmtId="0" fontId="33" fillId="0" borderId="0" xfId="5" applyNumberFormat="1" applyFont="1" applyAlignment="1">
      <alignment horizontal="center"/>
    </xf>
    <xf numFmtId="0" fontId="33" fillId="3" borderId="0" xfId="5" applyNumberFormat="1" applyFont="1" applyFill="1" applyProtection="1">
      <protection locked="0"/>
    </xf>
    <xf numFmtId="167" fontId="33" fillId="3" borderId="0" xfId="5" applyFont="1" applyFill="1" applyAlignment="1"/>
    <xf numFmtId="0" fontId="33" fillId="3" borderId="0" xfId="5" applyNumberFormat="1" applyFont="1" applyFill="1"/>
    <xf numFmtId="0" fontId="33" fillId="3" borderId="0" xfId="5" applyNumberFormat="1" applyFont="1" applyFill="1" applyAlignment="1" applyProtection="1">
      <alignment horizontal="right"/>
      <protection locked="0"/>
    </xf>
    <xf numFmtId="3" fontId="33" fillId="0" borderId="0" xfId="5" applyNumberFormat="1" applyFont="1" applyAlignment="1"/>
    <xf numFmtId="0" fontId="33" fillId="0" borderId="0" xfId="5" applyNumberFormat="1" applyFont="1" applyAlignment="1" applyProtection="1">
      <alignment horizontal="center"/>
      <protection locked="0"/>
    </xf>
    <xf numFmtId="49" fontId="33" fillId="3" borderId="0" xfId="5" applyNumberFormat="1" applyFont="1" applyFill="1" applyAlignment="1">
      <alignment horizontal="center"/>
    </xf>
    <xf numFmtId="49" fontId="33" fillId="0" borderId="0" xfId="5" applyNumberFormat="1" applyFont="1"/>
    <xf numFmtId="0" fontId="33" fillId="0" borderId="3" xfId="5" applyNumberFormat="1" applyFont="1" applyBorder="1" applyAlignment="1" applyProtection="1">
      <alignment horizontal="center"/>
      <protection locked="0"/>
    </xf>
    <xf numFmtId="3" fontId="33" fillId="0" borderId="0" xfId="5" applyNumberFormat="1" applyFont="1"/>
    <xf numFmtId="42" fontId="33" fillId="0" borderId="0" xfId="5" applyNumberFormat="1" applyFont="1"/>
    <xf numFmtId="0" fontId="33" fillId="0" borderId="0" xfId="5" applyNumberFormat="1" applyFont="1" applyAlignment="1"/>
    <xf numFmtId="0" fontId="33" fillId="0" borderId="3" xfId="5" applyNumberFormat="1" applyFont="1" applyBorder="1" applyAlignment="1" applyProtection="1">
      <alignment horizontal="centerContinuous"/>
      <protection locked="0"/>
    </xf>
    <xf numFmtId="170" fontId="33" fillId="0" borderId="0" xfId="5" applyNumberFormat="1" applyFont="1" applyAlignment="1"/>
    <xf numFmtId="3" fontId="33" fillId="3" borderId="0" xfId="5" applyNumberFormat="1" applyFont="1" applyFill="1"/>
    <xf numFmtId="0" fontId="34" fillId="0" borderId="0" xfId="5" applyNumberFormat="1" applyFont="1"/>
    <xf numFmtId="3" fontId="33" fillId="0" borderId="3" xfId="5" applyNumberFormat="1" applyFont="1" applyBorder="1" applyAlignment="1"/>
    <xf numFmtId="3" fontId="33" fillId="0" borderId="0" xfId="5" applyNumberFormat="1" applyFont="1" applyAlignment="1">
      <alignment horizontal="fill"/>
    </xf>
    <xf numFmtId="3" fontId="33" fillId="3" borderId="3" xfId="5" applyNumberFormat="1" applyFont="1" applyFill="1" applyBorder="1"/>
    <xf numFmtId="3" fontId="33" fillId="0" borderId="0" xfId="5" applyNumberFormat="1" applyFont="1" applyFill="1"/>
    <xf numFmtId="42" fontId="33" fillId="0" borderId="4" xfId="5" applyNumberFormat="1" applyFont="1" applyBorder="1" applyAlignment="1" applyProtection="1">
      <alignment horizontal="right"/>
      <protection locked="0"/>
    </xf>
    <xf numFmtId="0" fontId="32" fillId="0" borderId="0" xfId="5" applyNumberFormat="1" applyFont="1" applyBorder="1" applyAlignment="1">
      <alignment vertical="center"/>
    </xf>
    <xf numFmtId="0" fontId="36" fillId="0" borderId="5" xfId="6" applyFont="1" applyBorder="1" applyAlignment="1">
      <alignment horizontal="center" vertical="center" wrapText="1"/>
    </xf>
    <xf numFmtId="171" fontId="36" fillId="0" borderId="6" xfId="6" applyNumberFormat="1" applyFont="1" applyBorder="1" applyAlignment="1">
      <alignment horizontal="center" vertical="center" wrapText="1"/>
    </xf>
    <xf numFmtId="0" fontId="36" fillId="0" borderId="2" xfId="6" applyFont="1" applyFill="1" applyBorder="1" applyAlignment="1">
      <alignment horizontal="center" vertical="center" wrapText="1"/>
    </xf>
    <xf numFmtId="167" fontId="37" fillId="0" borderId="2" xfId="5" applyFont="1" applyBorder="1" applyAlignment="1">
      <alignment horizontal="left" vertical="center"/>
    </xf>
    <xf numFmtId="165" fontId="39" fillId="0" borderId="2" xfId="7" applyNumberFormat="1" applyFont="1" applyBorder="1" applyAlignment="1">
      <alignment vertical="center"/>
    </xf>
    <xf numFmtId="164" fontId="39" fillId="0" borderId="2" xfId="8" applyNumberFormat="1" applyFont="1" applyFill="1" applyBorder="1" applyAlignment="1">
      <alignment vertical="center"/>
    </xf>
    <xf numFmtId="3" fontId="33" fillId="3" borderId="0" xfId="5" applyNumberFormat="1" applyFont="1" applyFill="1" applyAlignment="1">
      <alignment vertical="center"/>
    </xf>
    <xf numFmtId="165" fontId="40" fillId="0" borderId="2" xfId="7" applyNumberFormat="1" applyFont="1" applyBorder="1" applyAlignment="1">
      <alignment vertical="center"/>
    </xf>
    <xf numFmtId="164" fontId="40" fillId="0" borderId="2" xfId="8" applyNumberFormat="1" applyFont="1" applyFill="1" applyBorder="1" applyAlignment="1">
      <alignment vertical="center"/>
    </xf>
    <xf numFmtId="167" fontId="37" fillId="0" borderId="2" xfId="5" applyFont="1" applyFill="1" applyBorder="1" applyAlignment="1">
      <alignment horizontal="center" vertical="center"/>
    </xf>
    <xf numFmtId="165" fontId="41" fillId="0" borderId="2" xfId="7" applyNumberFormat="1" applyFont="1" applyBorder="1" applyAlignment="1">
      <alignment vertical="center"/>
    </xf>
    <xf numFmtId="164" fontId="41" fillId="0" borderId="2" xfId="8" applyNumberFormat="1" applyFont="1" applyBorder="1" applyAlignment="1">
      <alignment vertical="center"/>
    </xf>
    <xf numFmtId="167" fontId="37" fillId="0" borderId="0" xfId="5" applyFont="1" applyAlignment="1">
      <alignment horizontal="center" vertical="center"/>
    </xf>
    <xf numFmtId="167" fontId="33" fillId="0" borderId="0" xfId="5" applyFont="1" applyAlignment="1">
      <alignment vertical="center"/>
    </xf>
    <xf numFmtId="167" fontId="33" fillId="0" borderId="0" xfId="5" applyFont="1" applyBorder="1" applyAlignment="1">
      <alignment vertical="center"/>
    </xf>
    <xf numFmtId="3" fontId="33" fillId="0" borderId="0" xfId="5" applyNumberFormat="1" applyFont="1" applyFill="1" applyBorder="1"/>
    <xf numFmtId="3" fontId="33" fillId="3" borderId="0" xfId="5" applyNumberFormat="1" applyFont="1" applyFill="1" applyBorder="1"/>
    <xf numFmtId="172" fontId="33" fillId="0" borderId="0" xfId="5" applyNumberFormat="1" applyFont="1"/>
    <xf numFmtId="172" fontId="33" fillId="0" borderId="0" xfId="5" applyNumberFormat="1" applyFont="1" applyAlignment="1">
      <alignment horizontal="center"/>
    </xf>
    <xf numFmtId="167" fontId="33" fillId="0" borderId="0" xfId="5" applyFont="1" applyAlignment="1">
      <alignment horizontal="center"/>
    </xf>
    <xf numFmtId="173" fontId="33" fillId="0" borderId="0" xfId="5" applyNumberFormat="1" applyFont="1" applyAlignment="1"/>
    <xf numFmtId="173" fontId="33" fillId="3" borderId="0" xfId="5" applyNumberFormat="1" applyFont="1" applyFill="1" applyProtection="1">
      <protection locked="0"/>
    </xf>
    <xf numFmtId="173" fontId="33" fillId="0" borderId="0" xfId="5" applyNumberFormat="1" applyFont="1" applyProtection="1">
      <protection locked="0"/>
    </xf>
    <xf numFmtId="0" fontId="33" fillId="0" borderId="0" xfId="5" applyNumberFormat="1" applyFont="1" applyAlignment="1">
      <alignment horizontal="left"/>
    </xf>
    <xf numFmtId="49" fontId="33" fillId="0" borderId="0" xfId="5" applyNumberFormat="1" applyFont="1" applyAlignment="1">
      <alignment horizontal="left"/>
    </xf>
    <xf numFmtId="49" fontId="33" fillId="0" borderId="0" xfId="5" applyNumberFormat="1" applyFont="1" applyAlignment="1">
      <alignment horizontal="center"/>
    </xf>
    <xf numFmtId="3" fontId="42" fillId="0" borderId="0" xfId="5" applyNumberFormat="1" applyFont="1" applyAlignment="1">
      <alignment horizontal="center"/>
    </xf>
    <xf numFmtId="0" fontId="42" fillId="0" borderId="0" xfId="5" applyNumberFormat="1" applyFont="1" applyAlignment="1" applyProtection="1">
      <alignment horizontal="center"/>
      <protection locked="0"/>
    </xf>
    <xf numFmtId="0" fontId="42" fillId="0" borderId="0" xfId="5" applyNumberFormat="1" applyFont="1" applyAlignment="1"/>
    <xf numFmtId="167" fontId="42" fillId="0" borderId="0" xfId="5" applyFont="1" applyAlignment="1">
      <alignment horizontal="center"/>
    </xf>
    <xf numFmtId="3" fontId="42" fillId="0" borderId="0" xfId="5" applyNumberFormat="1" applyFont="1" applyAlignment="1"/>
    <xf numFmtId="3" fontId="33" fillId="3" borderId="0" xfId="5" applyNumberFormat="1" applyFont="1" applyFill="1" applyBorder="1" applyAlignment="1">
      <alignment vertical="center"/>
    </xf>
    <xf numFmtId="174" fontId="33" fillId="0" borderId="0" xfId="5" applyNumberFormat="1" applyFont="1" applyAlignment="1"/>
    <xf numFmtId="0" fontId="43" fillId="0" borderId="0" xfId="6" applyFont="1" applyBorder="1" applyAlignment="1">
      <alignment horizontal="center" vertical="center"/>
    </xf>
    <xf numFmtId="10" fontId="43" fillId="0" borderId="0" xfId="9" applyNumberFormat="1" applyFont="1" applyBorder="1" applyAlignment="1">
      <alignment horizontal="center" vertical="center"/>
    </xf>
    <xf numFmtId="167" fontId="39" fillId="0" borderId="0" xfId="5" applyFont="1" applyBorder="1" applyAlignment="1">
      <alignment horizontal="center" vertical="center"/>
    </xf>
    <xf numFmtId="167" fontId="44" fillId="0" borderId="0" xfId="5" applyFont="1" applyAlignment="1"/>
    <xf numFmtId="167" fontId="45" fillId="0" borderId="2" xfId="5" applyFont="1" applyBorder="1" applyAlignment="1">
      <alignment horizontal="left" vertical="center"/>
    </xf>
    <xf numFmtId="10" fontId="39" fillId="0" borderId="2" xfId="5" applyNumberFormat="1" applyFont="1" applyBorder="1" applyAlignment="1">
      <alignment vertical="center"/>
    </xf>
    <xf numFmtId="3" fontId="46" fillId="0" borderId="0" xfId="5" applyNumberFormat="1" applyFont="1" applyAlignment="1"/>
    <xf numFmtId="10" fontId="40" fillId="0" borderId="2" xfId="5" applyNumberFormat="1" applyFont="1" applyBorder="1" applyAlignment="1">
      <alignment vertical="center"/>
    </xf>
    <xf numFmtId="10" fontId="41" fillId="0" borderId="2" xfId="5" applyNumberFormat="1" applyFont="1" applyBorder="1" applyAlignment="1">
      <alignment vertical="center"/>
    </xf>
    <xf numFmtId="167" fontId="47" fillId="0" borderId="7" xfId="5" applyFont="1" applyBorder="1" applyAlignment="1"/>
    <xf numFmtId="167" fontId="33" fillId="0" borderId="0" xfId="5" applyFont="1" applyBorder="1" applyAlignment="1"/>
    <xf numFmtId="167" fontId="33" fillId="0" borderId="8" xfId="5" applyFont="1" applyBorder="1" applyAlignment="1"/>
    <xf numFmtId="3" fontId="33" fillId="3" borderId="3" xfId="5" applyNumberFormat="1" applyFont="1" applyFill="1" applyBorder="1" applyAlignment="1"/>
    <xf numFmtId="167" fontId="42" fillId="0" borderId="7" xfId="5" applyFont="1" applyBorder="1" applyAlignment="1"/>
    <xf numFmtId="175" fontId="33" fillId="0" borderId="0" xfId="5" applyNumberFormat="1" applyFont="1" applyAlignment="1">
      <alignment horizontal="center"/>
    </xf>
    <xf numFmtId="167" fontId="33" fillId="0" borderId="9" xfId="5" applyFont="1" applyBorder="1" applyAlignment="1"/>
    <xf numFmtId="167" fontId="45" fillId="0" borderId="0" xfId="5" applyFont="1" applyAlignment="1">
      <alignment horizontal="center" vertical="center"/>
    </xf>
    <xf numFmtId="167" fontId="44" fillId="0" borderId="0" xfId="5" applyFont="1" applyAlignment="1">
      <alignment vertical="center"/>
    </xf>
    <xf numFmtId="167" fontId="46" fillId="0" borderId="0" xfId="5" applyFont="1" applyAlignment="1"/>
    <xf numFmtId="0" fontId="33" fillId="0" borderId="0" xfId="5" applyNumberFormat="1" applyFont="1" applyAlignment="1">
      <alignment horizontal="fill"/>
    </xf>
    <xf numFmtId="174" fontId="46" fillId="0" borderId="0" xfId="5" applyNumberFormat="1" applyFont="1" applyAlignment="1"/>
    <xf numFmtId="3" fontId="33" fillId="4" borderId="0" xfId="5" applyNumberFormat="1" applyFont="1" applyFill="1" applyAlignment="1">
      <alignment vertical="center"/>
    </xf>
    <xf numFmtId="176" fontId="33" fillId="0" borderId="0" xfId="10" applyNumberFormat="1" applyFont="1" applyAlignment="1">
      <alignment horizontal="center"/>
    </xf>
    <xf numFmtId="3" fontId="33" fillId="3" borderId="0" xfId="5" applyNumberFormat="1" applyFont="1" applyFill="1" applyAlignment="1"/>
    <xf numFmtId="174" fontId="33" fillId="0" borderId="0" xfId="5" applyNumberFormat="1" applyFont="1" applyAlignment="1">
      <alignment horizontal="right"/>
    </xf>
    <xf numFmtId="3" fontId="33" fillId="3" borderId="0" xfId="5" applyNumberFormat="1" applyFont="1" applyFill="1" applyBorder="1" applyAlignment="1"/>
    <xf numFmtId="3" fontId="33" fillId="0" borderId="0" xfId="5" applyNumberFormat="1" applyFont="1" applyBorder="1" applyAlignment="1"/>
    <xf numFmtId="3" fontId="33" fillId="0" borderId="0" xfId="5" applyNumberFormat="1" applyFont="1" applyAlignment="1">
      <alignment horizontal="center"/>
    </xf>
    <xf numFmtId="3" fontId="33" fillId="3" borderId="3" xfId="5" applyNumberFormat="1" applyFont="1" applyFill="1" applyBorder="1" applyAlignment="1">
      <alignment vertical="center"/>
    </xf>
    <xf numFmtId="167" fontId="33" fillId="0" borderId="3" xfId="5" applyFont="1" applyBorder="1" applyAlignment="1"/>
    <xf numFmtId="3" fontId="33" fillId="0" borderId="10" xfId="5" applyNumberFormat="1" applyFont="1" applyBorder="1" applyAlignment="1"/>
    <xf numFmtId="3" fontId="33" fillId="0" borderId="4" xfId="5" applyNumberFormat="1" applyFont="1" applyBorder="1" applyAlignment="1"/>
    <xf numFmtId="3" fontId="33" fillId="0" borderId="0" xfId="5" applyNumberFormat="1" applyFont="1" applyAlignment="1">
      <alignment horizontal="right"/>
    </xf>
    <xf numFmtId="0" fontId="33" fillId="0" borderId="0" xfId="5" applyNumberFormat="1" applyFont="1" applyFill="1" applyAlignment="1" applyProtection="1">
      <alignment horizontal="center"/>
      <protection locked="0"/>
    </xf>
    <xf numFmtId="0" fontId="33" fillId="0" borderId="0" xfId="5" applyNumberFormat="1" applyFont="1" applyFill="1" applyAlignment="1"/>
    <xf numFmtId="167" fontId="33" fillId="0" borderId="0" xfId="5" applyFont="1" applyFill="1" applyAlignment="1"/>
    <xf numFmtId="3" fontId="50" fillId="0" borderId="0" xfId="5" applyNumberFormat="1" applyFont="1" applyAlignment="1"/>
    <xf numFmtId="3" fontId="33" fillId="0" borderId="0" xfId="5" applyNumberFormat="1" applyFont="1" applyFill="1" applyAlignment="1"/>
    <xf numFmtId="0" fontId="33" fillId="0" borderId="0" xfId="5" applyNumberFormat="1" applyFont="1" applyFill="1" applyAlignment="1">
      <alignment horizontal="fill"/>
    </xf>
    <xf numFmtId="3" fontId="33" fillId="0" borderId="0" xfId="5" applyNumberFormat="1" applyFont="1" applyAlignment="1">
      <alignment horizontal="left"/>
    </xf>
    <xf numFmtId="170" fontId="33" fillId="0" borderId="0" xfId="5" applyNumberFormat="1" applyFont="1" applyAlignment="1">
      <alignment horizontal="right"/>
    </xf>
    <xf numFmtId="10" fontId="33" fillId="0" borderId="0" xfId="5" applyNumberFormat="1" applyFont="1" applyAlignment="1">
      <alignment horizontal="left"/>
    </xf>
    <xf numFmtId="170" fontId="33" fillId="0" borderId="0" xfId="5" applyNumberFormat="1" applyFont="1" applyAlignment="1">
      <alignment horizontal="center"/>
    </xf>
    <xf numFmtId="175" fontId="33" fillId="0" borderId="0" xfId="5" applyNumberFormat="1" applyFont="1" applyAlignment="1">
      <alignment horizontal="left"/>
    </xf>
    <xf numFmtId="10" fontId="33" fillId="0" borderId="0" xfId="5" applyNumberFormat="1" applyFont="1" applyFill="1" applyAlignment="1">
      <alignment horizontal="right"/>
    </xf>
    <xf numFmtId="177" fontId="33" fillId="0" borderId="0" xfId="5" applyNumberFormat="1" applyFont="1" applyFill="1" applyAlignment="1">
      <alignment horizontal="right"/>
    </xf>
    <xf numFmtId="175" fontId="33" fillId="0" borderId="0" xfId="5" applyNumberFormat="1" applyFont="1" applyAlignment="1" applyProtection="1">
      <alignment horizontal="left"/>
      <protection locked="0"/>
    </xf>
    <xf numFmtId="3" fontId="33" fillId="0" borderId="0" xfId="5" applyNumberFormat="1" applyFont="1" applyFill="1" applyAlignment="1">
      <alignment horizontal="right"/>
    </xf>
    <xf numFmtId="178" fontId="33" fillId="0" borderId="0" xfId="5" applyNumberFormat="1" applyFont="1" applyAlignment="1"/>
    <xf numFmtId="175" fontId="46" fillId="0" borderId="0" xfId="5" applyNumberFormat="1" applyFont="1" applyAlignment="1">
      <alignment horizontal="center"/>
    </xf>
    <xf numFmtId="170" fontId="46" fillId="0" borderId="0" xfId="5" applyNumberFormat="1" applyFont="1" applyAlignment="1">
      <alignment horizontal="center"/>
    </xf>
    <xf numFmtId="0" fontId="33" fillId="0" borderId="0" xfId="5" applyNumberFormat="1" applyFont="1" applyFill="1"/>
    <xf numFmtId="164" fontId="33" fillId="3" borderId="0" xfId="5" applyNumberFormat="1" applyFont="1" applyFill="1" applyBorder="1" applyAlignment="1"/>
    <xf numFmtId="164" fontId="33" fillId="3" borderId="3" xfId="10" applyNumberFormat="1" applyFont="1" applyFill="1" applyBorder="1" applyAlignment="1"/>
    <xf numFmtId="164" fontId="33" fillId="3" borderId="3" xfId="5" applyNumberFormat="1" applyFont="1" applyFill="1" applyBorder="1" applyAlignment="1"/>
    <xf numFmtId="3" fontId="33" fillId="0" borderId="10" xfId="5" applyNumberFormat="1" applyFont="1" applyFill="1" applyBorder="1" applyAlignment="1"/>
    <xf numFmtId="0" fontId="51" fillId="0" borderId="0" xfId="5" applyNumberFormat="1" applyFont="1" applyAlignment="1" applyProtection="1">
      <alignment horizontal="center"/>
      <protection locked="0"/>
    </xf>
    <xf numFmtId="167" fontId="51" fillId="0" borderId="0" xfId="5" applyFont="1" applyAlignment="1"/>
    <xf numFmtId="3" fontId="51" fillId="0" borderId="0" xfId="5" applyNumberFormat="1" applyFont="1" applyAlignment="1"/>
    <xf numFmtId="0" fontId="51" fillId="0" borderId="0" xfId="5" applyNumberFormat="1" applyFont="1" applyAlignment="1">
      <alignment horizontal="center"/>
    </xf>
    <xf numFmtId="167" fontId="33" fillId="0" borderId="0" xfId="5" applyFont="1" applyAlignment="1">
      <alignment horizontal="right"/>
    </xf>
    <xf numFmtId="0" fontId="33" fillId="0" borderId="3" xfId="5" applyNumberFormat="1" applyFont="1" applyBorder="1" applyProtection="1">
      <protection locked="0"/>
    </xf>
    <xf numFmtId="0" fontId="33" fillId="0" borderId="3" xfId="5" applyNumberFormat="1" applyFont="1" applyBorder="1"/>
    <xf numFmtId="49" fontId="33" fillId="0" borderId="0" xfId="5" applyNumberFormat="1" applyFont="1" applyAlignment="1"/>
    <xf numFmtId="167" fontId="52" fillId="0" borderId="0" xfId="5" applyFont="1" applyAlignment="1"/>
    <xf numFmtId="171" fontId="33" fillId="0" borderId="7" xfId="5" applyNumberFormat="1" applyFont="1" applyBorder="1" applyAlignment="1"/>
    <xf numFmtId="3" fontId="34" fillId="0" borderId="0" xfId="5" applyNumberFormat="1" applyFont="1" applyBorder="1" applyAlignment="1"/>
    <xf numFmtId="0" fontId="33" fillId="0" borderId="0" xfId="5" applyNumberFormat="1" applyFont="1" applyBorder="1"/>
    <xf numFmtId="0" fontId="33" fillId="0" borderId="0" xfId="5" applyNumberFormat="1" applyFont="1" applyBorder="1" applyAlignment="1"/>
    <xf numFmtId="171" fontId="33" fillId="3" borderId="12" xfId="5" applyNumberFormat="1" applyFont="1" applyFill="1" applyBorder="1" applyAlignment="1"/>
    <xf numFmtId="167" fontId="34" fillId="0" borderId="0" xfId="5" applyFont="1" applyBorder="1" applyAlignment="1"/>
    <xf numFmtId="0" fontId="33" fillId="0" borderId="7" xfId="5" applyNumberFormat="1" applyFont="1" applyBorder="1" applyAlignment="1">
      <alignment horizontal="center"/>
    </xf>
    <xf numFmtId="167" fontId="53" fillId="0" borderId="0" xfId="5" applyFont="1" applyBorder="1"/>
    <xf numFmtId="0" fontId="33" fillId="0" borderId="0" xfId="5" applyNumberFormat="1" applyFont="1" applyBorder="1" applyAlignment="1">
      <alignment horizontal="center"/>
    </xf>
    <xf numFmtId="0" fontId="33" fillId="0" borderId="8" xfId="5" applyNumberFormat="1" applyFont="1" applyBorder="1" applyAlignment="1">
      <alignment horizontal="center"/>
    </xf>
    <xf numFmtId="174" fontId="33" fillId="0" borderId="0" xfId="5" applyNumberFormat="1" applyFont="1"/>
    <xf numFmtId="171" fontId="33" fillId="3" borderId="7" xfId="5" applyNumberFormat="1" applyFont="1" applyFill="1" applyBorder="1" applyAlignment="1"/>
    <xf numFmtId="167" fontId="34" fillId="0" borderId="0" xfId="5" applyFont="1" applyBorder="1"/>
    <xf numFmtId="170" fontId="33" fillId="0" borderId="0" xfId="5" applyNumberFormat="1" applyFont="1"/>
    <xf numFmtId="3" fontId="33" fillId="0" borderId="3" xfId="5" applyNumberFormat="1" applyFont="1" applyBorder="1" applyAlignment="1">
      <alignment horizontal="center"/>
    </xf>
    <xf numFmtId="171" fontId="33" fillId="0" borderId="7" xfId="5" applyNumberFormat="1" applyFont="1" applyFill="1" applyBorder="1" applyAlignment="1"/>
    <xf numFmtId="4" fontId="33" fillId="0" borderId="0" xfId="5" applyNumberFormat="1" applyFont="1" applyAlignment="1"/>
    <xf numFmtId="171" fontId="33" fillId="0" borderId="12" xfId="5" applyNumberFormat="1" applyFont="1" applyBorder="1" applyAlignment="1"/>
    <xf numFmtId="167" fontId="34" fillId="0" borderId="1" xfId="5" applyFont="1" applyBorder="1" applyAlignment="1"/>
    <xf numFmtId="167" fontId="33" fillId="0" borderId="1" xfId="5" applyFont="1" applyBorder="1" applyAlignment="1"/>
    <xf numFmtId="167" fontId="34" fillId="0" borderId="0" xfId="5" applyFont="1" applyFill="1" applyBorder="1" applyAlignment="1"/>
    <xf numFmtId="3" fontId="33" fillId="0" borderId="0" xfId="5" applyNumberFormat="1" applyFont="1" applyFill="1" applyBorder="1" applyAlignment="1"/>
    <xf numFmtId="0" fontId="33" fillId="0" borderId="0" xfId="5" applyNumberFormat="1" applyFont="1" applyFill="1" applyBorder="1" applyAlignment="1"/>
    <xf numFmtId="167" fontId="33" fillId="0" borderId="0" xfId="5" applyFont="1" applyFill="1" applyBorder="1" applyAlignment="1"/>
    <xf numFmtId="3" fontId="33" fillId="0" borderId="0" xfId="5" applyNumberFormat="1" applyFont="1" applyBorder="1" applyAlignment="1">
      <alignment horizontal="center"/>
    </xf>
    <xf numFmtId="170" fontId="33" fillId="0" borderId="0" xfId="5" applyNumberFormat="1" applyFont="1" applyAlignment="1" applyProtection="1">
      <alignment horizontal="center"/>
      <protection locked="0"/>
    </xf>
    <xf numFmtId="0" fontId="33" fillId="0" borderId="3" xfId="5" applyNumberFormat="1" applyFont="1" applyBorder="1" applyAlignment="1"/>
    <xf numFmtId="171" fontId="33" fillId="3" borderId="0" xfId="5" applyNumberFormat="1" applyFont="1" applyFill="1" applyAlignment="1">
      <alignment vertical="center"/>
    </xf>
    <xf numFmtId="9" fontId="33" fillId="0" borderId="0" xfId="5" applyNumberFormat="1" applyFont="1" applyAlignment="1"/>
    <xf numFmtId="177" fontId="33" fillId="0" borderId="0" xfId="5" applyNumberFormat="1" applyFont="1" applyAlignment="1"/>
    <xf numFmtId="10" fontId="33" fillId="0" borderId="0" xfId="5" applyNumberFormat="1" applyFont="1" applyAlignment="1"/>
    <xf numFmtId="3" fontId="33" fillId="0" borderId="0" xfId="5" quotePrefix="1" applyNumberFormat="1" applyFont="1" applyAlignment="1"/>
    <xf numFmtId="9" fontId="33" fillId="0" borderId="3" xfId="5" applyNumberFormat="1" applyFont="1" applyBorder="1" applyAlignment="1"/>
    <xf numFmtId="177" fontId="33" fillId="0" borderId="3" xfId="5" applyNumberFormat="1" applyFont="1" applyBorder="1" applyAlignment="1"/>
    <xf numFmtId="9" fontId="33" fillId="0" borderId="0" xfId="5" applyNumberFormat="1" applyFont="1" applyFill="1" applyAlignment="1"/>
    <xf numFmtId="10" fontId="33" fillId="3" borderId="0" xfId="5" applyNumberFormat="1" applyFont="1" applyFill="1" applyAlignment="1"/>
    <xf numFmtId="0" fontId="46" fillId="0" borderId="0" xfId="5" applyNumberFormat="1" applyFont="1" applyAlignment="1" applyProtection="1">
      <alignment horizontal="center"/>
      <protection locked="0"/>
    </xf>
    <xf numFmtId="0" fontId="46" fillId="0" borderId="0" xfId="5" applyNumberFormat="1" applyFont="1" applyFill="1" applyBorder="1" applyAlignment="1" applyProtection="1">
      <alignment horizontal="center"/>
      <protection locked="0"/>
    </xf>
    <xf numFmtId="0" fontId="46" fillId="0" borderId="0" xfId="5" applyNumberFormat="1" applyFont="1" applyProtection="1">
      <protection locked="0"/>
    </xf>
    <xf numFmtId="3" fontId="46" fillId="0" borderId="0" xfId="5" applyNumberFormat="1" applyFont="1" applyFill="1" applyBorder="1" applyAlignment="1"/>
    <xf numFmtId="177" fontId="46" fillId="0" borderId="0" xfId="5" applyNumberFormat="1" applyFont="1" applyAlignment="1"/>
    <xf numFmtId="167" fontId="46" fillId="0" borderId="0" xfId="5" applyFont="1" applyAlignment="1">
      <alignment horizontal="right"/>
    </xf>
    <xf numFmtId="4" fontId="46" fillId="0" borderId="0" xfId="5" applyNumberFormat="1" applyFont="1" applyAlignment="1"/>
    <xf numFmtId="175" fontId="33" fillId="0" borderId="0" xfId="11" applyNumberFormat="1" applyFont="1" applyAlignment="1"/>
    <xf numFmtId="0" fontId="51" fillId="0" borderId="0" xfId="5" applyNumberFormat="1" applyFont="1" applyProtection="1">
      <protection locked="0"/>
    </xf>
    <xf numFmtId="167" fontId="33" fillId="0" borderId="0" xfId="5" applyFont="1" applyFill="1" applyAlignment="1" applyProtection="1"/>
    <xf numFmtId="0" fontId="33" fillId="0" borderId="0" xfId="5" applyNumberFormat="1" applyFont="1" applyBorder="1" applyProtection="1">
      <protection locked="0"/>
    </xf>
    <xf numFmtId="173" fontId="33" fillId="0" borderId="0" xfId="5" applyNumberFormat="1" applyFont="1" applyBorder="1" applyProtection="1">
      <protection locked="0"/>
    </xf>
    <xf numFmtId="171" fontId="33" fillId="0" borderId="0" xfId="5" applyNumberFormat="1" applyFont="1" applyFill="1" applyBorder="1" applyProtection="1"/>
    <xf numFmtId="171" fontId="33" fillId="3" borderId="0" xfId="5" applyNumberFormat="1" applyFont="1" applyFill="1" applyBorder="1" applyAlignment="1" applyProtection="1">
      <alignment vertical="center"/>
    </xf>
    <xf numFmtId="171" fontId="33" fillId="0" borderId="0" xfId="5" applyNumberFormat="1" applyFont="1" applyFill="1" applyBorder="1" applyAlignment="1" applyProtection="1">
      <alignment vertical="center"/>
    </xf>
    <xf numFmtId="171" fontId="33" fillId="3" borderId="0" xfId="5" applyNumberFormat="1" applyFont="1" applyFill="1" applyBorder="1" applyAlignment="1" applyProtection="1">
      <alignment vertical="center"/>
      <protection locked="0"/>
    </xf>
    <xf numFmtId="0" fontId="33" fillId="0" borderId="0" xfId="5" applyNumberFormat="1" applyFont="1" applyBorder="1" applyAlignment="1" applyProtection="1">
      <protection locked="0"/>
    </xf>
    <xf numFmtId="0" fontId="33" fillId="0" borderId="3" xfId="5" applyNumberFormat="1" applyFont="1" applyBorder="1" applyAlignment="1" applyProtection="1">
      <protection locked="0"/>
    </xf>
    <xf numFmtId="171" fontId="33" fillId="0" borderId="0" xfId="5" applyNumberFormat="1" applyFont="1" applyFill="1" applyBorder="1" applyAlignment="1" applyProtection="1"/>
    <xf numFmtId="3" fontId="34" fillId="0" borderId="0" xfId="5" applyNumberFormat="1" applyFont="1" applyAlignment="1">
      <alignment horizontal="left"/>
    </xf>
    <xf numFmtId="167" fontId="33" fillId="0" borderId="0" xfId="5" applyNumberFormat="1" applyFont="1" applyAlignment="1" applyProtection="1">
      <protection locked="0"/>
    </xf>
    <xf numFmtId="0" fontId="51" fillId="0" borderId="0" xfId="5" applyNumberFormat="1" applyFont="1" applyAlignment="1" applyProtection="1">
      <protection locked="0"/>
    </xf>
    <xf numFmtId="0" fontId="51" fillId="0" borderId="0" xfId="5" applyNumberFormat="1" applyFont="1"/>
    <xf numFmtId="0" fontId="51" fillId="0" borderId="0" xfId="5" applyNumberFormat="1" applyFont="1" applyAlignment="1"/>
    <xf numFmtId="3" fontId="33" fillId="0" borderId="0" xfId="5" applyNumberFormat="1" applyFont="1" applyProtection="1">
      <protection locked="0"/>
    </xf>
    <xf numFmtId="171" fontId="33" fillId="0" borderId="0" xfId="5" applyNumberFormat="1" applyFont="1" applyAlignment="1" applyProtection="1">
      <alignment horizontal="right"/>
      <protection locked="0"/>
    </xf>
    <xf numFmtId="171" fontId="33" fillId="0" borderId="0" xfId="5" applyNumberFormat="1" applyFont="1" applyProtection="1">
      <protection locked="0"/>
    </xf>
    <xf numFmtId="3" fontId="33" fillId="0" borderId="0" xfId="5" applyNumberFormat="1" applyFont="1" applyFill="1" applyAlignment="1" applyProtection="1"/>
    <xf numFmtId="0" fontId="33" fillId="0" borderId="0" xfId="5" applyNumberFormat="1" applyFont="1" applyAlignment="1" applyProtection="1">
      <alignment horizontal="left" indent="8"/>
      <protection locked="0"/>
    </xf>
    <xf numFmtId="0" fontId="33" fillId="0" borderId="0" xfId="5" applyNumberFormat="1" applyFont="1" applyAlignment="1" applyProtection="1">
      <alignment horizontal="center" vertical="top" wrapText="1"/>
      <protection locked="0"/>
    </xf>
    <xf numFmtId="0" fontId="33" fillId="0" borderId="0" xfId="5" applyNumberFormat="1" applyFont="1" applyFill="1" applyAlignment="1" applyProtection="1">
      <alignment horizontal="left" vertical="top" wrapText="1" indent="8"/>
      <protection locked="0"/>
    </xf>
    <xf numFmtId="0" fontId="33" fillId="0" borderId="0" xfId="5" applyNumberFormat="1" applyFont="1" applyFill="1" applyAlignment="1" applyProtection="1">
      <alignment vertical="top" wrapText="1"/>
      <protection locked="0"/>
    </xf>
    <xf numFmtId="10" fontId="33" fillId="3" borderId="0" xfId="5" applyNumberFormat="1" applyFont="1" applyFill="1" applyAlignment="1" applyProtection="1">
      <alignment vertical="top" wrapText="1"/>
      <protection locked="0"/>
    </xf>
    <xf numFmtId="3" fontId="33" fillId="0" borderId="0" xfId="5" applyNumberFormat="1" applyFont="1" applyAlignment="1">
      <alignment vertical="top" wrapText="1"/>
    </xf>
    <xf numFmtId="0" fontId="33" fillId="0" borderId="0" xfId="5" applyNumberFormat="1" applyFont="1" applyAlignment="1" applyProtection="1">
      <alignment vertical="top" wrapText="1"/>
      <protection locked="0"/>
    </xf>
    <xf numFmtId="0" fontId="34" fillId="0" borderId="0" xfId="5" applyNumberFormat="1" applyFont="1" applyFill="1" applyAlignment="1" applyProtection="1">
      <alignment horizontal="left"/>
      <protection locked="0"/>
    </xf>
    <xf numFmtId="167" fontId="33" fillId="0" borderId="0" xfId="5" applyFont="1" applyAlignment="1">
      <alignment horizontal="center" vertical="top" wrapText="1"/>
    </xf>
    <xf numFmtId="167" fontId="33" fillId="0" borderId="0" xfId="5" applyFont="1" applyFill="1" applyAlignment="1">
      <alignment horizontal="center" vertical="top" wrapText="1"/>
    </xf>
    <xf numFmtId="0" fontId="33" fillId="0" borderId="0" xfId="5" applyNumberFormat="1" applyFont="1" applyFill="1" applyAlignment="1">
      <alignment horizontal="left" vertical="top"/>
    </xf>
    <xf numFmtId="0" fontId="54" fillId="0" borderId="0" xfId="5" applyNumberFormat="1" applyFont="1" applyAlignment="1" applyProtection="1">
      <alignment vertical="top" wrapText="1"/>
      <protection locked="0"/>
    </xf>
    <xf numFmtId="0" fontId="33" fillId="0" borderId="0" xfId="5" applyNumberFormat="1" applyFont="1" applyFill="1" applyAlignment="1">
      <alignment vertical="top"/>
    </xf>
    <xf numFmtId="0" fontId="33" fillId="0" borderId="0" xfId="5" applyNumberFormat="1" applyFont="1" applyAlignment="1" applyProtection="1">
      <alignment horizontal="left" vertical="center"/>
      <protection locked="0"/>
    </xf>
    <xf numFmtId="0" fontId="33" fillId="0" borderId="0" xfId="5" applyNumberFormat="1" applyFont="1" applyAlignment="1" applyProtection="1">
      <alignment vertical="center"/>
      <protection locked="0"/>
    </xf>
    <xf numFmtId="165" fontId="48" fillId="0" borderId="0" xfId="2" applyNumberFormat="1" applyFont="1" applyBorder="1" applyAlignment="1"/>
    <xf numFmtId="165" fontId="33" fillId="0" borderId="0" xfId="2" applyNumberFormat="1" applyFont="1" applyBorder="1" applyAlignment="1"/>
    <xf numFmtId="44" fontId="49" fillId="0" borderId="0" xfId="7" applyNumberFormat="1" applyFont="1" applyAlignment="1"/>
    <xf numFmtId="172" fontId="33" fillId="3" borderId="3" xfId="5" applyNumberFormat="1" applyFont="1" applyFill="1" applyBorder="1"/>
    <xf numFmtId="10" fontId="33" fillId="0" borderId="0" xfId="3" applyNumberFormat="1" applyFont="1" applyAlignment="1"/>
    <xf numFmtId="175" fontId="33" fillId="0" borderId="0" xfId="3" applyNumberFormat="1" applyFont="1" applyAlignment="1"/>
    <xf numFmtId="0" fontId="33" fillId="0" borderId="0" xfId="5" applyNumberFormat="1" applyFont="1" applyAlignment="1" applyProtection="1">
      <alignment vertical="top" wrapText="1"/>
      <protection locked="0"/>
    </xf>
    <xf numFmtId="0" fontId="32" fillId="0" borderId="0" xfId="5" applyNumberFormat="1" applyFont="1" applyAlignment="1">
      <alignment horizontal="center" vertical="center"/>
    </xf>
    <xf numFmtId="0" fontId="33" fillId="0" borderId="5" xfId="5" applyNumberFormat="1" applyFont="1" applyBorder="1" applyAlignment="1">
      <alignment horizontal="center"/>
    </xf>
    <xf numFmtId="0" fontId="33" fillId="0" borderId="11" xfId="5" applyNumberFormat="1" applyFont="1" applyBorder="1" applyAlignment="1">
      <alignment horizontal="center"/>
    </xf>
    <xf numFmtId="0" fontId="33" fillId="0" borderId="6" xfId="5" applyNumberFormat="1" applyFont="1" applyBorder="1" applyAlignment="1">
      <alignment horizontal="center"/>
    </xf>
    <xf numFmtId="3" fontId="33" fillId="0" borderId="0" xfId="5" applyNumberFormat="1" applyFont="1" applyAlignment="1">
      <alignment horizontal="right"/>
    </xf>
    <xf numFmtId="0" fontId="33" fillId="0" borderId="0" xfId="5" applyNumberFormat="1" applyFont="1" applyFill="1" applyAlignment="1" applyProtection="1">
      <alignment vertical="top" wrapText="1"/>
      <protection locked="0"/>
    </xf>
    <xf numFmtId="0" fontId="33" fillId="0" borderId="0" xfId="5" applyNumberFormat="1" applyFont="1" applyFill="1" applyAlignment="1">
      <alignment vertical="top" wrapText="1"/>
    </xf>
    <xf numFmtId="0" fontId="33" fillId="0" borderId="0" xfId="5" applyNumberFormat="1" applyFont="1" applyFill="1" applyAlignment="1">
      <alignment horizontal="left" vertical="top" wrapText="1"/>
    </xf>
    <xf numFmtId="0" fontId="1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3" fillId="0" borderId="0" xfId="0" applyFont="1" applyAlignment="1">
      <alignment horizontal="center" vertical="center"/>
    </xf>
    <xf numFmtId="0" fontId="30" fillId="0" borderId="0" xfId="0" applyFont="1" applyAlignment="1">
      <alignment horizontal="center" vertical="center"/>
    </xf>
    <xf numFmtId="0" fontId="25" fillId="0" borderId="0" xfId="0" applyFont="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165" fontId="13" fillId="0" borderId="0" xfId="0" applyNumberFormat="1" applyFont="1" applyAlignment="1">
      <alignment horizontal="center" vertical="center"/>
    </xf>
    <xf numFmtId="0" fontId="7" fillId="0" borderId="0" xfId="0" applyFont="1" applyAlignment="1">
      <alignment horizontal="center" vertical="center"/>
    </xf>
  </cellXfs>
  <cellStyles count="12">
    <cellStyle name="Comma" xfId="1" builtinId="3"/>
    <cellStyle name="Comma 2 2" xfId="8"/>
    <cellStyle name="Comma 3" xfId="10"/>
    <cellStyle name="Currency" xfId="2" builtinId="4"/>
    <cellStyle name="Currency 2" xfId="7"/>
    <cellStyle name="Normal" xfId="0" builtinId="0"/>
    <cellStyle name="Normal 3" xfId="5"/>
    <cellStyle name="Normal_Debt Service" xfId="4"/>
    <cellStyle name="Normal_GRE_Rate_Zones_Allocation_11042004" xfId="6"/>
    <cellStyle name="Percent" xfId="3" builtinId="5"/>
    <cellStyle name="Percent 2" xfId="9"/>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showGridLines="0" workbookViewId="0">
      <selection activeCell="E6" sqref="E6"/>
    </sheetView>
  </sheetViews>
  <sheetFormatPr defaultRowHeight="15"/>
  <cols>
    <col min="4" max="4" width="52.42578125" customWidth="1"/>
  </cols>
  <sheetData>
    <row r="3" spans="4:5" ht="18.75">
      <c r="D3" s="1" t="s">
        <v>4</v>
      </c>
      <c r="E3" s="2"/>
    </row>
    <row r="4" spans="4:5" ht="18.75">
      <c r="D4" s="1" t="s">
        <v>6</v>
      </c>
      <c r="E4" s="2"/>
    </row>
    <row r="5" spans="4:5" ht="18.75">
      <c r="D5" s="1" t="s">
        <v>7</v>
      </c>
      <c r="E5" s="3">
        <v>2015</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R34"/>
  <sheetViews>
    <sheetView showGridLines="0" topLeftCell="A10" zoomScaleNormal="100" workbookViewId="0">
      <selection activeCell="H9" sqref="H9"/>
    </sheetView>
  </sheetViews>
  <sheetFormatPr defaultColWidth="9.140625" defaultRowHeight="15"/>
  <cols>
    <col min="1" max="2" width="9.140625" style="5"/>
    <col min="3" max="3" width="27.85546875" style="5" customWidth="1"/>
    <col min="4" max="4" width="13.7109375" style="5" bestFit="1" customWidth="1"/>
    <col min="5" max="6" width="19.85546875" style="5" customWidth="1"/>
    <col min="7" max="7" width="15" style="5" bestFit="1" customWidth="1"/>
    <col min="8" max="8" width="14.7109375" style="5" bestFit="1" customWidth="1"/>
    <col min="9" max="9" width="13.28515625" style="5" bestFit="1" customWidth="1"/>
    <col min="10" max="10" width="14.28515625" style="5" bestFit="1" customWidth="1"/>
    <col min="11" max="12" width="13.42578125" style="5" bestFit="1" customWidth="1"/>
    <col min="13" max="13" width="14.28515625" style="5" bestFit="1" customWidth="1"/>
    <col min="14" max="14" width="12" style="5" bestFit="1" customWidth="1"/>
    <col min="15" max="15" width="14.28515625" style="5" bestFit="1" customWidth="1"/>
    <col min="16" max="16" width="9.5703125" style="5" bestFit="1" customWidth="1"/>
    <col min="17" max="17" width="12" style="5" bestFit="1" customWidth="1"/>
    <col min="18" max="16384" width="9.140625" style="5"/>
  </cols>
  <sheetData>
    <row r="3" spans="2:8" ht="15.75">
      <c r="B3" s="4" t="s">
        <v>4</v>
      </c>
      <c r="C3" s="4"/>
      <c r="D3" s="4"/>
      <c r="E3" s="4"/>
      <c r="F3" s="4"/>
    </row>
    <row r="4" spans="2:8" ht="15.75">
      <c r="B4" s="6">
        <f>Coversheet!E5</f>
        <v>2015</v>
      </c>
      <c r="C4" s="4" t="s">
        <v>55</v>
      </c>
      <c r="D4" s="4"/>
      <c r="E4" s="4"/>
      <c r="F4" s="4"/>
    </row>
    <row r="5" spans="2:8" ht="15.75">
      <c r="B5" s="4" t="s">
        <v>7</v>
      </c>
      <c r="C5" s="4"/>
      <c r="D5" s="4"/>
      <c r="E5" s="7">
        <f>Coversheet!E5</f>
        <v>2015</v>
      </c>
    </row>
    <row r="6" spans="2:8" ht="15.75">
      <c r="B6" s="4"/>
      <c r="C6" s="4"/>
      <c r="D6" s="4"/>
      <c r="E6" s="7"/>
    </row>
    <row r="7" spans="2:8" s="9" customFormat="1" ht="35.25" customHeight="1">
      <c r="B7" s="8" t="s">
        <v>0</v>
      </c>
      <c r="C7" s="8" t="s">
        <v>1</v>
      </c>
      <c r="D7" s="8" t="s">
        <v>2</v>
      </c>
      <c r="E7" s="8" t="s">
        <v>56</v>
      </c>
      <c r="F7" s="8" t="s">
        <v>670</v>
      </c>
    </row>
    <row r="8" spans="2:8" s="9" customFormat="1">
      <c r="B8" s="10">
        <v>1</v>
      </c>
      <c r="C8" s="10" t="s">
        <v>21</v>
      </c>
      <c r="D8" s="10">
        <f>$E$5-1</f>
        <v>2014</v>
      </c>
      <c r="E8" s="11">
        <f>E26+E27-E28</f>
        <v>580035000</v>
      </c>
      <c r="F8" s="11">
        <f>F26+F30</f>
        <v>150158277</v>
      </c>
      <c r="G8" s="103">
        <f>E8/(E8+F8)</f>
        <v>0.79435817648592233</v>
      </c>
    </row>
    <row r="9" spans="2:8" ht="17.25">
      <c r="B9" s="13">
        <v>2</v>
      </c>
      <c r="C9" s="14" t="s">
        <v>10</v>
      </c>
      <c r="D9" s="13">
        <f>$E$5</f>
        <v>2015</v>
      </c>
      <c r="E9" s="11">
        <f>E8-H9</f>
        <v>565170000</v>
      </c>
      <c r="F9" s="11">
        <f>F8+F$31/12</f>
        <v>151691252</v>
      </c>
      <c r="G9" s="103">
        <f t="shared" ref="G9:G20" si="0">E9/(E9+F9)</f>
        <v>0.78839524164991415</v>
      </c>
      <c r="H9" s="40">
        <v>14865000</v>
      </c>
    </row>
    <row r="10" spans="2:8" ht="15.75">
      <c r="B10" s="13">
        <v>3</v>
      </c>
      <c r="C10" s="15" t="s">
        <v>11</v>
      </c>
      <c r="D10" s="13">
        <f t="shared" ref="D10:D20" si="1">$E$5</f>
        <v>2015</v>
      </c>
      <c r="E10" s="11">
        <f t="shared" ref="E10:E20" si="2">E9</f>
        <v>565170000</v>
      </c>
      <c r="F10" s="11">
        <f t="shared" ref="F10:F20" si="3">F9+F$31/12</f>
        <v>153224227</v>
      </c>
      <c r="G10" s="103">
        <f t="shared" si="0"/>
        <v>0.78671289211236939</v>
      </c>
    </row>
    <row r="11" spans="2:8" ht="15.75">
      <c r="B11" s="13">
        <v>4</v>
      </c>
      <c r="C11" s="15" t="s">
        <v>12</v>
      </c>
      <c r="D11" s="13">
        <f t="shared" si="1"/>
        <v>2015</v>
      </c>
      <c r="E11" s="11">
        <f>E10</f>
        <v>565170000</v>
      </c>
      <c r="F11" s="11">
        <f t="shared" si="3"/>
        <v>154757202</v>
      </c>
      <c r="G11" s="103">
        <f t="shared" si="0"/>
        <v>0.78503770718751087</v>
      </c>
    </row>
    <row r="12" spans="2:8" ht="15.75">
      <c r="B12" s="13">
        <v>5</v>
      </c>
      <c r="C12" s="15" t="s">
        <v>13</v>
      </c>
      <c r="D12" s="13">
        <f t="shared" si="1"/>
        <v>2015</v>
      </c>
      <c r="E12" s="11">
        <f t="shared" si="2"/>
        <v>565170000</v>
      </c>
      <c r="F12" s="11">
        <f t="shared" si="3"/>
        <v>156290177</v>
      </c>
      <c r="G12" s="103">
        <f t="shared" si="0"/>
        <v>0.78336964120474251</v>
      </c>
    </row>
    <row r="13" spans="2:8" ht="15.75">
      <c r="B13" s="13">
        <v>6</v>
      </c>
      <c r="C13" s="15" t="s">
        <v>14</v>
      </c>
      <c r="D13" s="13">
        <f t="shared" si="1"/>
        <v>2015</v>
      </c>
      <c r="E13" s="11">
        <f t="shared" si="2"/>
        <v>565170000</v>
      </c>
      <c r="F13" s="11">
        <f t="shared" si="3"/>
        <v>157823152</v>
      </c>
      <c r="G13" s="103">
        <f t="shared" si="0"/>
        <v>0.7817086488808126</v>
      </c>
    </row>
    <row r="14" spans="2:8" ht="15.75">
      <c r="B14" s="13">
        <v>7</v>
      </c>
      <c r="C14" s="15" t="s">
        <v>15</v>
      </c>
      <c r="D14" s="13">
        <f t="shared" si="1"/>
        <v>2015</v>
      </c>
      <c r="E14" s="11">
        <f t="shared" si="2"/>
        <v>565170000</v>
      </c>
      <c r="F14" s="11">
        <f t="shared" si="3"/>
        <v>159356127</v>
      </c>
      <c r="G14" s="103">
        <f t="shared" si="0"/>
        <v>0.78005468531571676</v>
      </c>
    </row>
    <row r="15" spans="2:8" ht="15.75">
      <c r="B15" s="13">
        <v>8</v>
      </c>
      <c r="C15" s="15" t="s">
        <v>16</v>
      </c>
      <c r="D15" s="13">
        <f t="shared" si="1"/>
        <v>2015</v>
      </c>
      <c r="E15" s="11">
        <f t="shared" si="2"/>
        <v>565170000</v>
      </c>
      <c r="F15" s="11">
        <f>F14+F$31/12</f>
        <v>160889102</v>
      </c>
      <c r="G15" s="103">
        <f t="shared" si="0"/>
        <v>0.77840770598865106</v>
      </c>
    </row>
    <row r="16" spans="2:8" ht="15.75">
      <c r="B16" s="13">
        <v>9</v>
      </c>
      <c r="C16" s="15" t="s">
        <v>17</v>
      </c>
      <c r="D16" s="13">
        <f t="shared" si="1"/>
        <v>2015</v>
      </c>
      <c r="E16" s="11">
        <f t="shared" si="2"/>
        <v>565170000</v>
      </c>
      <c r="F16" s="11">
        <f t="shared" si="3"/>
        <v>162422077</v>
      </c>
      <c r="G16" s="103">
        <f t="shared" si="0"/>
        <v>0.77676766675401832</v>
      </c>
    </row>
    <row r="17" spans="2:18" ht="15.75">
      <c r="B17" s="13">
        <v>10</v>
      </c>
      <c r="C17" s="15" t="s">
        <v>18</v>
      </c>
      <c r="D17" s="13">
        <f t="shared" si="1"/>
        <v>2015</v>
      </c>
      <c r="E17" s="11">
        <f>E16</f>
        <v>565170000</v>
      </c>
      <c r="F17" s="11">
        <f t="shared" si="3"/>
        <v>163955052</v>
      </c>
      <c r="G17" s="103">
        <f t="shared" si="0"/>
        <v>0.77513452383748294</v>
      </c>
    </row>
    <row r="18" spans="2:18" ht="15.75">
      <c r="B18" s="13">
        <v>11</v>
      </c>
      <c r="C18" s="15" t="s">
        <v>19</v>
      </c>
      <c r="D18" s="13">
        <f t="shared" si="1"/>
        <v>2015</v>
      </c>
      <c r="E18" s="11">
        <f t="shared" si="2"/>
        <v>565170000</v>
      </c>
      <c r="F18" s="11">
        <f t="shared" si="3"/>
        <v>165488027</v>
      </c>
      <c r="G18" s="103">
        <f t="shared" si="0"/>
        <v>0.77350823383207701</v>
      </c>
    </row>
    <row r="19" spans="2:18" ht="15.75">
      <c r="B19" s="13">
        <v>12</v>
      </c>
      <c r="C19" s="15" t="s">
        <v>20</v>
      </c>
      <c r="D19" s="13">
        <f t="shared" si="1"/>
        <v>2015</v>
      </c>
      <c r="E19" s="11">
        <f t="shared" si="2"/>
        <v>565170000</v>
      </c>
      <c r="F19" s="11">
        <f t="shared" si="3"/>
        <v>167021002</v>
      </c>
      <c r="G19" s="103">
        <f t="shared" si="0"/>
        <v>0.77188875369435361</v>
      </c>
    </row>
    <row r="20" spans="2:18" ht="17.25">
      <c r="B20" s="13">
        <v>13</v>
      </c>
      <c r="C20" s="15" t="s">
        <v>21</v>
      </c>
      <c r="D20" s="13">
        <f t="shared" si="1"/>
        <v>2015</v>
      </c>
      <c r="E20" s="29">
        <f t="shared" si="2"/>
        <v>565170000</v>
      </c>
      <c r="F20" s="29">
        <f t="shared" si="3"/>
        <v>168553977</v>
      </c>
      <c r="G20" s="103">
        <f t="shared" si="0"/>
        <v>0.77027604074059042</v>
      </c>
    </row>
    <row r="21" spans="2:18">
      <c r="B21" s="13">
        <v>14</v>
      </c>
    </row>
    <row r="22" spans="2:18" ht="17.25">
      <c r="B22" s="13">
        <v>15</v>
      </c>
      <c r="C22" s="6" t="s">
        <v>27</v>
      </c>
      <c r="D22" s="18"/>
      <c r="E22" s="30">
        <f>SUM(E8:E20)/13</f>
        <v>566313461.53846157</v>
      </c>
      <c r="F22" s="30">
        <f t="shared" ref="F22" si="4">SUM(F8:F20)/13</f>
        <v>159356127</v>
      </c>
    </row>
    <row r="23" spans="2:18">
      <c r="F23" s="31"/>
    </row>
    <row r="24" spans="2:18">
      <c r="C24" s="92" t="s">
        <v>203</v>
      </c>
      <c r="D24" s="92"/>
      <c r="E24" s="92" t="s">
        <v>206</v>
      </c>
      <c r="F24" s="92" t="s">
        <v>207</v>
      </c>
      <c r="G24" s="21"/>
      <c r="H24" s="21"/>
      <c r="I24" s="21"/>
      <c r="J24" s="21"/>
      <c r="K24" s="21"/>
      <c r="L24" s="21"/>
      <c r="M24" s="21"/>
      <c r="N24" s="21"/>
      <c r="O24" s="21"/>
    </row>
    <row r="25" spans="2:18" ht="17.25">
      <c r="C25" s="31"/>
      <c r="F25" s="31"/>
      <c r="G25" s="370"/>
      <c r="H25" s="370"/>
      <c r="I25" s="370"/>
      <c r="J25" s="370"/>
      <c r="K25" s="370"/>
      <c r="L25" s="370"/>
      <c r="M25" s="370"/>
      <c r="N25" s="370"/>
      <c r="O25" s="370"/>
      <c r="P25" s="370"/>
      <c r="Q25" s="370"/>
    </row>
    <row r="26" spans="2:18" s="119" customFormat="1" ht="17.25">
      <c r="B26" s="114" t="s">
        <v>210</v>
      </c>
      <c r="C26" s="129" t="s">
        <v>669</v>
      </c>
      <c r="D26" s="115"/>
      <c r="E26" s="121">
        <f>228780000+40000000</f>
        <v>268780000</v>
      </c>
      <c r="F26" s="121">
        <f>20317355+126725540</f>
        <v>147042895</v>
      </c>
      <c r="G26" s="116"/>
      <c r="H26" s="116"/>
      <c r="I26" s="117"/>
      <c r="J26" s="117"/>
      <c r="K26" s="116"/>
      <c r="L26" s="116"/>
      <c r="M26" s="116"/>
      <c r="N26" s="116"/>
      <c r="O26" s="116"/>
      <c r="P26" s="116"/>
      <c r="Q26" s="116"/>
      <c r="R26" s="118"/>
    </row>
    <row r="27" spans="2:18" s="119" customFormat="1">
      <c r="B27" s="119" t="s">
        <v>210</v>
      </c>
      <c r="C27" s="120" t="s">
        <v>238</v>
      </c>
      <c r="E27" s="121">
        <v>351255000</v>
      </c>
      <c r="F27" s="121"/>
      <c r="G27" s="122"/>
      <c r="H27" s="122"/>
      <c r="I27" s="123"/>
      <c r="J27" s="123"/>
      <c r="K27" s="123"/>
      <c r="L27" s="123"/>
      <c r="M27" s="123"/>
      <c r="N27" s="123"/>
      <c r="O27" s="123"/>
      <c r="P27" s="123"/>
    </row>
    <row r="28" spans="2:18" s="119" customFormat="1">
      <c r="B28" s="119" t="s">
        <v>211</v>
      </c>
      <c r="C28" s="120" t="s">
        <v>248</v>
      </c>
      <c r="E28" s="121">
        <v>40000000</v>
      </c>
      <c r="G28" s="122"/>
      <c r="H28" s="122"/>
      <c r="I28" s="123"/>
      <c r="J28" s="123"/>
      <c r="K28" s="123"/>
      <c r="L28" s="123"/>
      <c r="M28" s="123"/>
      <c r="N28" s="123"/>
      <c r="O28" s="123"/>
      <c r="P28" s="123"/>
      <c r="Q28" s="118"/>
    </row>
    <row r="29" spans="2:18" s="119" customFormat="1">
      <c r="B29" s="119" t="s">
        <v>211</v>
      </c>
      <c r="C29" s="120" t="s">
        <v>249</v>
      </c>
      <c r="E29" s="121">
        <v>0</v>
      </c>
      <c r="G29" s="122"/>
      <c r="H29" s="122"/>
      <c r="I29" s="123"/>
      <c r="J29" s="123"/>
      <c r="K29" s="123"/>
      <c r="L29" s="123"/>
      <c r="M29" s="123"/>
      <c r="N29" s="123"/>
      <c r="O29" s="123"/>
      <c r="P29" s="123"/>
    </row>
    <row r="30" spans="2:18" s="119" customFormat="1">
      <c r="B30" s="119" t="s">
        <v>259</v>
      </c>
      <c r="C30" s="120" t="s">
        <v>250</v>
      </c>
      <c r="E30" s="121"/>
      <c r="F30" s="121">
        <f>9073620-5958238</f>
        <v>3115382</v>
      </c>
      <c r="G30" s="122"/>
      <c r="K30" s="123"/>
      <c r="L30" s="123"/>
    </row>
    <row r="31" spans="2:18" s="119" customFormat="1" ht="17.25">
      <c r="B31" s="119" t="s">
        <v>259</v>
      </c>
      <c r="C31" s="120" t="s">
        <v>251</v>
      </c>
      <c r="E31" s="121"/>
      <c r="F31" s="121">
        <f>5085269+13310431</f>
        <v>18395700</v>
      </c>
      <c r="G31" s="122"/>
      <c r="K31" s="124"/>
      <c r="L31" s="124"/>
      <c r="M31" s="124"/>
      <c r="N31" s="124"/>
    </row>
    <row r="32" spans="2:18">
      <c r="C32" s="5" t="s">
        <v>671</v>
      </c>
    </row>
    <row r="33" spans="3:5">
      <c r="C33" s="5" t="s">
        <v>668</v>
      </c>
    </row>
    <row r="34" spans="3:5">
      <c r="E34" s="5" t="s">
        <v>237</v>
      </c>
    </row>
  </sheetData>
  <mergeCells count="3">
    <mergeCell ref="G25:J25"/>
    <mergeCell ref="O25:Q25"/>
    <mergeCell ref="K25:N25"/>
  </mergeCells>
  <pageMargins left="0.7" right="0.7" top="0.75" bottom="0.75" header="0.3" footer="0.3"/>
  <pageSetup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topLeftCell="B25" zoomScale="90" zoomScaleNormal="90" workbookViewId="0">
      <selection activeCell="D31" sqref="D31"/>
    </sheetView>
  </sheetViews>
  <sheetFormatPr defaultColWidth="9.140625" defaultRowHeight="15"/>
  <cols>
    <col min="1" max="2" width="9.140625" style="5"/>
    <col min="3" max="3" width="63.7109375" style="60" customWidth="1"/>
    <col min="4" max="4" width="16.140625" style="5" bestFit="1" customWidth="1"/>
    <col min="5" max="5" width="45.28515625" style="60" bestFit="1" customWidth="1"/>
    <col min="6" max="8" width="12" style="73" bestFit="1" customWidth="1"/>
    <col min="9" max="9" width="12.140625" style="73" bestFit="1" customWidth="1"/>
    <col min="10" max="10" width="9.140625" style="73"/>
    <col min="11" max="11" width="15.42578125" style="86" bestFit="1" customWidth="1"/>
    <col min="12" max="16384" width="9.140625" style="5"/>
  </cols>
  <sheetData>
    <row r="1" spans="2:11">
      <c r="C1" s="41" t="str">
        <f>Coversheet!D3</f>
        <v>Missouri River Energy Services</v>
      </c>
      <c r="E1" s="42"/>
      <c r="K1" s="74"/>
    </row>
    <row r="2" spans="2:11">
      <c r="C2" s="41" t="str">
        <f>Coversheet!D5</f>
        <v>Forecasted 12 Months Ended December 31,</v>
      </c>
      <c r="D2" s="41">
        <f>Coversheet!E5</f>
        <v>2015</v>
      </c>
      <c r="K2" s="75"/>
    </row>
    <row r="3" spans="2:11">
      <c r="C3" s="44"/>
      <c r="E3" s="44"/>
      <c r="K3" s="76"/>
    </row>
    <row r="4" spans="2:11">
      <c r="C4" s="67" t="s">
        <v>59</v>
      </c>
      <c r="D4" s="67" t="s">
        <v>93</v>
      </c>
      <c r="E4" s="68"/>
      <c r="F4" s="77"/>
      <c r="G4" s="77"/>
      <c r="H4" s="77"/>
      <c r="K4" s="77"/>
    </row>
    <row r="5" spans="2:11">
      <c r="B5" s="8" t="s">
        <v>0</v>
      </c>
      <c r="C5" s="58" t="s">
        <v>110</v>
      </c>
      <c r="E5" s="44"/>
      <c r="F5" s="76"/>
      <c r="G5" s="76"/>
      <c r="H5" s="76"/>
      <c r="K5" s="76"/>
    </row>
    <row r="6" spans="2:11">
      <c r="B6" s="13">
        <v>1</v>
      </c>
      <c r="C6" s="46" t="s">
        <v>111</v>
      </c>
      <c r="D6" s="31">
        <v>595526</v>
      </c>
      <c r="E6" s="44"/>
      <c r="F6" s="78">
        <v>293658</v>
      </c>
      <c r="G6" s="78"/>
      <c r="H6" s="78"/>
      <c r="I6" s="79"/>
      <c r="J6" s="80"/>
      <c r="K6" s="78"/>
    </row>
    <row r="7" spans="2:11" s="9" customFormat="1">
      <c r="B7" s="13">
        <f t="shared" ref="B7:B38" si="0">B6+1</f>
        <v>2</v>
      </c>
      <c r="C7" s="46" t="s">
        <v>112</v>
      </c>
      <c r="D7" s="31">
        <v>196583</v>
      </c>
      <c r="E7" s="44"/>
      <c r="F7" s="50"/>
      <c r="G7" s="50"/>
      <c r="H7" s="50"/>
      <c r="I7" s="79"/>
      <c r="J7" s="80"/>
      <c r="K7" s="50"/>
    </row>
    <row r="8" spans="2:11">
      <c r="B8" s="13">
        <f t="shared" si="0"/>
        <v>3</v>
      </c>
      <c r="C8" s="46" t="s">
        <v>113</v>
      </c>
      <c r="D8" s="31">
        <v>10438</v>
      </c>
      <c r="E8" s="44" t="s">
        <v>114</v>
      </c>
      <c r="F8" s="50"/>
      <c r="G8" s="50"/>
      <c r="H8" s="50"/>
      <c r="I8" s="79"/>
      <c r="J8" s="80"/>
      <c r="K8" s="50"/>
    </row>
    <row r="9" spans="2:11">
      <c r="B9" s="13">
        <f t="shared" si="0"/>
        <v>4</v>
      </c>
      <c r="C9" s="46" t="s">
        <v>115</v>
      </c>
      <c r="D9" s="31">
        <v>277996</v>
      </c>
      <c r="E9" s="44" t="s">
        <v>114</v>
      </c>
      <c r="F9" s="50"/>
      <c r="G9" s="50"/>
      <c r="H9" s="50"/>
      <c r="I9" s="79"/>
      <c r="J9" s="80"/>
      <c r="K9" s="50"/>
    </row>
    <row r="10" spans="2:11">
      <c r="B10" s="13">
        <f t="shared" si="0"/>
        <v>5</v>
      </c>
      <c r="C10" s="46" t="s">
        <v>116</v>
      </c>
      <c r="D10" s="31">
        <v>0</v>
      </c>
      <c r="E10" s="44" t="s">
        <v>114</v>
      </c>
      <c r="F10" s="50"/>
      <c r="G10" s="50"/>
      <c r="H10" s="50"/>
      <c r="I10" s="79"/>
      <c r="J10" s="80"/>
      <c r="K10" s="50"/>
    </row>
    <row r="11" spans="2:11">
      <c r="B11" s="13">
        <f t="shared" si="0"/>
        <v>6</v>
      </c>
      <c r="C11" s="46" t="s">
        <v>117</v>
      </c>
      <c r="D11" s="31">
        <v>0</v>
      </c>
      <c r="E11" s="44" t="s">
        <v>118</v>
      </c>
      <c r="F11" s="50"/>
      <c r="G11" s="50"/>
      <c r="H11" s="50"/>
      <c r="I11" s="79"/>
      <c r="J11" s="80"/>
      <c r="K11" s="50"/>
    </row>
    <row r="12" spans="2:11">
      <c r="B12" s="13">
        <f t="shared" si="0"/>
        <v>7</v>
      </c>
      <c r="C12" s="46" t="s">
        <v>119</v>
      </c>
      <c r="D12" s="31">
        <v>290834</v>
      </c>
      <c r="E12" s="44"/>
      <c r="F12" s="50"/>
      <c r="G12" s="50"/>
      <c r="H12" s="50"/>
      <c r="I12" s="79"/>
      <c r="J12" s="80"/>
      <c r="K12" s="50"/>
    </row>
    <row r="13" spans="2:11">
      <c r="B13" s="13">
        <f t="shared" si="0"/>
        <v>8</v>
      </c>
      <c r="C13" s="46" t="s">
        <v>120</v>
      </c>
      <c r="D13" s="31">
        <v>0</v>
      </c>
      <c r="E13" s="44"/>
      <c r="F13" s="50"/>
      <c r="G13" s="50"/>
      <c r="H13" s="50"/>
      <c r="I13" s="79"/>
      <c r="J13" s="80"/>
      <c r="K13" s="50"/>
    </row>
    <row r="14" spans="2:11">
      <c r="B14" s="13">
        <f t="shared" si="0"/>
        <v>9</v>
      </c>
      <c r="C14" s="46" t="s">
        <v>121</v>
      </c>
      <c r="D14" s="31">
        <v>0</v>
      </c>
      <c r="E14" s="44"/>
      <c r="F14" s="50"/>
      <c r="G14" s="50"/>
      <c r="H14" s="50"/>
      <c r="I14" s="79"/>
      <c r="J14" s="80"/>
      <c r="K14" s="50"/>
    </row>
    <row r="15" spans="2:11">
      <c r="B15" s="13">
        <f t="shared" si="0"/>
        <v>10</v>
      </c>
      <c r="C15" s="46" t="s">
        <v>122</v>
      </c>
      <c r="D15" s="31">
        <v>0</v>
      </c>
      <c r="E15" s="44" t="s">
        <v>118</v>
      </c>
      <c r="F15" s="50"/>
      <c r="G15" s="50"/>
      <c r="H15" s="50"/>
      <c r="I15" s="79"/>
      <c r="J15" s="80"/>
      <c r="K15" s="50"/>
    </row>
    <row r="16" spans="2:11">
      <c r="B16" s="13">
        <f t="shared" si="0"/>
        <v>11</v>
      </c>
      <c r="C16" s="46" t="s">
        <v>123</v>
      </c>
      <c r="D16" s="31">
        <v>360879</v>
      </c>
      <c r="E16" s="44"/>
      <c r="F16" s="50">
        <v>241071</v>
      </c>
      <c r="G16" s="50">
        <v>86000</v>
      </c>
      <c r="H16" s="50"/>
      <c r="I16" s="79"/>
      <c r="J16" s="80"/>
      <c r="K16" s="50"/>
    </row>
    <row r="17" spans="2:11">
      <c r="B17" s="13">
        <f t="shared" si="0"/>
        <v>12</v>
      </c>
      <c r="C17" s="46" t="s">
        <v>124</v>
      </c>
      <c r="D17" s="31">
        <v>364931</v>
      </c>
      <c r="E17" s="44"/>
      <c r="F17" s="50">
        <v>138659</v>
      </c>
      <c r="G17" s="50">
        <v>188328</v>
      </c>
      <c r="H17" s="50"/>
      <c r="I17" s="79"/>
      <c r="J17" s="80"/>
      <c r="K17" s="50"/>
    </row>
    <row r="18" spans="2:11">
      <c r="B18" s="13">
        <f t="shared" si="0"/>
        <v>13</v>
      </c>
      <c r="C18" s="46" t="s">
        <v>125</v>
      </c>
      <c r="D18" s="31">
        <v>0</v>
      </c>
      <c r="E18" s="44"/>
      <c r="F18" s="50"/>
      <c r="G18" s="50"/>
      <c r="H18" s="50"/>
      <c r="I18" s="79"/>
      <c r="J18" s="80"/>
      <c r="K18" s="50"/>
    </row>
    <row r="19" spans="2:11">
      <c r="B19" s="13">
        <f t="shared" si="0"/>
        <v>14</v>
      </c>
      <c r="C19" s="46" t="s">
        <v>126</v>
      </c>
      <c r="D19" s="31">
        <v>32408617</v>
      </c>
      <c r="E19" s="44" t="s">
        <v>127</v>
      </c>
      <c r="F19" s="50">
        <v>362658</v>
      </c>
      <c r="G19" s="50">
        <v>13629866</v>
      </c>
      <c r="H19" s="50">
        <v>5873942</v>
      </c>
      <c r="I19" s="50">
        <v>9024063</v>
      </c>
      <c r="J19" s="80"/>
      <c r="K19" s="50"/>
    </row>
    <row r="20" spans="2:11">
      <c r="B20" s="13">
        <f t="shared" si="0"/>
        <v>15</v>
      </c>
      <c r="C20" s="46" t="s">
        <v>128</v>
      </c>
      <c r="D20" s="31">
        <v>930225</v>
      </c>
      <c r="E20" s="44"/>
      <c r="F20" s="50">
        <v>141719</v>
      </c>
      <c r="G20" s="50">
        <v>280000</v>
      </c>
      <c r="H20" s="50"/>
      <c r="I20" s="79"/>
      <c r="J20" s="80"/>
      <c r="K20" s="50"/>
    </row>
    <row r="21" spans="2:11">
      <c r="B21" s="13">
        <f t="shared" si="0"/>
        <v>16</v>
      </c>
      <c r="C21" s="46" t="s">
        <v>129</v>
      </c>
      <c r="D21" s="31">
        <v>7860</v>
      </c>
      <c r="E21" s="44"/>
      <c r="F21" s="50"/>
      <c r="G21" s="50">
        <v>544366</v>
      </c>
      <c r="H21" s="50"/>
      <c r="I21" s="79"/>
      <c r="J21" s="80"/>
      <c r="K21" s="50"/>
    </row>
    <row r="22" spans="2:11">
      <c r="B22" s="13">
        <f t="shared" si="0"/>
        <v>17</v>
      </c>
      <c r="C22" s="58" t="s">
        <v>130</v>
      </c>
      <c r="D22" s="31"/>
      <c r="E22" s="44"/>
      <c r="F22" s="50"/>
      <c r="G22" s="50">
        <v>5500764</v>
      </c>
      <c r="H22" s="50"/>
      <c r="I22" s="79"/>
      <c r="J22" s="80"/>
      <c r="K22" s="50"/>
    </row>
    <row r="23" spans="2:11">
      <c r="B23" s="13">
        <f t="shared" si="0"/>
        <v>18</v>
      </c>
      <c r="C23" s="46" t="s">
        <v>131</v>
      </c>
      <c r="D23" s="31">
        <v>26143</v>
      </c>
      <c r="F23" s="50">
        <v>1800</v>
      </c>
      <c r="G23" s="50"/>
      <c r="H23" s="50"/>
      <c r="I23" s="79"/>
      <c r="J23" s="80"/>
      <c r="K23" s="50"/>
    </row>
    <row r="24" spans="2:11">
      <c r="B24" s="13">
        <f t="shared" si="0"/>
        <v>19</v>
      </c>
      <c r="C24" s="46" t="s">
        <v>132</v>
      </c>
      <c r="D24" s="31">
        <v>0</v>
      </c>
      <c r="E24" s="44"/>
      <c r="F24" s="50"/>
      <c r="G24" s="50"/>
      <c r="H24" s="50"/>
      <c r="I24" s="79"/>
      <c r="J24" s="80"/>
      <c r="K24" s="50"/>
    </row>
    <row r="25" spans="2:11">
      <c r="B25" s="13">
        <f t="shared" si="0"/>
        <v>20</v>
      </c>
      <c r="C25" s="46" t="s">
        <v>133</v>
      </c>
      <c r="D25" s="31">
        <v>16046</v>
      </c>
      <c r="E25" s="44"/>
      <c r="F25" s="50"/>
      <c r="G25" s="50"/>
      <c r="H25" s="50"/>
      <c r="I25" s="79"/>
      <c r="J25" s="80"/>
      <c r="K25" s="50"/>
    </row>
    <row r="26" spans="2:11">
      <c r="B26" s="13">
        <f t="shared" si="0"/>
        <v>21</v>
      </c>
      <c r="C26" s="46" t="s">
        <v>134</v>
      </c>
      <c r="D26" s="31">
        <v>95377</v>
      </c>
      <c r="E26" s="44"/>
      <c r="F26" s="50"/>
      <c r="G26" s="50"/>
      <c r="H26" s="50"/>
      <c r="I26" s="79"/>
      <c r="J26" s="80"/>
      <c r="K26" s="50"/>
    </row>
    <row r="27" spans="2:11">
      <c r="B27" s="13">
        <f t="shared" si="0"/>
        <v>22</v>
      </c>
      <c r="C27" s="46" t="s">
        <v>135</v>
      </c>
      <c r="D27" s="31">
        <v>15806</v>
      </c>
      <c r="E27" s="44"/>
      <c r="F27" s="50"/>
      <c r="G27" s="50"/>
      <c r="H27" s="50"/>
      <c r="I27" s="79"/>
      <c r="J27" s="80"/>
      <c r="K27" s="50"/>
    </row>
    <row r="28" spans="2:11">
      <c r="B28" s="13">
        <f t="shared" si="0"/>
        <v>23</v>
      </c>
      <c r="C28" s="46" t="s">
        <v>136</v>
      </c>
      <c r="D28" s="31">
        <v>0</v>
      </c>
      <c r="E28" s="44"/>
      <c r="F28" s="50"/>
      <c r="G28" s="50"/>
      <c r="H28" s="50"/>
      <c r="I28" s="79"/>
      <c r="J28" s="80"/>
      <c r="K28" s="50"/>
    </row>
    <row r="29" spans="2:11">
      <c r="B29" s="13">
        <f t="shared" si="0"/>
        <v>24</v>
      </c>
      <c r="C29" s="46" t="s">
        <v>137</v>
      </c>
      <c r="D29" s="31">
        <v>320992</v>
      </c>
      <c r="E29" s="44"/>
      <c r="F29" s="50">
        <v>170208</v>
      </c>
      <c r="G29" s="50"/>
      <c r="H29" s="50"/>
      <c r="I29" s="79"/>
      <c r="J29" s="80"/>
      <c r="K29" s="50"/>
    </row>
    <row r="30" spans="2:11">
      <c r="B30" s="13">
        <f t="shared" si="0"/>
        <v>25</v>
      </c>
      <c r="C30" s="46" t="s">
        <v>138</v>
      </c>
      <c r="D30" s="31">
        <v>308975</v>
      </c>
      <c r="E30" s="44"/>
      <c r="F30" s="50">
        <v>66556</v>
      </c>
      <c r="G30" s="50"/>
      <c r="H30" s="50"/>
      <c r="I30" s="79"/>
      <c r="J30" s="80"/>
      <c r="K30" s="50"/>
    </row>
    <row r="31" spans="2:11">
      <c r="B31" s="13">
        <f t="shared" si="0"/>
        <v>26</v>
      </c>
      <c r="C31" s="46" t="s">
        <v>139</v>
      </c>
      <c r="D31" s="31">
        <v>30</v>
      </c>
      <c r="E31" s="44"/>
      <c r="F31" s="50"/>
      <c r="G31" s="50"/>
      <c r="H31" s="50"/>
      <c r="I31" s="79"/>
      <c r="J31" s="80"/>
      <c r="K31" s="50"/>
    </row>
    <row r="32" spans="2:11" ht="17.25">
      <c r="B32" s="13">
        <f t="shared" si="0"/>
        <v>27</v>
      </c>
      <c r="C32" s="46" t="s">
        <v>140</v>
      </c>
      <c r="D32" s="72">
        <v>351761</v>
      </c>
      <c r="E32" s="44"/>
      <c r="F32" s="81">
        <v>35364</v>
      </c>
      <c r="G32" s="81"/>
      <c r="H32" s="81"/>
      <c r="I32" s="79"/>
      <c r="J32" s="80"/>
      <c r="K32" s="81"/>
    </row>
    <row r="33" spans="2:11">
      <c r="B33" s="13">
        <f t="shared" si="0"/>
        <v>28</v>
      </c>
      <c r="C33" s="44"/>
      <c r="E33" s="44"/>
      <c r="F33" s="61"/>
      <c r="G33" s="61"/>
      <c r="H33" s="61"/>
      <c r="K33" s="61"/>
    </row>
    <row r="34" spans="2:11" ht="17.25">
      <c r="B34" s="13">
        <f t="shared" si="0"/>
        <v>29</v>
      </c>
      <c r="C34" s="63" t="s">
        <v>91</v>
      </c>
      <c r="D34" s="124">
        <f>SUM(D6:D33)</f>
        <v>36579019</v>
      </c>
      <c r="E34" s="44" t="s">
        <v>141</v>
      </c>
      <c r="F34" s="124">
        <f>SUM(F6:F33)</f>
        <v>1451693</v>
      </c>
      <c r="G34" s="61"/>
      <c r="H34" s="61"/>
      <c r="K34" s="61"/>
    </row>
    <row r="35" spans="2:11">
      <c r="B35" s="13">
        <f t="shared" si="0"/>
        <v>30</v>
      </c>
      <c r="C35" s="46"/>
      <c r="E35" s="44"/>
      <c r="F35" s="61"/>
      <c r="G35" s="61"/>
      <c r="H35" s="61"/>
      <c r="K35" s="61"/>
    </row>
    <row r="36" spans="2:11" ht="17.25">
      <c r="B36" s="13">
        <f t="shared" si="0"/>
        <v>31</v>
      </c>
      <c r="C36" s="64" t="s">
        <v>144</v>
      </c>
      <c r="D36" s="34">
        <f>35965128+1726020-1112127</f>
        <v>36579021</v>
      </c>
      <c r="E36" s="44"/>
      <c r="F36" s="82"/>
      <c r="G36" s="82"/>
      <c r="H36" s="82"/>
      <c r="K36" s="82"/>
    </row>
    <row r="37" spans="2:11">
      <c r="B37" s="13">
        <f t="shared" si="0"/>
        <v>32</v>
      </c>
      <c r="C37" s="53"/>
      <c r="D37" s="21"/>
      <c r="E37" s="44"/>
      <c r="F37" s="83"/>
      <c r="G37" s="83"/>
      <c r="H37" s="83"/>
      <c r="K37" s="83"/>
    </row>
    <row r="38" spans="2:11" ht="17.25">
      <c r="B38" s="13">
        <f t="shared" si="0"/>
        <v>33</v>
      </c>
      <c r="C38" s="53" t="s">
        <v>109</v>
      </c>
      <c r="D38" s="40">
        <f>D34-D36</f>
        <v>-2</v>
      </c>
      <c r="E38" s="44"/>
      <c r="F38" s="84"/>
      <c r="G38" s="85"/>
      <c r="H38" s="84"/>
      <c r="K38" s="85"/>
    </row>
    <row r="39" spans="2:11" ht="17.25">
      <c r="B39" s="13">
        <f t="shared" ref="B39:B40" si="1">B38+1</f>
        <v>34</v>
      </c>
      <c r="C39" s="53"/>
      <c r="D39" s="40"/>
      <c r="E39" s="44"/>
      <c r="F39" s="84"/>
      <c r="G39" s="85"/>
      <c r="H39" s="84"/>
      <c r="K39" s="85"/>
    </row>
    <row r="40" spans="2:11" ht="17.25">
      <c r="B40" s="13">
        <f t="shared" si="1"/>
        <v>35</v>
      </c>
      <c r="C40" s="25" t="s">
        <v>58</v>
      </c>
      <c r="D40" s="91">
        <v>0</v>
      </c>
      <c r="E40" s="44" t="s">
        <v>118</v>
      </c>
      <c r="K40" s="73"/>
    </row>
    <row r="41" spans="2:11">
      <c r="B41" s="13"/>
      <c r="C41" s="28"/>
      <c r="D41" s="33"/>
      <c r="E41" s="90"/>
      <c r="K41" s="73"/>
    </row>
    <row r="43" spans="2:11">
      <c r="C43" s="104" t="s">
        <v>667</v>
      </c>
    </row>
    <row r="44" spans="2:11">
      <c r="D44" s="5" t="s">
        <v>236</v>
      </c>
    </row>
    <row r="45" spans="2:11">
      <c r="C45" s="62"/>
      <c r="E45" s="52"/>
      <c r="F45" s="80"/>
      <c r="G45" s="79"/>
      <c r="K45" s="87"/>
    </row>
    <row r="46" spans="2:11">
      <c r="C46" s="46"/>
      <c r="E46" s="52"/>
      <c r="F46" s="80"/>
      <c r="G46" s="79"/>
      <c r="K46" s="87"/>
    </row>
    <row r="47" spans="2:11">
      <c r="C47" s="58"/>
      <c r="E47" s="52"/>
      <c r="F47" s="80"/>
      <c r="G47" s="79"/>
      <c r="K47" s="87"/>
    </row>
    <row r="48" spans="2:11">
      <c r="C48" s="46"/>
      <c r="E48" s="52"/>
      <c r="F48" s="80"/>
      <c r="G48" s="79"/>
      <c r="K48" s="87"/>
    </row>
    <row r="49" spans="3:11">
      <c r="C49" s="59"/>
      <c r="E49" s="52"/>
      <c r="F49" s="80"/>
      <c r="G49" s="79"/>
      <c r="K49" s="88"/>
    </row>
    <row r="50" spans="3:11">
      <c r="C50" s="56"/>
      <c r="E50" s="52"/>
      <c r="F50" s="80"/>
      <c r="G50" s="79"/>
      <c r="K50" s="87"/>
    </row>
    <row r="51" spans="3:11">
      <c r="C51" s="46"/>
      <c r="E51" s="44"/>
      <c r="F51" s="80"/>
      <c r="K51" s="76"/>
    </row>
    <row r="52" spans="3:11">
      <c r="C52" s="46"/>
      <c r="E52" s="52"/>
      <c r="G52" s="50"/>
      <c r="K52" s="76"/>
    </row>
    <row r="53" spans="3:11">
      <c r="C53" s="46"/>
      <c r="E53" s="44"/>
      <c r="K53" s="76"/>
    </row>
    <row r="54" spans="3:11">
      <c r="C54" s="46"/>
      <c r="E54" s="44"/>
      <c r="K54" s="76"/>
    </row>
  </sheetData>
  <printOptions horizontalCentered="1" verticalCentered="1"/>
  <pageMargins left="0.45" right="0.45" top="0.5" bottom="0.25" header="0.3" footer="0.3"/>
  <pageSetup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34"/>
  <sheetViews>
    <sheetView showGridLines="0" topLeftCell="A7" zoomScale="90" zoomScaleNormal="90" workbookViewId="0">
      <selection activeCell="C34" sqref="C34"/>
    </sheetView>
  </sheetViews>
  <sheetFormatPr defaultColWidth="9.140625" defaultRowHeight="15"/>
  <cols>
    <col min="1" max="2" width="9.140625" style="5"/>
    <col min="3" max="3" width="57.7109375" style="5" customWidth="1"/>
    <col min="4" max="4" width="11.5703125" style="5" bestFit="1" customWidth="1"/>
    <col min="5" max="5" width="17.7109375" style="5" bestFit="1" customWidth="1"/>
    <col min="6" max="6" width="9.140625" style="5"/>
    <col min="7" max="7" width="10.85546875" style="5" customWidth="1"/>
    <col min="8" max="8" width="10.5703125" style="5" bestFit="1" customWidth="1"/>
    <col min="9" max="16384" width="9.140625" style="5"/>
  </cols>
  <sheetData>
    <row r="3" spans="2:5" ht="15.75">
      <c r="B3" s="371" t="s">
        <v>4</v>
      </c>
      <c r="C3" s="371"/>
      <c r="D3" s="4"/>
      <c r="E3" s="4"/>
    </row>
    <row r="4" spans="2:5" ht="15.75">
      <c r="B4" s="6">
        <f>Coversheet!E5</f>
        <v>2015</v>
      </c>
      <c r="C4" s="89" t="s">
        <v>143</v>
      </c>
      <c r="D4" s="4"/>
      <c r="E4" s="4"/>
    </row>
    <row r="5" spans="2:5" ht="15.75">
      <c r="B5" s="371" t="s">
        <v>7</v>
      </c>
      <c r="C5" s="371"/>
      <c r="D5" s="7">
        <f>Coversheet!E5</f>
        <v>2015</v>
      </c>
    </row>
    <row r="6" spans="2:5" ht="15.75">
      <c r="B6" s="4"/>
      <c r="C6" s="4"/>
      <c r="D6" s="4"/>
      <c r="E6" s="7"/>
    </row>
    <row r="7" spans="2:5" s="9" customFormat="1" ht="35.25" customHeight="1">
      <c r="B7" s="8" t="s">
        <v>0</v>
      </c>
      <c r="C7" s="8" t="s">
        <v>92</v>
      </c>
      <c r="D7" s="8" t="s">
        <v>2</v>
      </c>
      <c r="E7" s="8" t="s">
        <v>77</v>
      </c>
    </row>
    <row r="8" spans="2:5">
      <c r="B8" s="13">
        <v>1</v>
      </c>
      <c r="C8" s="46" t="s">
        <v>95</v>
      </c>
      <c r="D8" s="45"/>
      <c r="E8" s="47">
        <v>2535385</v>
      </c>
    </row>
    <row r="9" spans="2:5">
      <c r="B9" s="13">
        <f>B8+1</f>
        <v>2</v>
      </c>
      <c r="C9" s="46" t="s">
        <v>96</v>
      </c>
      <c r="D9" s="45"/>
      <c r="E9" s="48">
        <v>1657500</v>
      </c>
    </row>
    <row r="10" spans="2:5">
      <c r="B10" s="13">
        <f t="shared" ref="B10:B31" si="0">B9+1</f>
        <v>3</v>
      </c>
      <c r="C10" s="46" t="s">
        <v>97</v>
      </c>
      <c r="D10" s="45"/>
      <c r="E10" s="48">
        <v>-1310878</v>
      </c>
    </row>
    <row r="11" spans="2:5">
      <c r="B11" s="13">
        <f t="shared" si="0"/>
        <v>4</v>
      </c>
      <c r="C11" s="46" t="s">
        <v>98</v>
      </c>
      <c r="D11" s="45"/>
      <c r="E11" s="48">
        <f>2479198+861000</f>
        <v>3340198</v>
      </c>
    </row>
    <row r="12" spans="2:5">
      <c r="B12" s="13">
        <f t="shared" si="0"/>
        <v>5</v>
      </c>
      <c r="C12" s="46" t="s">
        <v>99</v>
      </c>
      <c r="D12" s="45"/>
      <c r="E12" s="48">
        <v>593217</v>
      </c>
    </row>
    <row r="13" spans="2:5">
      <c r="B13" s="13">
        <f t="shared" si="0"/>
        <v>6</v>
      </c>
      <c r="C13" s="46" t="s">
        <v>100</v>
      </c>
      <c r="D13" s="45"/>
      <c r="E13" s="65">
        <v>478718</v>
      </c>
    </row>
    <row r="14" spans="2:5">
      <c r="B14" s="13">
        <f t="shared" si="0"/>
        <v>7</v>
      </c>
      <c r="C14" s="46" t="s">
        <v>101</v>
      </c>
      <c r="D14" s="45"/>
      <c r="E14" s="48">
        <v>2012615</v>
      </c>
    </row>
    <row r="15" spans="2:5">
      <c r="B15" s="13">
        <f t="shared" si="0"/>
        <v>8</v>
      </c>
      <c r="C15" s="46" t="s">
        <v>102</v>
      </c>
      <c r="D15" s="45"/>
      <c r="E15" s="48"/>
    </row>
    <row r="16" spans="2:5">
      <c r="B16" s="13">
        <f t="shared" si="0"/>
        <v>9</v>
      </c>
      <c r="C16" s="46" t="s">
        <v>103</v>
      </c>
      <c r="D16" s="45"/>
      <c r="E16" s="48">
        <v>396000</v>
      </c>
    </row>
    <row r="17" spans="2:9">
      <c r="B17" s="13">
        <f t="shared" si="0"/>
        <v>10</v>
      </c>
      <c r="C17" s="46" t="s">
        <v>104</v>
      </c>
      <c r="D17" s="45"/>
      <c r="E17" s="48"/>
    </row>
    <row r="18" spans="2:9">
      <c r="B18" s="13">
        <f t="shared" si="0"/>
        <v>11</v>
      </c>
      <c r="C18" s="46" t="s">
        <v>105</v>
      </c>
      <c r="D18" s="45"/>
      <c r="E18" s="49">
        <v>161000</v>
      </c>
    </row>
    <row r="19" spans="2:9">
      <c r="B19" s="13">
        <f t="shared" si="0"/>
        <v>12</v>
      </c>
      <c r="C19" s="46" t="s">
        <v>106</v>
      </c>
      <c r="D19" s="44"/>
      <c r="E19" s="49">
        <v>352500</v>
      </c>
    </row>
    <row r="20" spans="2:9">
      <c r="B20" s="13">
        <f t="shared" si="0"/>
        <v>13</v>
      </c>
      <c r="C20" s="46" t="s">
        <v>107</v>
      </c>
      <c r="D20" s="44"/>
      <c r="E20" s="50"/>
    </row>
    <row r="21" spans="2:9">
      <c r="B21" s="13">
        <f t="shared" si="0"/>
        <v>14</v>
      </c>
      <c r="C21" s="46" t="s">
        <v>108</v>
      </c>
      <c r="D21" s="44"/>
      <c r="E21" s="51">
        <v>195000</v>
      </c>
      <c r="H21" s="31"/>
    </row>
    <row r="22" spans="2:9">
      <c r="B22" s="13">
        <f t="shared" si="0"/>
        <v>15</v>
      </c>
      <c r="C22" s="43" t="s">
        <v>94</v>
      </c>
      <c r="D22" s="44"/>
      <c r="E22" s="93">
        <f>SUM(E8:E21)</f>
        <v>10411255</v>
      </c>
      <c r="F22" s="44" t="s">
        <v>156</v>
      </c>
    </row>
    <row r="23" spans="2:9">
      <c r="B23" s="13">
        <f t="shared" si="0"/>
        <v>16</v>
      </c>
      <c r="C23" s="44"/>
      <c r="D23" s="44"/>
      <c r="E23" s="52"/>
    </row>
    <row r="24" spans="2:9">
      <c r="B24" s="13">
        <f t="shared" si="0"/>
        <v>17</v>
      </c>
      <c r="C24" s="64" t="s">
        <v>142</v>
      </c>
      <c r="D24" s="44"/>
      <c r="E24" s="54">
        <f>7338840+3072415</f>
        <v>10411255</v>
      </c>
    </row>
    <row r="25" spans="2:9">
      <c r="B25" s="13">
        <f t="shared" si="0"/>
        <v>18</v>
      </c>
      <c r="C25" s="53"/>
      <c r="D25" s="44"/>
      <c r="E25" s="55"/>
    </row>
    <row r="26" spans="2:9">
      <c r="B26" s="13">
        <f t="shared" si="0"/>
        <v>19</v>
      </c>
      <c r="C26" s="53" t="s">
        <v>109</v>
      </c>
      <c r="D26" s="44"/>
      <c r="E26" s="66">
        <f>E24-E22</f>
        <v>0</v>
      </c>
    </row>
    <row r="27" spans="2:9">
      <c r="B27" s="13">
        <f t="shared" si="0"/>
        <v>20</v>
      </c>
      <c r="C27" s="53"/>
      <c r="D27" s="44"/>
      <c r="E27" s="66"/>
    </row>
    <row r="28" spans="2:9">
      <c r="B28" s="13">
        <f t="shared" si="0"/>
        <v>21</v>
      </c>
      <c r="C28" s="67" t="s">
        <v>208</v>
      </c>
      <c r="D28" s="57"/>
      <c r="E28" s="56"/>
    </row>
    <row r="29" spans="2:9">
      <c r="B29" s="13">
        <f t="shared" si="0"/>
        <v>22</v>
      </c>
      <c r="C29" s="25" t="s">
        <v>60</v>
      </c>
      <c r="D29" s="13"/>
      <c r="E29" s="11">
        <v>0</v>
      </c>
      <c r="F29" s="44" t="s">
        <v>159</v>
      </c>
      <c r="I29" s="44"/>
    </row>
    <row r="30" spans="2:9">
      <c r="B30" s="13">
        <f t="shared" si="0"/>
        <v>23</v>
      </c>
      <c r="C30" s="25" t="s">
        <v>61</v>
      </c>
      <c r="E30" s="11">
        <f>E18+E16</f>
        <v>557000</v>
      </c>
      <c r="F30" s="44" t="s">
        <v>158</v>
      </c>
    </row>
    <row r="31" spans="2:9">
      <c r="B31" s="13">
        <f t="shared" si="0"/>
        <v>24</v>
      </c>
      <c r="C31" s="25" t="s">
        <v>62</v>
      </c>
      <c r="E31" s="11">
        <v>200000</v>
      </c>
      <c r="F31" s="44" t="s">
        <v>157</v>
      </c>
    </row>
    <row r="34" spans="3:5">
      <c r="C34" s="104" t="s">
        <v>667</v>
      </c>
      <c r="E34" s="5" t="s">
        <v>236</v>
      </c>
    </row>
  </sheetData>
  <mergeCells count="2">
    <mergeCell ref="B3:C3"/>
    <mergeCell ref="B5:C5"/>
  </mergeCells>
  <printOptions horizontalCentered="1" verticalCentered="1"/>
  <pageMargins left="0.2" right="0.2" top="0.5" bottom="0.5" header="0.3" footer="0.3"/>
  <pageSetup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47"/>
  <sheetViews>
    <sheetView showGridLines="0" topLeftCell="A16" zoomScale="90" zoomScaleNormal="90" workbookViewId="0">
      <selection activeCell="C48" sqref="C48"/>
    </sheetView>
  </sheetViews>
  <sheetFormatPr defaultColWidth="9.140625" defaultRowHeight="15"/>
  <cols>
    <col min="1" max="2" width="9.140625" style="5"/>
    <col min="3" max="3" width="79.28515625" style="5" bestFit="1" customWidth="1"/>
    <col min="4" max="4" width="8" style="5" customWidth="1"/>
    <col min="5" max="5" width="19.85546875" style="5" customWidth="1"/>
    <col min="6" max="6" width="21.42578125" style="5" bestFit="1" customWidth="1"/>
    <col min="7" max="7" width="33.7109375" style="5" customWidth="1"/>
    <col min="8" max="16384" width="9.140625" style="5"/>
  </cols>
  <sheetData>
    <row r="3" spans="2:6" ht="15.75">
      <c r="B3" s="371" t="s">
        <v>4</v>
      </c>
      <c r="C3" s="371"/>
      <c r="D3" s="371"/>
      <c r="E3" s="4"/>
    </row>
    <row r="4" spans="2:6" ht="15.75">
      <c r="B4" s="6"/>
      <c r="C4" s="89" t="s">
        <v>181</v>
      </c>
      <c r="D4" s="4"/>
      <c r="E4" s="4"/>
    </row>
    <row r="5" spans="2:6" ht="15.75">
      <c r="B5" s="371" t="s">
        <v>7</v>
      </c>
      <c r="C5" s="371"/>
      <c r="D5" s="7">
        <f>Coversheet!E5</f>
        <v>2015</v>
      </c>
    </row>
    <row r="6" spans="2:6" ht="15.75">
      <c r="B6" s="4"/>
      <c r="C6" s="4"/>
      <c r="D6" s="4"/>
      <c r="E6" s="7"/>
    </row>
    <row r="7" spans="2:6" s="9" customFormat="1" ht="35.25" customHeight="1">
      <c r="B7" s="8" t="s">
        <v>0</v>
      </c>
      <c r="C7" s="8" t="s">
        <v>57</v>
      </c>
      <c r="D7" s="8" t="s">
        <v>2</v>
      </c>
      <c r="E7" s="8" t="s">
        <v>187</v>
      </c>
    </row>
    <row r="8" spans="2:6">
      <c r="B8" s="13">
        <v>1</v>
      </c>
      <c r="C8" s="25" t="s">
        <v>60</v>
      </c>
      <c r="D8" s="13">
        <f t="shared" ref="D8:D36" si="0">$D$5</f>
        <v>2015</v>
      </c>
      <c r="E8" s="11">
        <v>0</v>
      </c>
      <c r="F8" s="44" t="s">
        <v>159</v>
      </c>
    </row>
    <row r="9" spans="2:6">
      <c r="B9" s="13">
        <f>B8+1</f>
        <v>2</v>
      </c>
      <c r="C9" s="25" t="s">
        <v>63</v>
      </c>
      <c r="D9" s="13">
        <f t="shared" si="0"/>
        <v>2015</v>
      </c>
      <c r="E9" s="11">
        <v>0</v>
      </c>
      <c r="F9" s="44" t="s">
        <v>168</v>
      </c>
    </row>
    <row r="10" spans="2:6">
      <c r="B10" s="13">
        <f t="shared" ref="B10:B41" si="1">B9+1</f>
        <v>3</v>
      </c>
      <c r="C10" s="25" t="s">
        <v>64</v>
      </c>
      <c r="D10" s="13">
        <f t="shared" si="0"/>
        <v>2015</v>
      </c>
      <c r="E10" s="11">
        <v>0</v>
      </c>
      <c r="F10" s="44" t="s">
        <v>169</v>
      </c>
    </row>
    <row r="11" spans="2:6">
      <c r="B11" s="13">
        <f t="shared" si="1"/>
        <v>4</v>
      </c>
      <c r="C11" s="25" t="s">
        <v>65</v>
      </c>
      <c r="D11" s="13">
        <f t="shared" si="0"/>
        <v>2015</v>
      </c>
      <c r="E11" s="33">
        <f>SUM(Plant!S68:S74)</f>
        <v>2895194.2757768086</v>
      </c>
      <c r="F11" s="44" t="s">
        <v>170</v>
      </c>
    </row>
    <row r="12" spans="2:6">
      <c r="B12" s="13">
        <f t="shared" si="1"/>
        <v>5</v>
      </c>
      <c r="C12" s="25" t="s">
        <v>66</v>
      </c>
      <c r="D12" s="13">
        <f t="shared" si="0"/>
        <v>2015</v>
      </c>
      <c r="E12" s="11">
        <f>Plant!S75+Plant!S76+Plant!S78+Plant!S79</f>
        <v>808513.53606666671</v>
      </c>
      <c r="F12" s="44" t="s">
        <v>171</v>
      </c>
    </row>
    <row r="13" spans="2:6">
      <c r="B13" s="13">
        <f t="shared" si="1"/>
        <v>6</v>
      </c>
      <c r="C13" s="25" t="s">
        <v>67</v>
      </c>
      <c r="D13" s="13">
        <f t="shared" si="0"/>
        <v>2015</v>
      </c>
      <c r="E13" s="11">
        <v>0</v>
      </c>
      <c r="F13" s="44" t="s">
        <v>172</v>
      </c>
    </row>
    <row r="14" spans="2:6">
      <c r="B14" s="13">
        <f t="shared" si="1"/>
        <v>7</v>
      </c>
      <c r="C14" s="25" t="s">
        <v>68</v>
      </c>
      <c r="D14" s="13">
        <f t="shared" si="0"/>
        <v>2015</v>
      </c>
      <c r="E14" s="11">
        <v>0</v>
      </c>
      <c r="F14" s="44" t="s">
        <v>173</v>
      </c>
    </row>
    <row r="15" spans="2:6">
      <c r="B15" s="13">
        <f t="shared" si="1"/>
        <v>8</v>
      </c>
      <c r="C15" s="25" t="s">
        <v>69</v>
      </c>
      <c r="D15" s="13">
        <f t="shared" si="0"/>
        <v>2015</v>
      </c>
      <c r="E15" s="11">
        <v>0</v>
      </c>
      <c r="F15" s="44" t="s">
        <v>174</v>
      </c>
    </row>
    <row r="16" spans="2:6">
      <c r="B16" s="13">
        <f t="shared" si="1"/>
        <v>9</v>
      </c>
      <c r="C16" s="25" t="s">
        <v>70</v>
      </c>
      <c r="D16" s="13">
        <f t="shared" si="0"/>
        <v>2015</v>
      </c>
      <c r="E16" s="33">
        <v>2727590</v>
      </c>
      <c r="F16" s="44" t="s">
        <v>175</v>
      </c>
    </row>
    <row r="17" spans="2:6">
      <c r="B17" s="13">
        <f t="shared" si="1"/>
        <v>10</v>
      </c>
      <c r="C17" s="25" t="s">
        <v>71</v>
      </c>
      <c r="D17" s="13">
        <f t="shared" si="0"/>
        <v>2015</v>
      </c>
      <c r="E17" s="11">
        <v>0</v>
      </c>
      <c r="F17" s="44" t="s">
        <v>176</v>
      </c>
    </row>
    <row r="18" spans="2:6">
      <c r="B18" s="13">
        <f t="shared" si="1"/>
        <v>11</v>
      </c>
      <c r="C18" s="25" t="s">
        <v>72</v>
      </c>
      <c r="D18" s="13">
        <f t="shared" si="0"/>
        <v>2015</v>
      </c>
      <c r="E18" s="11">
        <v>0</v>
      </c>
      <c r="F18" s="44" t="s">
        <v>177</v>
      </c>
    </row>
    <row r="19" spans="2:6">
      <c r="B19" s="13">
        <f t="shared" si="1"/>
        <v>12</v>
      </c>
      <c r="C19" s="25" t="s">
        <v>73</v>
      </c>
      <c r="D19" s="13">
        <f t="shared" si="0"/>
        <v>2015</v>
      </c>
      <c r="E19" s="11">
        <v>0</v>
      </c>
      <c r="F19" s="44" t="s">
        <v>178</v>
      </c>
    </row>
    <row r="20" spans="2:6">
      <c r="B20" s="13">
        <f t="shared" si="1"/>
        <v>13</v>
      </c>
      <c r="C20" s="25"/>
      <c r="D20" s="13"/>
      <c r="E20" s="11"/>
      <c r="F20" s="44"/>
    </row>
    <row r="21" spans="2:6">
      <c r="B21" s="13">
        <f>B19+1</f>
        <v>13</v>
      </c>
      <c r="C21" s="25" t="s">
        <v>148</v>
      </c>
      <c r="D21" s="13">
        <f t="shared" si="0"/>
        <v>2015</v>
      </c>
      <c r="E21" s="11">
        <v>29225258</v>
      </c>
      <c r="F21" s="44" t="s">
        <v>179</v>
      </c>
    </row>
    <row r="22" spans="2:6">
      <c r="B22" s="13">
        <f t="shared" si="1"/>
        <v>14</v>
      </c>
      <c r="C22" s="25" t="s">
        <v>149</v>
      </c>
      <c r="D22" s="13">
        <f t="shared" si="0"/>
        <v>2015</v>
      </c>
      <c r="E22" s="11">
        <v>387517</v>
      </c>
      <c r="F22" s="44" t="s">
        <v>179</v>
      </c>
    </row>
    <row r="23" spans="2:6">
      <c r="B23" s="13">
        <f t="shared" si="1"/>
        <v>15</v>
      </c>
      <c r="C23" s="25" t="s">
        <v>150</v>
      </c>
      <c r="D23" s="13">
        <f t="shared" si="0"/>
        <v>2015</v>
      </c>
      <c r="E23" s="11">
        <v>771146</v>
      </c>
      <c r="F23" s="44" t="s">
        <v>179</v>
      </c>
    </row>
    <row r="24" spans="2:6">
      <c r="B24" s="13">
        <f t="shared" si="1"/>
        <v>16</v>
      </c>
      <c r="C24" s="25" t="s">
        <v>151</v>
      </c>
      <c r="D24" s="13">
        <f t="shared" si="0"/>
        <v>2015</v>
      </c>
      <c r="E24" s="11">
        <v>-2734039</v>
      </c>
      <c r="F24" s="44" t="s">
        <v>179</v>
      </c>
    </row>
    <row r="25" spans="2:6">
      <c r="B25" s="13">
        <f t="shared" si="1"/>
        <v>17</v>
      </c>
      <c r="C25" s="25" t="s">
        <v>152</v>
      </c>
      <c r="D25" s="13">
        <f t="shared" si="0"/>
        <v>2015</v>
      </c>
      <c r="E25" s="11">
        <v>0</v>
      </c>
      <c r="F25" s="44" t="s">
        <v>179</v>
      </c>
    </row>
    <row r="26" spans="2:6">
      <c r="B26" s="13">
        <f t="shared" si="1"/>
        <v>18</v>
      </c>
      <c r="C26" s="25" t="s">
        <v>153</v>
      </c>
      <c r="D26" s="13">
        <f t="shared" si="0"/>
        <v>2015</v>
      </c>
      <c r="E26" s="11">
        <v>0</v>
      </c>
      <c r="F26" s="44" t="s">
        <v>179</v>
      </c>
    </row>
    <row r="27" spans="2:6" ht="17.25">
      <c r="B27" s="13">
        <f t="shared" si="1"/>
        <v>19</v>
      </c>
      <c r="C27" s="25" t="s">
        <v>154</v>
      </c>
      <c r="D27" s="13">
        <f t="shared" si="0"/>
        <v>2015</v>
      </c>
      <c r="E27" s="94">
        <v>0</v>
      </c>
      <c r="F27" s="44" t="s">
        <v>179</v>
      </c>
    </row>
    <row r="28" spans="2:6" ht="17.25">
      <c r="B28" s="13">
        <f t="shared" si="1"/>
        <v>20</v>
      </c>
      <c r="C28" s="13" t="s">
        <v>188</v>
      </c>
      <c r="D28" s="13"/>
      <c r="E28" s="91">
        <f>SUM(E21:E27)</f>
        <v>27649882</v>
      </c>
      <c r="F28" s="44"/>
    </row>
    <row r="29" spans="2:6">
      <c r="B29" s="13">
        <f t="shared" si="1"/>
        <v>21</v>
      </c>
      <c r="C29" s="25"/>
      <c r="D29" s="13"/>
      <c r="E29" s="11"/>
      <c r="F29" s="44"/>
    </row>
    <row r="30" spans="2:6">
      <c r="B30" s="13">
        <f>B27+1</f>
        <v>20</v>
      </c>
      <c r="C30" s="25" t="s">
        <v>155</v>
      </c>
      <c r="D30" s="13">
        <f t="shared" si="0"/>
        <v>2015</v>
      </c>
      <c r="E30" s="11">
        <v>135153</v>
      </c>
      <c r="F30" s="44" t="s">
        <v>180</v>
      </c>
    </row>
    <row r="31" spans="2:6">
      <c r="B31" s="13">
        <f t="shared" si="1"/>
        <v>21</v>
      </c>
      <c r="C31" s="25" t="s">
        <v>182</v>
      </c>
      <c r="D31" s="13"/>
      <c r="E31" s="11"/>
      <c r="F31" s="44"/>
    </row>
    <row r="32" spans="2:6">
      <c r="B32" s="13">
        <f t="shared" si="1"/>
        <v>22</v>
      </c>
      <c r="C32" s="25" t="s">
        <v>183</v>
      </c>
      <c r="D32" s="13">
        <f t="shared" si="0"/>
        <v>2015</v>
      </c>
      <c r="E32" s="11">
        <v>36424478.725196399</v>
      </c>
      <c r="F32" s="44" t="s">
        <v>160</v>
      </c>
    </row>
    <row r="33" spans="2:7">
      <c r="B33" s="13">
        <f t="shared" si="1"/>
        <v>23</v>
      </c>
      <c r="C33" s="25" t="s">
        <v>184</v>
      </c>
      <c r="D33" s="13">
        <f t="shared" si="0"/>
        <v>2015</v>
      </c>
      <c r="E33" s="11">
        <f>E32-E34-E35</f>
        <v>23049638.675196402</v>
      </c>
      <c r="F33" s="44" t="s">
        <v>161</v>
      </c>
    </row>
    <row r="34" spans="2:7">
      <c r="B34" s="13">
        <f t="shared" si="1"/>
        <v>24</v>
      </c>
      <c r="C34" s="25" t="s">
        <v>185</v>
      </c>
      <c r="D34" s="13">
        <f t="shared" si="0"/>
        <v>2015</v>
      </c>
      <c r="E34" s="11">
        <v>8964860.25</v>
      </c>
      <c r="F34" s="44" t="s">
        <v>162</v>
      </c>
    </row>
    <row r="35" spans="2:7">
      <c r="B35" s="13">
        <f t="shared" si="1"/>
        <v>25</v>
      </c>
      <c r="C35" s="25" t="s">
        <v>186</v>
      </c>
      <c r="D35" s="13">
        <f t="shared" si="0"/>
        <v>2015</v>
      </c>
      <c r="E35" s="11">
        <v>4409979.7999999989</v>
      </c>
      <c r="F35" s="44" t="s">
        <v>163</v>
      </c>
    </row>
    <row r="36" spans="2:7">
      <c r="B36" s="13">
        <f t="shared" si="1"/>
        <v>26</v>
      </c>
      <c r="C36" s="25" t="s">
        <v>235</v>
      </c>
      <c r="D36" s="13">
        <f t="shared" si="0"/>
        <v>2015</v>
      </c>
      <c r="E36" s="11">
        <v>0</v>
      </c>
      <c r="F36" s="44"/>
    </row>
    <row r="37" spans="2:7">
      <c r="B37" s="13">
        <f t="shared" si="1"/>
        <v>27</v>
      </c>
      <c r="C37" s="18" t="s">
        <v>74</v>
      </c>
      <c r="D37" s="13"/>
      <c r="E37" s="21"/>
    </row>
    <row r="38" spans="2:7">
      <c r="B38" s="13">
        <f t="shared" si="1"/>
        <v>28</v>
      </c>
      <c r="C38" s="27" t="s">
        <v>75</v>
      </c>
      <c r="D38" s="13">
        <f>$D$5</f>
        <v>2015</v>
      </c>
      <c r="E38" s="11">
        <v>2345783.77</v>
      </c>
      <c r="F38" s="44" t="s">
        <v>164</v>
      </c>
      <c r="G38" s="21"/>
    </row>
    <row r="39" spans="2:7">
      <c r="B39" s="13">
        <f t="shared" si="1"/>
        <v>29</v>
      </c>
      <c r="C39" s="27" t="s">
        <v>24</v>
      </c>
      <c r="D39" s="13">
        <f>$D$5</f>
        <v>2015</v>
      </c>
      <c r="E39" s="11">
        <v>497891.28999999992</v>
      </c>
      <c r="F39" s="44" t="s">
        <v>165</v>
      </c>
      <c r="G39" s="21"/>
    </row>
    <row r="40" spans="2:7">
      <c r="B40" s="13">
        <f t="shared" si="1"/>
        <v>30</v>
      </c>
      <c r="C40" s="27" t="s">
        <v>25</v>
      </c>
      <c r="D40" s="13">
        <f>$D$5</f>
        <v>2015</v>
      </c>
      <c r="E40" s="11">
        <v>0</v>
      </c>
      <c r="F40" s="44" t="s">
        <v>166</v>
      </c>
      <c r="G40" s="21"/>
    </row>
    <row r="41" spans="2:7">
      <c r="B41" s="13">
        <f t="shared" si="1"/>
        <v>31</v>
      </c>
      <c r="C41" s="27" t="s">
        <v>76</v>
      </c>
      <c r="D41" s="13">
        <f>$D$5</f>
        <v>2015</v>
      </c>
      <c r="E41" s="11">
        <v>143481.01999999999</v>
      </c>
      <c r="F41" s="44" t="s">
        <v>167</v>
      </c>
      <c r="G41" s="21"/>
    </row>
    <row r="42" spans="2:7">
      <c r="G42" s="21"/>
    </row>
    <row r="43" spans="2:7">
      <c r="E43" s="135"/>
    </row>
    <row r="44" spans="2:7">
      <c r="E44" s="135"/>
      <c r="F44" s="135"/>
    </row>
    <row r="45" spans="2:7" ht="17.25">
      <c r="C45" s="109" t="s">
        <v>666</v>
      </c>
      <c r="E45" s="135"/>
      <c r="F45" s="135"/>
      <c r="G45" s="141"/>
    </row>
    <row r="46" spans="2:7">
      <c r="C46" s="13"/>
      <c r="E46" s="135"/>
    </row>
    <row r="47" spans="2:7" ht="17.25">
      <c r="C47" s="126"/>
      <c r="E47" s="39"/>
      <c r="F47" s="39"/>
      <c r="G47" s="39"/>
    </row>
  </sheetData>
  <mergeCells count="2">
    <mergeCell ref="B3:D3"/>
    <mergeCell ref="B5:C5"/>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4"/>
  <sheetViews>
    <sheetView zoomScale="80" zoomScaleNormal="80" zoomScaleSheetLayoutView="75" workbookViewId="0">
      <selection activeCell="A10" sqref="A10"/>
    </sheetView>
  </sheetViews>
  <sheetFormatPr defaultColWidth="10.85546875" defaultRowHeight="15.75"/>
  <cols>
    <col min="1" max="1" width="7.28515625" style="142" customWidth="1"/>
    <col min="2" max="2" width="46.42578125" style="142" customWidth="1"/>
    <col min="3" max="3" width="33.7109375" style="142" customWidth="1"/>
    <col min="4" max="4" width="14.5703125" style="142" customWidth="1"/>
    <col min="5" max="5" width="6" style="142" customWidth="1"/>
    <col min="6" max="6" width="5.7109375" style="142" customWidth="1"/>
    <col min="7" max="7" width="9.7109375" style="142" customWidth="1"/>
    <col min="8" max="8" width="4.7109375" style="142" customWidth="1"/>
    <col min="9" max="9" width="13.28515625" style="142" customWidth="1"/>
    <col min="10" max="10" width="2.5703125" style="142" customWidth="1"/>
    <col min="11" max="11" width="11.28515625" style="142" customWidth="1"/>
    <col min="12" max="12" width="13" style="142" customWidth="1"/>
    <col min="13" max="13" width="20.5703125" style="142" customWidth="1"/>
    <col min="14" max="14" width="31.85546875" style="142" bestFit="1" customWidth="1"/>
    <col min="15" max="15" width="14.7109375" style="142" customWidth="1"/>
    <col min="16" max="16" width="12.85546875" style="142" bestFit="1" customWidth="1"/>
    <col min="17" max="17" width="15.140625" style="142" bestFit="1" customWidth="1"/>
    <col min="18" max="16384" width="10.85546875" style="142"/>
  </cols>
  <sheetData>
    <row r="1" spans="1:15">
      <c r="B1" s="143"/>
      <c r="C1" s="143"/>
      <c r="D1" s="144"/>
      <c r="E1" s="143"/>
      <c r="F1" s="143"/>
      <c r="G1" s="143"/>
      <c r="H1" s="145"/>
      <c r="I1" s="146"/>
      <c r="K1" s="147" t="s">
        <v>277</v>
      </c>
      <c r="M1" s="146"/>
      <c r="N1" s="146"/>
      <c r="O1" s="146"/>
    </row>
    <row r="2" spans="1:15">
      <c r="B2" s="143"/>
      <c r="C2" s="143"/>
      <c r="D2" s="144"/>
      <c r="E2" s="143"/>
      <c r="F2" s="143"/>
      <c r="G2" s="143"/>
      <c r="H2" s="145"/>
      <c r="I2" s="145"/>
      <c r="J2" s="146"/>
      <c r="K2" s="148"/>
      <c r="M2" s="146"/>
      <c r="N2" s="146"/>
      <c r="O2" s="146"/>
    </row>
    <row r="3" spans="1:15">
      <c r="B3" s="143" t="s">
        <v>278</v>
      </c>
      <c r="C3" s="143"/>
      <c r="D3" s="144" t="s">
        <v>279</v>
      </c>
      <c r="E3" s="143"/>
      <c r="F3" s="143"/>
      <c r="G3" s="143"/>
      <c r="H3" s="149"/>
      <c r="I3" s="150"/>
      <c r="J3" s="151"/>
      <c r="K3" s="152" t="s">
        <v>280</v>
      </c>
      <c r="M3" s="146"/>
      <c r="N3" s="146"/>
      <c r="O3" s="146"/>
    </row>
    <row r="4" spans="1:15">
      <c r="B4" s="143"/>
      <c r="C4" s="153" t="s">
        <v>281</v>
      </c>
      <c r="D4" s="153" t="s">
        <v>282</v>
      </c>
      <c r="E4" s="153"/>
      <c r="F4" s="153"/>
      <c r="G4" s="153"/>
      <c r="H4" s="145"/>
      <c r="I4" s="145"/>
      <c r="J4" s="146"/>
      <c r="K4" s="146"/>
      <c r="M4" s="146"/>
      <c r="N4" s="146"/>
      <c r="O4" s="146"/>
    </row>
    <row r="5" spans="1:15">
      <c r="B5" s="146"/>
      <c r="C5" s="146"/>
      <c r="D5" s="146"/>
      <c r="E5" s="146"/>
      <c r="F5" s="146"/>
      <c r="G5" s="146"/>
      <c r="H5" s="146"/>
      <c r="I5" s="146"/>
      <c r="J5" s="146"/>
      <c r="K5" s="146"/>
      <c r="M5" s="146"/>
      <c r="N5" s="146"/>
      <c r="O5" s="146"/>
    </row>
    <row r="6" spans="1:15">
      <c r="A6" s="154"/>
      <c r="B6" s="146"/>
      <c r="C6" s="146"/>
      <c r="D6" s="155" t="s">
        <v>283</v>
      </c>
      <c r="E6" s="151"/>
      <c r="F6" s="146"/>
      <c r="G6" s="146"/>
      <c r="H6" s="146"/>
      <c r="I6" s="146"/>
      <c r="J6" s="146"/>
      <c r="K6" s="146"/>
      <c r="M6" s="146"/>
      <c r="N6" s="146"/>
      <c r="O6" s="146"/>
    </row>
    <row r="7" spans="1:15">
      <c r="A7" s="154"/>
      <c r="B7" s="146"/>
      <c r="C7" s="146"/>
      <c r="D7" s="156"/>
      <c r="E7" s="146"/>
      <c r="F7" s="146"/>
      <c r="G7" s="146"/>
      <c r="H7" s="146"/>
      <c r="I7" s="146"/>
      <c r="J7" s="146"/>
      <c r="K7" s="146"/>
      <c r="M7" s="146"/>
      <c r="N7" s="146"/>
      <c r="O7" s="146"/>
    </row>
    <row r="8" spans="1:15">
      <c r="A8" s="154" t="s">
        <v>284</v>
      </c>
      <c r="B8" s="146"/>
      <c r="C8" s="146"/>
      <c r="D8" s="156"/>
      <c r="E8" s="146"/>
      <c r="F8" s="146"/>
      <c r="G8" s="146"/>
      <c r="H8" s="146"/>
      <c r="I8" s="154" t="s">
        <v>285</v>
      </c>
      <c r="J8" s="146"/>
      <c r="K8" s="146"/>
      <c r="M8" s="146"/>
      <c r="N8" s="146"/>
      <c r="O8" s="146"/>
    </row>
    <row r="9" spans="1:15" ht="16.5" thickBot="1">
      <c r="A9" s="157" t="s">
        <v>286</v>
      </c>
      <c r="B9" s="146"/>
      <c r="C9" s="146"/>
      <c r="D9" s="146"/>
      <c r="E9" s="146"/>
      <c r="F9" s="146"/>
      <c r="G9" s="146"/>
      <c r="H9" s="146"/>
      <c r="I9" s="157" t="s">
        <v>93</v>
      </c>
      <c r="J9" s="146"/>
      <c r="K9" s="146"/>
      <c r="M9" s="146"/>
      <c r="N9" s="146"/>
      <c r="O9" s="146"/>
    </row>
    <row r="10" spans="1:15">
      <c r="A10" s="154">
        <v>1</v>
      </c>
      <c r="B10" s="146" t="s">
        <v>287</v>
      </c>
      <c r="C10" s="146"/>
      <c r="D10" s="158"/>
      <c r="E10" s="146"/>
      <c r="F10" s="146"/>
      <c r="G10" s="146"/>
      <c r="H10" s="146"/>
      <c r="I10" s="159">
        <f>+I206</f>
        <v>6397907.5227731178</v>
      </c>
      <c r="J10" s="146"/>
      <c r="K10" s="146"/>
      <c r="M10" s="146"/>
      <c r="N10" s="146"/>
      <c r="O10" s="146"/>
    </row>
    <row r="11" spans="1:15">
      <c r="A11" s="154"/>
      <c r="B11" s="146"/>
      <c r="C11" s="146"/>
      <c r="D11" s="146"/>
      <c r="E11" s="146"/>
      <c r="F11" s="146"/>
      <c r="G11" s="146"/>
      <c r="H11" s="146"/>
      <c r="I11" s="158"/>
      <c r="J11" s="146"/>
      <c r="K11" s="146"/>
      <c r="M11" s="146"/>
      <c r="N11" s="146"/>
      <c r="O11" s="146"/>
    </row>
    <row r="12" spans="1:15" ht="16.5" thickBot="1">
      <c r="A12" s="154" t="s">
        <v>281</v>
      </c>
      <c r="B12" s="160" t="s">
        <v>288</v>
      </c>
      <c r="C12" s="153" t="s">
        <v>289</v>
      </c>
      <c r="D12" s="157" t="s">
        <v>85</v>
      </c>
      <c r="E12" s="153"/>
      <c r="F12" s="161" t="s">
        <v>290</v>
      </c>
      <c r="G12" s="161"/>
      <c r="H12" s="146"/>
      <c r="I12" s="158"/>
      <c r="J12" s="146"/>
      <c r="K12" s="146"/>
      <c r="M12" s="146"/>
      <c r="N12" s="146"/>
      <c r="O12" s="146"/>
    </row>
    <row r="13" spans="1:15">
      <c r="A13" s="154">
        <v>2</v>
      </c>
      <c r="B13" s="160" t="s">
        <v>291</v>
      </c>
      <c r="C13" s="153" t="s">
        <v>292</v>
      </c>
      <c r="D13" s="153">
        <f>I275</f>
        <v>135153</v>
      </c>
      <c r="E13" s="153"/>
      <c r="F13" s="153" t="s">
        <v>293</v>
      </c>
      <c r="G13" s="162">
        <f>I225</f>
        <v>1</v>
      </c>
      <c r="H13" s="153"/>
      <c r="I13" s="153">
        <f>+G13*D13</f>
        <v>135153</v>
      </c>
      <c r="J13" s="146"/>
      <c r="K13" s="146"/>
      <c r="M13" s="146"/>
      <c r="N13" s="146"/>
      <c r="O13" s="146"/>
    </row>
    <row r="14" spans="1:15">
      <c r="A14" s="154">
        <v>3</v>
      </c>
      <c r="B14" s="160" t="s">
        <v>294</v>
      </c>
      <c r="C14" s="153" t="s">
        <v>295</v>
      </c>
      <c r="D14" s="153">
        <f>I282</f>
        <v>0</v>
      </c>
      <c r="E14" s="153"/>
      <c r="F14" s="153" t="str">
        <f>+F13</f>
        <v>TP</v>
      </c>
      <c r="G14" s="162">
        <f>+G13</f>
        <v>1</v>
      </c>
      <c r="H14" s="153"/>
      <c r="I14" s="153">
        <f>+G14*D14</f>
        <v>0</v>
      </c>
      <c r="J14" s="146"/>
      <c r="K14" s="146"/>
      <c r="M14" s="146"/>
      <c r="N14" s="146"/>
      <c r="O14" s="146"/>
    </row>
    <row r="15" spans="1:15">
      <c r="A15" s="154">
        <v>4</v>
      </c>
      <c r="B15" s="160" t="s">
        <v>296</v>
      </c>
      <c r="C15" s="153"/>
      <c r="D15" s="163">
        <v>0</v>
      </c>
      <c r="E15" s="153"/>
      <c r="F15" s="153" t="s">
        <v>293</v>
      </c>
      <c r="G15" s="162">
        <f>+G13</f>
        <v>1</v>
      </c>
      <c r="H15" s="153"/>
      <c r="I15" s="153">
        <f>+G15*D15</f>
        <v>0</v>
      </c>
      <c r="J15" s="146"/>
      <c r="K15" s="146"/>
      <c r="L15" s="164" t="s">
        <v>297</v>
      </c>
      <c r="M15" s="146"/>
      <c r="N15" s="146"/>
      <c r="O15" s="146"/>
    </row>
    <row r="16" spans="1:15" ht="16.5" thickBot="1">
      <c r="A16" s="154">
        <v>5</v>
      </c>
      <c r="B16" s="160" t="s">
        <v>298</v>
      </c>
      <c r="C16" s="153"/>
      <c r="D16" s="163">
        <v>0</v>
      </c>
      <c r="E16" s="153"/>
      <c r="F16" s="153" t="s">
        <v>293</v>
      </c>
      <c r="G16" s="162">
        <f>+G13</f>
        <v>1</v>
      </c>
      <c r="H16" s="153"/>
      <c r="I16" s="165">
        <f>+G16*D16</f>
        <v>0</v>
      </c>
      <c r="J16" s="146"/>
      <c r="K16" s="146"/>
      <c r="L16" s="164" t="s">
        <v>299</v>
      </c>
      <c r="M16" s="146"/>
      <c r="N16" s="146"/>
      <c r="O16" s="146"/>
    </row>
    <row r="17" spans="1:16">
      <c r="A17" s="154">
        <v>6</v>
      </c>
      <c r="B17" s="160" t="s">
        <v>300</v>
      </c>
      <c r="C17" s="146"/>
      <c r="D17" s="166" t="s">
        <v>281</v>
      </c>
      <c r="E17" s="153"/>
      <c r="F17" s="153"/>
      <c r="G17" s="162"/>
      <c r="H17" s="153"/>
      <c r="I17" s="153">
        <f>SUM(I13:I16)</f>
        <v>135153</v>
      </c>
      <c r="J17" s="146"/>
      <c r="K17" s="146"/>
      <c r="M17" s="146"/>
      <c r="N17" s="146"/>
      <c r="O17" s="146"/>
    </row>
    <row r="18" spans="1:16">
      <c r="A18" s="154"/>
      <c r="B18" s="160"/>
      <c r="C18" s="146"/>
      <c r="I18" s="153"/>
      <c r="J18" s="146"/>
      <c r="K18" s="146"/>
      <c r="M18" s="146"/>
      <c r="N18" s="146"/>
      <c r="O18" s="146"/>
    </row>
    <row r="19" spans="1:16">
      <c r="A19" s="154" t="s">
        <v>301</v>
      </c>
      <c r="B19" s="160" t="s">
        <v>302</v>
      </c>
      <c r="C19" s="146"/>
      <c r="I19" s="163">
        <v>6287066</v>
      </c>
      <c r="J19" s="146"/>
      <c r="K19" s="146"/>
      <c r="M19" s="146"/>
      <c r="N19" s="146"/>
      <c r="O19" s="146"/>
    </row>
    <row r="20" spans="1:16" ht="16.5" thickBot="1">
      <c r="A20" s="154" t="s">
        <v>303</v>
      </c>
      <c r="B20" s="160" t="s">
        <v>304</v>
      </c>
      <c r="C20" s="146"/>
      <c r="I20" s="167">
        <v>6097661</v>
      </c>
      <c r="J20" s="146"/>
      <c r="K20" s="146"/>
      <c r="M20" s="146"/>
      <c r="N20" s="146"/>
      <c r="O20" s="146"/>
    </row>
    <row r="21" spans="1:16">
      <c r="A21" s="154" t="s">
        <v>305</v>
      </c>
      <c r="B21" s="160" t="s">
        <v>306</v>
      </c>
      <c r="C21" s="146"/>
      <c r="D21" s="142" t="s">
        <v>307</v>
      </c>
      <c r="I21" s="168">
        <f>I19-I20</f>
        <v>189405</v>
      </c>
      <c r="J21" s="146"/>
      <c r="K21" s="146"/>
      <c r="M21" s="146"/>
      <c r="N21" s="146"/>
      <c r="O21" s="146"/>
    </row>
    <row r="22" spans="1:16">
      <c r="A22" s="154"/>
      <c r="B22" s="160"/>
      <c r="C22" s="146"/>
      <c r="I22" s="168"/>
      <c r="J22" s="146"/>
      <c r="K22" s="146"/>
      <c r="M22" s="146"/>
      <c r="N22" s="146"/>
      <c r="O22" s="146"/>
    </row>
    <row r="23" spans="1:16">
      <c r="A23" s="154" t="s">
        <v>308</v>
      </c>
      <c r="B23" s="160" t="s">
        <v>309</v>
      </c>
      <c r="C23" s="146"/>
      <c r="I23" s="163">
        <v>667836</v>
      </c>
      <c r="J23" s="146"/>
      <c r="K23" s="146"/>
      <c r="M23" s="146"/>
      <c r="N23" s="146"/>
      <c r="O23" s="146"/>
    </row>
    <row r="24" spans="1:16" ht="16.5" thickBot="1">
      <c r="A24" s="154" t="s">
        <v>310</v>
      </c>
      <c r="B24" s="160" t="s">
        <v>311</v>
      </c>
      <c r="C24" s="146"/>
      <c r="I24" s="167">
        <v>684556</v>
      </c>
      <c r="J24" s="146"/>
      <c r="K24" s="146"/>
      <c r="M24" s="146"/>
      <c r="N24" s="146"/>
      <c r="O24" s="146"/>
    </row>
    <row r="25" spans="1:16">
      <c r="A25" s="154" t="s">
        <v>312</v>
      </c>
      <c r="B25" s="160" t="s">
        <v>313</v>
      </c>
      <c r="C25" s="146"/>
      <c r="D25" s="142" t="s">
        <v>314</v>
      </c>
      <c r="I25" s="168">
        <f>I24-I23</f>
        <v>16720</v>
      </c>
      <c r="J25" s="146"/>
      <c r="K25" s="146"/>
      <c r="M25" s="146"/>
      <c r="N25" s="146"/>
      <c r="O25" s="146"/>
    </row>
    <row r="26" spans="1:16" ht="16.5" thickBot="1">
      <c r="A26" s="154" t="s">
        <v>315</v>
      </c>
      <c r="B26" s="160" t="s">
        <v>316</v>
      </c>
      <c r="C26" s="146"/>
      <c r="I26" s="351">
        <v>8.907</v>
      </c>
      <c r="J26" s="146"/>
      <c r="K26" s="146"/>
      <c r="M26" s="146"/>
      <c r="N26" s="146"/>
      <c r="O26" s="146"/>
    </row>
    <row r="27" spans="1:16">
      <c r="A27" s="154" t="s">
        <v>317</v>
      </c>
      <c r="B27" s="160" t="s">
        <v>318</v>
      </c>
      <c r="C27" s="146"/>
      <c r="D27" s="142" t="s">
        <v>319</v>
      </c>
      <c r="I27" s="168">
        <f>I25*I26</f>
        <v>148925.04</v>
      </c>
      <c r="J27" s="146"/>
      <c r="K27" s="146"/>
      <c r="M27" s="146"/>
      <c r="N27" s="146"/>
      <c r="O27" s="146"/>
    </row>
    <row r="28" spans="1:16">
      <c r="A28" s="154"/>
      <c r="B28" s="160"/>
      <c r="C28" s="146"/>
      <c r="I28" s="168"/>
      <c r="J28" s="146"/>
      <c r="K28" s="146"/>
      <c r="M28" s="146"/>
      <c r="N28" s="146"/>
      <c r="O28" s="146"/>
    </row>
    <row r="29" spans="1:16">
      <c r="A29" s="154" t="s">
        <v>320</v>
      </c>
      <c r="B29" s="160" t="s">
        <v>321</v>
      </c>
      <c r="C29" s="146"/>
      <c r="I29" s="163">
        <v>1225</v>
      </c>
      <c r="J29" s="146"/>
      <c r="K29" s="146"/>
      <c r="M29" s="146"/>
      <c r="N29" s="146"/>
      <c r="O29" s="146"/>
    </row>
    <row r="30" spans="1:16">
      <c r="A30" s="154"/>
      <c r="B30" s="160"/>
      <c r="C30" s="146"/>
      <c r="I30" s="153"/>
      <c r="J30" s="146"/>
      <c r="K30" s="146"/>
      <c r="M30" s="146"/>
      <c r="N30" s="146"/>
      <c r="O30" s="146"/>
    </row>
    <row r="31" spans="1:16" ht="16.5" thickBot="1">
      <c r="A31" s="154">
        <v>7</v>
      </c>
      <c r="B31" s="160" t="s">
        <v>322</v>
      </c>
      <c r="C31" s="146" t="s">
        <v>323</v>
      </c>
      <c r="E31" s="153"/>
      <c r="F31" s="153"/>
      <c r="G31" s="153"/>
      <c r="H31" s="153"/>
      <c r="I31" s="169">
        <f>+I10-I17+I21+I27+I29</f>
        <v>6602309.5627731178</v>
      </c>
      <c r="J31" s="146"/>
      <c r="K31" s="146"/>
      <c r="M31" s="146"/>
      <c r="N31" s="355" t="s">
        <v>324</v>
      </c>
      <c r="O31" s="355"/>
      <c r="P31" s="170"/>
    </row>
    <row r="32" spans="1:16" ht="16.5" thickTop="1">
      <c r="A32" s="154"/>
      <c r="B32" s="160"/>
      <c r="C32" s="153"/>
      <c r="I32" s="153"/>
      <c r="J32" s="146"/>
      <c r="K32" s="146"/>
      <c r="M32" s="146"/>
      <c r="N32" s="171" t="s">
        <v>325</v>
      </c>
      <c r="O32" s="172" t="s">
        <v>326</v>
      </c>
      <c r="P32" s="173" t="s">
        <v>327</v>
      </c>
    </row>
    <row r="33" spans="1:16">
      <c r="A33" s="154" t="s">
        <v>281</v>
      </c>
      <c r="B33" s="160" t="s">
        <v>328</v>
      </c>
      <c r="C33" s="146"/>
      <c r="D33" s="158"/>
      <c r="E33" s="146"/>
      <c r="F33" s="146"/>
      <c r="G33" s="146"/>
      <c r="H33" s="146"/>
      <c r="I33" s="158"/>
      <c r="J33" s="146"/>
      <c r="K33" s="146"/>
      <c r="M33" s="146"/>
      <c r="N33" s="174" t="s">
        <v>329</v>
      </c>
      <c r="O33" s="175">
        <f>P91*$I$31</f>
        <v>3264218.5575312003</v>
      </c>
      <c r="P33" s="176">
        <v>101909</v>
      </c>
    </row>
    <row r="34" spans="1:16">
      <c r="A34" s="154">
        <v>8</v>
      </c>
      <c r="B34" s="160" t="s">
        <v>330</v>
      </c>
      <c r="D34" s="158"/>
      <c r="E34" s="146"/>
      <c r="F34" s="146"/>
      <c r="G34" s="145" t="s">
        <v>331</v>
      </c>
      <c r="H34" s="146"/>
      <c r="I34" s="177">
        <f>Divisor!G21</f>
        <v>667836.41666666663</v>
      </c>
      <c r="J34" s="146"/>
      <c r="K34" s="146"/>
      <c r="N34" s="174" t="s">
        <v>332</v>
      </c>
      <c r="O34" s="178">
        <f>P92*$I$31</f>
        <v>3338091.0052419174</v>
      </c>
      <c r="P34" s="179">
        <v>667836</v>
      </c>
    </row>
    <row r="35" spans="1:16">
      <c r="A35" s="154">
        <v>9</v>
      </c>
      <c r="B35" s="160" t="s">
        <v>333</v>
      </c>
      <c r="C35" s="153"/>
      <c r="D35" s="153"/>
      <c r="E35" s="153"/>
      <c r="F35" s="153"/>
      <c r="G35" s="153" t="s">
        <v>334</v>
      </c>
      <c r="H35" s="153"/>
      <c r="I35" s="163">
        <v>0</v>
      </c>
      <c r="J35" s="146"/>
      <c r="K35" s="146"/>
      <c r="N35" s="180" t="s">
        <v>335</v>
      </c>
      <c r="O35" s="181">
        <f>SUM(O33:O34)</f>
        <v>6602309.5627731178</v>
      </c>
      <c r="P35" s="182"/>
    </row>
    <row r="36" spans="1:16">
      <c r="A36" s="154">
        <v>10</v>
      </c>
      <c r="B36" s="160" t="s">
        <v>336</v>
      </c>
      <c r="C36" s="146"/>
      <c r="D36" s="146"/>
      <c r="E36" s="146"/>
      <c r="F36" s="146"/>
      <c r="G36" s="145" t="s">
        <v>337</v>
      </c>
      <c r="H36" s="146"/>
      <c r="I36" s="163">
        <v>0</v>
      </c>
      <c r="J36" s="146"/>
      <c r="K36" s="146"/>
      <c r="N36" s="183" t="s">
        <v>338</v>
      </c>
      <c r="O36" s="184"/>
      <c r="P36" s="185"/>
    </row>
    <row r="37" spans="1:16">
      <c r="A37" s="154">
        <v>11</v>
      </c>
      <c r="B37" s="186" t="s">
        <v>339</v>
      </c>
      <c r="C37" s="146"/>
      <c r="D37" s="146"/>
      <c r="E37" s="146"/>
      <c r="F37" s="146"/>
      <c r="G37" s="145" t="s">
        <v>340</v>
      </c>
      <c r="H37" s="146"/>
      <c r="I37" s="163">
        <v>0</v>
      </c>
      <c r="J37" s="146"/>
      <c r="K37" s="146"/>
      <c r="N37" s="146"/>
      <c r="O37" s="146"/>
    </row>
    <row r="38" spans="1:16">
      <c r="A38" s="154">
        <v>12</v>
      </c>
      <c r="B38" s="186" t="s">
        <v>341</v>
      </c>
      <c r="C38" s="146"/>
      <c r="D38" s="146"/>
      <c r="E38" s="146"/>
      <c r="F38" s="146"/>
      <c r="G38" s="145"/>
      <c r="H38" s="146"/>
      <c r="I38" s="163">
        <v>0</v>
      </c>
      <c r="J38" s="146"/>
      <c r="K38" s="146"/>
      <c r="N38" s="146"/>
      <c r="O38" s="146"/>
    </row>
    <row r="39" spans="1:16">
      <c r="A39" s="154">
        <v>13</v>
      </c>
      <c r="B39" s="186" t="s">
        <v>342</v>
      </c>
      <c r="C39" s="146"/>
      <c r="D39" s="146"/>
      <c r="E39" s="146"/>
      <c r="F39" s="146"/>
      <c r="G39" s="145"/>
      <c r="H39" s="146"/>
      <c r="I39" s="187">
        <v>0</v>
      </c>
      <c r="J39" s="146"/>
      <c r="K39" s="146"/>
      <c r="N39" s="146"/>
      <c r="O39" s="146"/>
    </row>
    <row r="40" spans="1:16" ht="16.5" thickBot="1">
      <c r="A40" s="154">
        <v>14</v>
      </c>
      <c r="B40" s="143" t="s">
        <v>343</v>
      </c>
      <c r="C40" s="146"/>
      <c r="D40" s="146"/>
      <c r="E40" s="146"/>
      <c r="F40" s="146"/>
      <c r="G40" s="146"/>
      <c r="H40" s="146"/>
      <c r="I40" s="167">
        <v>0</v>
      </c>
      <c r="J40" s="146"/>
      <c r="K40" s="146"/>
      <c r="N40" s="146"/>
      <c r="O40" s="146"/>
    </row>
    <row r="41" spans="1:16">
      <c r="A41" s="154">
        <v>15</v>
      </c>
      <c r="B41" s="160" t="s">
        <v>344</v>
      </c>
      <c r="C41" s="146"/>
      <c r="D41" s="146"/>
      <c r="E41" s="146"/>
      <c r="F41" s="146"/>
      <c r="G41" s="146"/>
      <c r="H41" s="146"/>
      <c r="I41" s="158">
        <f>SUM(I34:I40)</f>
        <v>667836.41666666663</v>
      </c>
      <c r="J41" s="146"/>
      <c r="K41" s="146"/>
      <c r="N41" s="146"/>
      <c r="O41" s="146"/>
    </row>
    <row r="42" spans="1:16">
      <c r="A42" s="154"/>
      <c r="B42" s="160"/>
      <c r="C42" s="146"/>
      <c r="D42" s="146"/>
      <c r="E42" s="146"/>
      <c r="F42" s="146"/>
      <c r="G42" s="146"/>
      <c r="H42" s="146"/>
      <c r="I42" s="158"/>
      <c r="J42" s="146"/>
      <c r="K42" s="146"/>
      <c r="M42" s="146"/>
      <c r="N42" s="146"/>
      <c r="O42" s="146"/>
    </row>
    <row r="43" spans="1:16">
      <c r="A43" s="154">
        <v>16</v>
      </c>
      <c r="B43" s="160" t="s">
        <v>345</v>
      </c>
      <c r="C43" s="146" t="s">
        <v>346</v>
      </c>
      <c r="D43" s="188">
        <f>IF(I41&gt;0,I31/I41,0)</f>
        <v>9.8861179145139229</v>
      </c>
      <c r="E43" s="146"/>
      <c r="F43" s="146"/>
      <c r="G43" s="146"/>
      <c r="H43" s="146"/>
      <c r="J43" s="146"/>
      <c r="K43" s="146"/>
      <c r="M43" s="146"/>
      <c r="N43" s="146"/>
      <c r="O43" s="146"/>
    </row>
    <row r="44" spans="1:16">
      <c r="A44" s="154">
        <v>17</v>
      </c>
      <c r="B44" s="160" t="s">
        <v>347</v>
      </c>
      <c r="C44" s="146"/>
      <c r="D44" s="188">
        <f>+D43/12</f>
        <v>0.82384315954282694</v>
      </c>
      <c r="E44" s="146"/>
      <c r="F44" s="146"/>
      <c r="G44" s="146"/>
      <c r="H44" s="146"/>
      <c r="J44" s="146"/>
      <c r="K44" s="146"/>
      <c r="M44" s="146"/>
      <c r="N44" s="146"/>
      <c r="O44" s="146"/>
    </row>
    <row r="45" spans="1:16">
      <c r="A45" s="154"/>
      <c r="B45" s="160"/>
      <c r="C45" s="146"/>
      <c r="D45" s="188"/>
      <c r="E45" s="146"/>
      <c r="F45" s="146"/>
      <c r="G45" s="146"/>
      <c r="H45" s="146"/>
      <c r="J45" s="146"/>
      <c r="K45" s="146"/>
      <c r="M45" s="146"/>
      <c r="N45" s="146"/>
      <c r="O45" s="146"/>
    </row>
    <row r="46" spans="1:16">
      <c r="A46" s="154"/>
      <c r="B46" s="160"/>
      <c r="C46" s="146"/>
      <c r="D46" s="189" t="s">
        <v>348</v>
      </c>
      <c r="E46" s="146"/>
      <c r="F46" s="146"/>
      <c r="G46" s="146"/>
      <c r="H46" s="146"/>
      <c r="I46" s="190" t="s">
        <v>349</v>
      </c>
      <c r="J46" s="146"/>
      <c r="K46" s="146"/>
      <c r="M46" s="146"/>
      <c r="N46" s="146"/>
      <c r="O46" s="146"/>
    </row>
    <row r="47" spans="1:16">
      <c r="A47" s="154">
        <v>18</v>
      </c>
      <c r="B47" s="160" t="s">
        <v>350</v>
      </c>
      <c r="C47" s="146" t="s">
        <v>351</v>
      </c>
      <c r="D47" s="188">
        <f>+D43/52</f>
        <v>0.19011765220219082</v>
      </c>
      <c r="E47" s="146"/>
      <c r="F47" s="146"/>
      <c r="G47" s="146"/>
      <c r="H47" s="146"/>
      <c r="I47" s="191">
        <f>+D43/52</f>
        <v>0.19011765220219082</v>
      </c>
      <c r="J47" s="146"/>
      <c r="K47" s="146"/>
      <c r="M47" s="146"/>
      <c r="N47" s="146"/>
      <c r="O47" s="146"/>
    </row>
    <row r="48" spans="1:16">
      <c r="A48" s="154">
        <v>19</v>
      </c>
      <c r="B48" s="160" t="s">
        <v>352</v>
      </c>
      <c r="C48" s="146" t="s">
        <v>353</v>
      </c>
      <c r="D48" s="188">
        <f>+D43/260</f>
        <v>3.8023530440438165E-2</v>
      </c>
      <c r="E48" s="146" t="s">
        <v>354</v>
      </c>
      <c r="G48" s="146"/>
      <c r="H48" s="146"/>
      <c r="I48" s="191">
        <f>+D43/365</f>
        <v>2.7085254560312116E-2</v>
      </c>
      <c r="J48" s="146"/>
      <c r="K48" s="146"/>
      <c r="M48" s="146"/>
      <c r="N48" s="146"/>
      <c r="O48" s="146"/>
    </row>
    <row r="49" spans="1:15">
      <c r="A49" s="154">
        <v>20</v>
      </c>
      <c r="B49" s="160" t="s">
        <v>355</v>
      </c>
      <c r="C49" s="146" t="s">
        <v>356</v>
      </c>
      <c r="D49" s="188">
        <f>+D43/4160*1000</f>
        <v>2.3764706525273853</v>
      </c>
      <c r="E49" s="146" t="s">
        <v>357</v>
      </c>
      <c r="G49" s="146"/>
      <c r="H49" s="146"/>
      <c r="I49" s="191">
        <f>+D43/8760*1000</f>
        <v>1.1285522733463382</v>
      </c>
      <c r="J49" s="146"/>
      <c r="K49" s="146" t="s">
        <v>281</v>
      </c>
      <c r="M49" s="146"/>
      <c r="N49" s="146"/>
      <c r="O49" s="146"/>
    </row>
    <row r="50" spans="1:15">
      <c r="A50" s="154"/>
      <c r="B50" s="160"/>
      <c r="C50" s="146" t="s">
        <v>358</v>
      </c>
      <c r="D50" s="146"/>
      <c r="E50" s="146" t="s">
        <v>359</v>
      </c>
      <c r="G50" s="146"/>
      <c r="H50" s="146"/>
      <c r="J50" s="146"/>
      <c r="K50" s="146" t="s">
        <v>281</v>
      </c>
      <c r="M50" s="146"/>
      <c r="N50" s="146"/>
      <c r="O50" s="146"/>
    </row>
    <row r="51" spans="1:15">
      <c r="A51" s="154"/>
      <c r="B51" s="160"/>
      <c r="C51" s="146"/>
      <c r="D51" s="146"/>
      <c r="E51" s="146"/>
      <c r="G51" s="146"/>
      <c r="H51" s="146"/>
      <c r="J51" s="146"/>
      <c r="K51" s="146" t="s">
        <v>281</v>
      </c>
      <c r="M51" s="146"/>
      <c r="N51" s="146"/>
      <c r="O51" s="146"/>
    </row>
    <row r="52" spans="1:15">
      <c r="A52" s="154">
        <v>21</v>
      </c>
      <c r="B52" s="160" t="s">
        <v>360</v>
      </c>
      <c r="C52" s="146" t="s">
        <v>361</v>
      </c>
      <c r="D52" s="192">
        <v>0</v>
      </c>
      <c r="E52" s="193" t="s">
        <v>362</v>
      </c>
      <c r="F52" s="193"/>
      <c r="G52" s="193"/>
      <c r="H52" s="193"/>
      <c r="I52" s="193">
        <f>D52</f>
        <v>0</v>
      </c>
      <c r="J52" s="193" t="s">
        <v>362</v>
      </c>
      <c r="K52" s="146"/>
      <c r="M52" s="146"/>
      <c r="N52" s="146"/>
      <c r="O52" s="146"/>
    </row>
    <row r="53" spans="1:15">
      <c r="A53" s="154">
        <v>22</v>
      </c>
      <c r="B53" s="160"/>
      <c r="C53" s="146"/>
      <c r="D53" s="192">
        <v>0</v>
      </c>
      <c r="E53" s="193" t="s">
        <v>363</v>
      </c>
      <c r="F53" s="193"/>
      <c r="G53" s="193"/>
      <c r="H53" s="193"/>
      <c r="I53" s="193">
        <f>D53</f>
        <v>0</v>
      </c>
      <c r="J53" s="193" t="s">
        <v>363</v>
      </c>
      <c r="K53" s="146"/>
      <c r="M53" s="146"/>
      <c r="N53" s="146"/>
      <c r="O53" s="146"/>
    </row>
    <row r="54" spans="1:15">
      <c r="J54" s="145"/>
      <c r="K54" s="146"/>
      <c r="M54" s="146"/>
      <c r="N54" s="146"/>
      <c r="O54" s="146"/>
    </row>
    <row r="55" spans="1:15">
      <c r="J55" s="145"/>
      <c r="K55" s="146"/>
      <c r="M55" s="146"/>
      <c r="N55" s="146"/>
      <c r="O55" s="146"/>
    </row>
    <row r="56" spans="1:15">
      <c r="J56" s="145"/>
      <c r="K56" s="146"/>
      <c r="M56" s="146"/>
      <c r="N56" s="146"/>
      <c r="O56" s="146"/>
    </row>
    <row r="57" spans="1:15">
      <c r="J57" s="145"/>
      <c r="K57" s="146"/>
      <c r="M57" s="146"/>
      <c r="N57" s="146"/>
      <c r="O57" s="146"/>
    </row>
    <row r="58" spans="1:15">
      <c r="J58" s="145"/>
      <c r="K58" s="146"/>
      <c r="M58" s="146"/>
      <c r="N58" s="146"/>
      <c r="O58" s="146"/>
    </row>
    <row r="59" spans="1:15">
      <c r="J59" s="145"/>
      <c r="K59" s="146"/>
      <c r="M59" s="146"/>
      <c r="N59" s="146"/>
      <c r="O59" s="146"/>
    </row>
    <row r="60" spans="1:15">
      <c r="J60" s="145"/>
      <c r="K60" s="146"/>
      <c r="M60" s="146"/>
      <c r="N60" s="146"/>
      <c r="O60" s="146"/>
    </row>
    <row r="61" spans="1:15">
      <c r="J61" s="145"/>
      <c r="K61" s="146"/>
      <c r="M61" s="146"/>
      <c r="N61" s="146"/>
      <c r="O61" s="146"/>
    </row>
    <row r="62" spans="1:15">
      <c r="J62" s="145"/>
      <c r="K62" s="146"/>
      <c r="M62" s="146"/>
      <c r="N62" s="146"/>
      <c r="O62" s="146"/>
    </row>
    <row r="63" spans="1:15">
      <c r="J63" s="145"/>
      <c r="K63" s="146"/>
      <c r="M63" s="146"/>
      <c r="N63" s="146"/>
      <c r="O63" s="146"/>
    </row>
    <row r="64" spans="1:15">
      <c r="J64" s="145"/>
      <c r="K64" s="146"/>
      <c r="M64" s="146"/>
      <c r="N64" s="146"/>
      <c r="O64" s="146"/>
    </row>
    <row r="65" spans="2:15">
      <c r="J65" s="145"/>
      <c r="K65" s="146"/>
      <c r="M65" s="146"/>
      <c r="N65" s="146"/>
      <c r="O65" s="146"/>
    </row>
    <row r="66" spans="2:15">
      <c r="J66" s="145"/>
      <c r="K66" s="146"/>
      <c r="M66" s="146"/>
      <c r="N66" s="146"/>
      <c r="O66" s="146"/>
    </row>
    <row r="67" spans="2:15">
      <c r="J67" s="145"/>
      <c r="K67" s="146"/>
      <c r="M67" s="146"/>
      <c r="N67" s="146"/>
      <c r="O67" s="146"/>
    </row>
    <row r="68" spans="2:15">
      <c r="J68" s="145"/>
      <c r="K68" s="146"/>
      <c r="M68" s="146"/>
      <c r="N68" s="146"/>
      <c r="O68" s="146"/>
    </row>
    <row r="69" spans="2:15">
      <c r="J69" s="145"/>
      <c r="K69" s="146"/>
      <c r="M69" s="146"/>
      <c r="N69" s="146"/>
      <c r="O69" s="146"/>
    </row>
    <row r="70" spans="2:15">
      <c r="J70" s="145"/>
      <c r="K70" s="146"/>
      <c r="M70" s="146"/>
      <c r="N70" s="146"/>
      <c r="O70" s="146"/>
    </row>
    <row r="71" spans="2:15">
      <c r="J71" s="145"/>
      <c r="K71" s="146"/>
      <c r="M71" s="146"/>
      <c r="N71" s="146"/>
      <c r="O71" s="146"/>
    </row>
    <row r="72" spans="2:15">
      <c r="J72" s="145"/>
      <c r="K72" s="146"/>
      <c r="M72" s="146"/>
      <c r="N72" s="146"/>
      <c r="O72" s="146"/>
    </row>
    <row r="73" spans="2:15">
      <c r="J73" s="145"/>
      <c r="K73" s="146"/>
      <c r="M73" s="146"/>
      <c r="N73" s="146"/>
      <c r="O73" s="146"/>
    </row>
    <row r="74" spans="2:15">
      <c r="J74" s="145"/>
      <c r="K74" s="146"/>
      <c r="M74" s="146"/>
      <c r="N74" s="146"/>
      <c r="O74" s="146"/>
    </row>
    <row r="75" spans="2:15">
      <c r="J75" s="145"/>
      <c r="K75" s="146"/>
      <c r="M75" s="146"/>
      <c r="N75" s="146"/>
      <c r="O75" s="146"/>
    </row>
    <row r="76" spans="2:15">
      <c r="J76" s="145"/>
      <c r="K76" s="146"/>
      <c r="M76" s="146"/>
      <c r="N76" s="146"/>
      <c r="O76" s="146"/>
    </row>
    <row r="77" spans="2:15">
      <c r="J77" s="145"/>
      <c r="K77" s="146"/>
      <c r="M77" s="146"/>
      <c r="N77" s="146"/>
      <c r="O77" s="146"/>
    </row>
    <row r="78" spans="2:15">
      <c r="J78" s="145"/>
      <c r="K78" s="146"/>
      <c r="M78" s="146"/>
      <c r="N78" s="146"/>
      <c r="O78" s="146"/>
    </row>
    <row r="79" spans="2:15">
      <c r="J79" s="145"/>
      <c r="K79" s="146"/>
      <c r="M79" s="146"/>
      <c r="N79" s="146"/>
      <c r="O79" s="146"/>
    </row>
    <row r="80" spans="2:15">
      <c r="B80" s="143"/>
      <c r="C80" s="143"/>
      <c r="D80" s="144"/>
      <c r="E80" s="143"/>
      <c r="F80" s="143"/>
      <c r="G80" s="143"/>
      <c r="H80" s="145"/>
      <c r="I80" s="145"/>
      <c r="K80" s="147" t="s">
        <v>364</v>
      </c>
      <c r="M80" s="146"/>
      <c r="N80" s="146"/>
      <c r="O80" s="146"/>
    </row>
    <row r="81" spans="1:17">
      <c r="B81" s="146"/>
      <c r="C81" s="146"/>
      <c r="D81" s="146"/>
      <c r="E81" s="146"/>
      <c r="F81" s="146"/>
      <c r="G81" s="146"/>
      <c r="H81" s="146"/>
      <c r="I81" s="146"/>
      <c r="J81" s="146"/>
      <c r="K81" s="146"/>
      <c r="M81" s="146"/>
      <c r="N81" s="146"/>
      <c r="O81" s="146"/>
    </row>
    <row r="82" spans="1:17">
      <c r="B82" s="160" t="str">
        <f>B3</f>
        <v xml:space="preserve">Formula Rate - Non-Levelized </v>
      </c>
      <c r="C82" s="160"/>
      <c r="D82" s="194" t="str">
        <f>D3</f>
        <v xml:space="preserve">   Rate Formula Template</v>
      </c>
      <c r="E82" s="160"/>
      <c r="F82" s="160"/>
      <c r="G82" s="160"/>
      <c r="H82" s="160"/>
      <c r="J82" s="160"/>
      <c r="K82" s="147" t="str">
        <f>K3</f>
        <v>For the 12 months ended 12/31/15</v>
      </c>
      <c r="M82" s="160"/>
      <c r="N82" s="160"/>
      <c r="O82" s="160"/>
    </row>
    <row r="83" spans="1:17">
      <c r="B83" s="160"/>
      <c r="C83" s="153" t="s">
        <v>281</v>
      </c>
      <c r="D83" s="153" t="str">
        <f>D4</f>
        <v>Utilizing EIA Form 412 Data</v>
      </c>
      <c r="E83" s="153"/>
      <c r="F83" s="153"/>
      <c r="G83" s="153"/>
      <c r="H83" s="153"/>
      <c r="I83" s="153"/>
      <c r="J83" s="153"/>
      <c r="K83" s="153"/>
      <c r="M83" s="146"/>
      <c r="N83" s="153"/>
      <c r="O83" s="160"/>
    </row>
    <row r="84" spans="1:17">
      <c r="B84" s="160"/>
      <c r="C84" s="153" t="s">
        <v>281</v>
      </c>
      <c r="D84" s="153" t="s">
        <v>281</v>
      </c>
      <c r="E84" s="153"/>
      <c r="F84" s="153"/>
      <c r="G84" s="153" t="s">
        <v>281</v>
      </c>
      <c r="H84" s="153"/>
      <c r="I84" s="153"/>
      <c r="J84" s="153"/>
      <c r="K84" s="153"/>
      <c r="M84" s="153"/>
      <c r="N84" s="153"/>
      <c r="O84" s="160"/>
    </row>
    <row r="85" spans="1:17">
      <c r="B85" s="160"/>
      <c r="C85" s="146"/>
      <c r="D85" s="153" t="str">
        <f>D6</f>
        <v>MRES</v>
      </c>
      <c r="E85" s="153"/>
      <c r="F85" s="153"/>
      <c r="G85" s="153"/>
      <c r="H85" s="153"/>
      <c r="I85" s="153"/>
      <c r="J85" s="153"/>
      <c r="K85" s="153"/>
      <c r="M85" s="153"/>
      <c r="N85" s="153"/>
      <c r="O85" s="160"/>
    </row>
    <row r="86" spans="1:17">
      <c r="B86" s="148" t="s">
        <v>365</v>
      </c>
      <c r="C86" s="148" t="s">
        <v>366</v>
      </c>
      <c r="D86" s="148" t="s">
        <v>367</v>
      </c>
      <c r="E86" s="153" t="s">
        <v>281</v>
      </c>
      <c r="F86" s="153"/>
      <c r="G86" s="195" t="s">
        <v>368</v>
      </c>
      <c r="H86" s="153"/>
      <c r="I86" s="196" t="s">
        <v>369</v>
      </c>
      <c r="J86" s="153"/>
      <c r="K86" s="148"/>
      <c r="M86" s="148"/>
      <c r="N86" s="153"/>
      <c r="O86" s="160"/>
    </row>
    <row r="87" spans="1:17">
      <c r="A87" s="154" t="s">
        <v>284</v>
      </c>
      <c r="B87" s="160"/>
      <c r="C87" s="197" t="s">
        <v>370</v>
      </c>
      <c r="D87" s="153"/>
      <c r="E87" s="153"/>
      <c r="F87" s="153"/>
      <c r="G87" s="154"/>
      <c r="H87" s="153"/>
      <c r="I87" s="198" t="s">
        <v>24</v>
      </c>
      <c r="J87" s="153"/>
      <c r="K87" s="148"/>
      <c r="M87" s="148"/>
      <c r="N87" s="148"/>
      <c r="O87" s="160"/>
    </row>
    <row r="88" spans="1:17" ht="16.5" thickBot="1">
      <c r="A88" s="157" t="s">
        <v>286</v>
      </c>
      <c r="B88" s="199" t="s">
        <v>371</v>
      </c>
      <c r="C88" s="200" t="s">
        <v>372</v>
      </c>
      <c r="D88" s="198" t="s">
        <v>373</v>
      </c>
      <c r="E88" s="201"/>
      <c r="F88" s="198" t="s">
        <v>374</v>
      </c>
      <c r="H88" s="201"/>
      <c r="I88" s="154" t="s">
        <v>375</v>
      </c>
      <c r="J88" s="153"/>
      <c r="K88" s="148"/>
      <c r="M88" s="148"/>
      <c r="N88" s="148"/>
      <c r="O88" s="160"/>
    </row>
    <row r="89" spans="1:17">
      <c r="A89" s="154"/>
      <c r="B89" s="160" t="s">
        <v>376</v>
      </c>
      <c r="C89" s="153"/>
      <c r="D89" s="153"/>
      <c r="E89" s="153"/>
      <c r="F89" s="153"/>
      <c r="G89" s="153"/>
      <c r="H89" s="153"/>
      <c r="I89" s="153"/>
      <c r="J89" s="153"/>
      <c r="K89" s="153"/>
      <c r="M89" s="153"/>
      <c r="N89" s="153"/>
      <c r="O89" s="160"/>
      <c r="P89" s="142" t="s">
        <v>377</v>
      </c>
    </row>
    <row r="90" spans="1:17">
      <c r="A90" s="154">
        <v>1</v>
      </c>
      <c r="B90" s="160" t="s">
        <v>378</v>
      </c>
      <c r="C90" s="153" t="s">
        <v>379</v>
      </c>
      <c r="D90" s="202">
        <f>Plant!E22</f>
        <v>305008725.50000012</v>
      </c>
      <c r="E90" s="153"/>
      <c r="F90" s="153" t="s">
        <v>380</v>
      </c>
      <c r="G90" s="203" t="s">
        <v>281</v>
      </c>
      <c r="H90" s="153"/>
      <c r="I90" s="153" t="s">
        <v>281</v>
      </c>
      <c r="J90" s="153"/>
      <c r="K90" s="153"/>
      <c r="N90" s="204" t="s">
        <v>325</v>
      </c>
      <c r="O90" s="205" t="s">
        <v>381</v>
      </c>
      <c r="P90" s="206" t="s">
        <v>382</v>
      </c>
      <c r="Q90" s="207"/>
    </row>
    <row r="91" spans="1:17">
      <c r="A91" s="154">
        <v>2</v>
      </c>
      <c r="B91" s="160" t="s">
        <v>383</v>
      </c>
      <c r="C91" s="153" t="s">
        <v>384</v>
      </c>
      <c r="D91" s="202">
        <f>Plant!F22</f>
        <v>72048183.5</v>
      </c>
      <c r="E91" s="153"/>
      <c r="F91" s="153" t="s">
        <v>293</v>
      </c>
      <c r="G91" s="203">
        <f>$I$225</f>
        <v>1</v>
      </c>
      <c r="H91" s="153"/>
      <c r="I91" s="153">
        <f>+G91*D91</f>
        <v>72048183.5</v>
      </c>
      <c r="J91" s="153"/>
      <c r="K91" s="153"/>
      <c r="N91" s="208" t="s">
        <v>329</v>
      </c>
      <c r="O91" s="175">
        <f>Plant!M22</f>
        <v>33120204</v>
      </c>
      <c r="P91" s="209">
        <f>O91/O93</f>
        <v>0.49440556012950043</v>
      </c>
      <c r="Q91" s="207"/>
    </row>
    <row r="92" spans="1:17">
      <c r="A92" s="154" t="s">
        <v>385</v>
      </c>
      <c r="B92" s="160" t="s">
        <v>386</v>
      </c>
      <c r="C92" s="210"/>
      <c r="D92" s="202">
        <f>Plant!G22</f>
        <v>87233135.419121429</v>
      </c>
      <c r="E92" s="153"/>
      <c r="F92" s="153" t="s">
        <v>293</v>
      </c>
      <c r="G92" s="203">
        <f>$I$225</f>
        <v>1</v>
      </c>
      <c r="H92" s="153"/>
      <c r="I92" s="153">
        <f>+G92*D92</f>
        <v>87233135.419121429</v>
      </c>
      <c r="J92" s="153"/>
      <c r="K92" s="153"/>
      <c r="N92" s="208" t="s">
        <v>332</v>
      </c>
      <c r="O92" s="178">
        <f>Plant!N22</f>
        <v>33869746.499999985</v>
      </c>
      <c r="P92" s="211">
        <f>O92/O93</f>
        <v>0.50559443987049957</v>
      </c>
      <c r="Q92" s="207"/>
    </row>
    <row r="93" spans="1:17">
      <c r="A93" s="154">
        <v>3</v>
      </c>
      <c r="B93" s="160" t="s">
        <v>387</v>
      </c>
      <c r="C93" s="153" t="s">
        <v>388</v>
      </c>
      <c r="D93" s="202">
        <v>0</v>
      </c>
      <c r="E93" s="153"/>
      <c r="F93" s="153" t="s">
        <v>380</v>
      </c>
      <c r="G93" s="203" t="s">
        <v>281</v>
      </c>
      <c r="H93" s="153"/>
      <c r="I93" s="210"/>
      <c r="J93" s="153"/>
      <c r="K93" s="153"/>
      <c r="M93" s="353"/>
      <c r="N93" s="174" t="s">
        <v>389</v>
      </c>
      <c r="O93" s="181">
        <f>SUM(O91:O92)</f>
        <v>66989950.499999985</v>
      </c>
      <c r="P93" s="212">
        <f>SUM(P91:P92)</f>
        <v>1</v>
      </c>
    </row>
    <row r="94" spans="1:17">
      <c r="A94" s="154">
        <v>4</v>
      </c>
      <c r="B94" s="160" t="s">
        <v>390</v>
      </c>
      <c r="C94" s="153" t="s">
        <v>391</v>
      </c>
      <c r="D94" s="202">
        <f>Plant!I22+Plant!J22</f>
        <v>25085003.333333332</v>
      </c>
      <c r="E94" s="153"/>
      <c r="F94" s="153" t="s">
        <v>392</v>
      </c>
      <c r="G94" s="203">
        <f>I241</f>
        <v>0.16667736022685495</v>
      </c>
      <c r="H94" s="153"/>
      <c r="I94" s="153">
        <f>+G94*D94</f>
        <v>4181102.1368818567</v>
      </c>
      <c r="J94" s="153"/>
      <c r="K94" s="153"/>
      <c r="N94" s="213" t="s">
        <v>673</v>
      </c>
      <c r="O94" s="214"/>
      <c r="P94" s="215"/>
    </row>
    <row r="95" spans="1:17" ht="16.5" thickBot="1">
      <c r="A95" s="154">
        <v>5</v>
      </c>
      <c r="B95" s="160" t="s">
        <v>393</v>
      </c>
      <c r="C95" s="153"/>
      <c r="D95" s="216">
        <v>0</v>
      </c>
      <c r="E95" s="153"/>
      <c r="F95" s="153" t="s">
        <v>394</v>
      </c>
      <c r="G95" s="203">
        <f>K245</f>
        <v>0.16667736022685495</v>
      </c>
      <c r="H95" s="153"/>
      <c r="I95" s="165">
        <f>+G95*D95</f>
        <v>0</v>
      </c>
      <c r="J95" s="153"/>
      <c r="K95" s="153"/>
      <c r="N95" s="217" t="s">
        <v>395</v>
      </c>
      <c r="O95" s="349">
        <f>Plant!O22+Plant!P22+Plant!Q22</f>
        <v>57897522.265275277</v>
      </c>
      <c r="P95" s="215"/>
    </row>
    <row r="96" spans="1:17">
      <c r="A96" s="154">
        <v>6</v>
      </c>
      <c r="B96" s="143" t="s">
        <v>396</v>
      </c>
      <c r="C96" s="153"/>
      <c r="D96" s="153">
        <f>SUM(D90:D95)</f>
        <v>489375047.75245488</v>
      </c>
      <c r="E96" s="153"/>
      <c r="F96" s="153" t="s">
        <v>397</v>
      </c>
      <c r="G96" s="218">
        <f>IF(I96&gt;0,I96/D96,0)</f>
        <v>0.33402279459636247</v>
      </c>
      <c r="H96" s="153"/>
      <c r="I96" s="153">
        <f>SUM(I90:I95)</f>
        <v>163462421.0560033</v>
      </c>
      <c r="J96" s="153"/>
      <c r="K96" s="218"/>
      <c r="M96" s="153"/>
      <c r="N96" s="217" t="s">
        <v>672</v>
      </c>
      <c r="O96" s="348">
        <f>Plant!R22</f>
        <v>34393846.153846152</v>
      </c>
      <c r="P96" s="215"/>
    </row>
    <row r="97" spans="1:17">
      <c r="B97" s="160"/>
      <c r="C97" s="153"/>
      <c r="D97" s="153"/>
      <c r="E97" s="153"/>
      <c r="F97" s="153"/>
      <c r="G97" s="218"/>
      <c r="H97" s="153"/>
      <c r="I97" s="153"/>
      <c r="J97" s="153"/>
      <c r="K97" s="218"/>
      <c r="M97" s="153"/>
      <c r="N97" s="208" t="s">
        <v>398</v>
      </c>
      <c r="O97" s="181">
        <f>SUM(O93:O96)</f>
        <v>159281318.91912141</v>
      </c>
      <c r="P97" s="219"/>
      <c r="Q97" s="350">
        <f>I91+I92-O97</f>
        <v>0</v>
      </c>
    </row>
    <row r="98" spans="1:17">
      <c r="B98" s="160" t="s">
        <v>399</v>
      </c>
      <c r="C98" s="153"/>
      <c r="D98" s="153"/>
      <c r="E98" s="153"/>
      <c r="F98" s="153"/>
      <c r="G98" s="153"/>
      <c r="H98" s="153"/>
      <c r="I98" s="153"/>
      <c r="J98" s="153"/>
      <c r="K98" s="153"/>
      <c r="M98" s="153"/>
      <c r="N98" s="220" t="s">
        <v>338</v>
      </c>
      <c r="O98" s="221"/>
      <c r="P98" s="221"/>
      <c r="Q98" s="207"/>
    </row>
    <row r="99" spans="1:17">
      <c r="A99" s="154">
        <v>7</v>
      </c>
      <c r="B99" s="160" t="str">
        <f>+B90</f>
        <v xml:space="preserve">  Production</v>
      </c>
      <c r="D99" s="177">
        <f>Plant!E40</f>
        <v>182463968.85599393</v>
      </c>
      <c r="E99" s="153"/>
      <c r="F99" s="153" t="str">
        <f>+F90</f>
        <v>NA</v>
      </c>
      <c r="G99" s="203" t="str">
        <f>+G90</f>
        <v xml:space="preserve"> </v>
      </c>
      <c r="H99" s="153"/>
      <c r="I99" s="153" t="s">
        <v>281</v>
      </c>
      <c r="J99" s="153"/>
      <c r="K99" s="153"/>
      <c r="M99" s="153"/>
      <c r="N99" s="153"/>
      <c r="O99" s="160"/>
    </row>
    <row r="100" spans="1:17">
      <c r="A100" s="154">
        <v>8</v>
      </c>
      <c r="B100" s="160" t="str">
        <f>+B91</f>
        <v xml:space="preserve">  Transmission</v>
      </c>
      <c r="D100" s="177">
        <f>Plant!F40</f>
        <v>35425041.886957541</v>
      </c>
      <c r="E100" s="153"/>
      <c r="F100" s="153" t="str">
        <f>+F91</f>
        <v>TP</v>
      </c>
      <c r="G100" s="203">
        <f>G91</f>
        <v>1</v>
      </c>
      <c r="H100" s="153"/>
      <c r="I100" s="153">
        <f>+G100*D100</f>
        <v>35425041.886957541</v>
      </c>
      <c r="J100" s="153"/>
      <c r="K100" s="153"/>
      <c r="M100" s="153"/>
      <c r="N100" s="153"/>
      <c r="O100" s="160"/>
    </row>
    <row r="101" spans="1:17">
      <c r="A101" s="154" t="s">
        <v>400</v>
      </c>
      <c r="B101" s="160" t="s">
        <v>401</v>
      </c>
      <c r="C101" s="222"/>
      <c r="D101" s="177">
        <f>Plant!G40</f>
        <v>1925723.1723489356</v>
      </c>
      <c r="E101" s="210"/>
      <c r="F101" s="153" t="s">
        <v>293</v>
      </c>
      <c r="G101" s="203">
        <f>G91</f>
        <v>1</v>
      </c>
      <c r="H101" s="210"/>
      <c r="I101" s="153">
        <f>+G101*D101</f>
        <v>1925723.1723489356</v>
      </c>
      <c r="J101" s="153"/>
      <c r="K101" s="153"/>
      <c r="M101" s="153"/>
      <c r="N101" s="153"/>
      <c r="O101" s="160"/>
    </row>
    <row r="102" spans="1:17">
      <c r="A102" s="154">
        <v>9</v>
      </c>
      <c r="B102" s="160" t="str">
        <f>+B93</f>
        <v xml:space="preserve">  Distribution</v>
      </c>
      <c r="D102" s="177">
        <v>0</v>
      </c>
      <c r="E102" s="153"/>
      <c r="F102" s="153" t="str">
        <f t="shared" ref="F102:G104" si="0">+F93</f>
        <v>NA</v>
      </c>
      <c r="G102" s="203" t="str">
        <f t="shared" si="0"/>
        <v xml:space="preserve"> </v>
      </c>
      <c r="H102" s="153"/>
      <c r="I102" s="153"/>
      <c r="J102" s="153"/>
      <c r="K102" s="153"/>
      <c r="M102" s="153"/>
      <c r="N102" s="153"/>
      <c r="O102" s="160"/>
    </row>
    <row r="103" spans="1:17">
      <c r="A103" s="154">
        <v>10</v>
      </c>
      <c r="B103" s="160" t="str">
        <f>+B94</f>
        <v xml:space="preserve">  General &amp; Intangible</v>
      </c>
      <c r="D103" s="177">
        <f>Plant!I40+Plant!J40</f>
        <v>16019648.629137337</v>
      </c>
      <c r="E103" s="153"/>
      <c r="F103" s="153" t="str">
        <f t="shared" si="0"/>
        <v>W/S</v>
      </c>
      <c r="G103" s="203">
        <f t="shared" si="0"/>
        <v>0.16667736022685495</v>
      </c>
      <c r="H103" s="153"/>
      <c r="I103" s="153">
        <f>+G103*D103</f>
        <v>2670112.7452663672</v>
      </c>
      <c r="J103" s="153"/>
      <c r="K103" s="153"/>
      <c r="M103" s="153"/>
      <c r="N103" s="148"/>
      <c r="O103" s="160"/>
    </row>
    <row r="104" spans="1:17" ht="16.5" thickBot="1">
      <c r="A104" s="154">
        <v>11</v>
      </c>
      <c r="B104" s="160" t="str">
        <f>+B95</f>
        <v xml:space="preserve">  Common</v>
      </c>
      <c r="C104" s="153"/>
      <c r="D104" s="216">
        <v>0</v>
      </c>
      <c r="E104" s="153"/>
      <c r="F104" s="153" t="str">
        <f t="shared" si="0"/>
        <v>CE</v>
      </c>
      <c r="G104" s="203">
        <f t="shared" si="0"/>
        <v>0.16667736022685495</v>
      </c>
      <c r="H104" s="153"/>
      <c r="I104" s="165">
        <f>+G104*D104</f>
        <v>0</v>
      </c>
      <c r="J104" s="153"/>
      <c r="K104" s="153"/>
      <c r="M104" s="153"/>
      <c r="N104" s="148"/>
      <c r="O104" s="160"/>
    </row>
    <row r="105" spans="1:17">
      <c r="A105" s="154">
        <v>12</v>
      </c>
      <c r="B105" s="160" t="s">
        <v>402</v>
      </c>
      <c r="C105" s="153"/>
      <c r="D105" s="153">
        <f>SUM(D99:D104)</f>
        <v>235834382.54443774</v>
      </c>
      <c r="E105" s="153"/>
      <c r="F105" s="153"/>
      <c r="G105" s="153"/>
      <c r="H105" s="153"/>
      <c r="I105" s="153">
        <f>SUM(I99:I104)</f>
        <v>40020877.80457285</v>
      </c>
      <c r="J105" s="153"/>
      <c r="K105" s="153"/>
      <c r="M105" s="223"/>
      <c r="N105" s="153"/>
      <c r="O105" s="160"/>
    </row>
    <row r="106" spans="1:17">
      <c r="A106" s="154"/>
      <c r="C106" s="153" t="s">
        <v>281</v>
      </c>
      <c r="E106" s="153"/>
      <c r="F106" s="153"/>
      <c r="G106" s="218"/>
      <c r="H106" s="153"/>
      <c r="J106" s="153"/>
      <c r="K106" s="218"/>
      <c r="M106" s="153"/>
      <c r="N106" s="153"/>
      <c r="O106" s="160"/>
    </row>
    <row r="107" spans="1:17">
      <c r="A107" s="154"/>
      <c r="B107" s="160" t="s">
        <v>403</v>
      </c>
      <c r="C107" s="153"/>
      <c r="D107" s="153"/>
      <c r="E107" s="153"/>
      <c r="F107" s="153"/>
      <c r="G107" s="153"/>
      <c r="H107" s="153"/>
      <c r="I107" s="153"/>
      <c r="J107" s="153"/>
      <c r="K107" s="153"/>
      <c r="M107" s="153"/>
      <c r="N107" s="153"/>
      <c r="O107" s="160"/>
    </row>
    <row r="108" spans="1:17">
      <c r="A108" s="154">
        <v>13</v>
      </c>
      <c r="B108" s="160" t="str">
        <f>+B99</f>
        <v xml:space="preserve">  Production</v>
      </c>
      <c r="C108" s="153" t="s">
        <v>404</v>
      </c>
      <c r="D108" s="153">
        <f t="shared" ref="D108:D113" si="1">D90-D99</f>
        <v>122544756.64400619</v>
      </c>
      <c r="E108" s="153"/>
      <c r="F108" s="153"/>
      <c r="G108" s="218"/>
      <c r="H108" s="153"/>
      <c r="I108" s="153" t="s">
        <v>281</v>
      </c>
      <c r="J108" s="153"/>
      <c r="K108" s="218"/>
      <c r="M108" s="153"/>
      <c r="N108" s="153"/>
      <c r="O108" s="160"/>
    </row>
    <row r="109" spans="1:17">
      <c r="A109" s="154">
        <v>14</v>
      </c>
      <c r="B109" s="160" t="str">
        <f>+B100</f>
        <v xml:space="preserve">  Transmission</v>
      </c>
      <c r="C109" s="153" t="s">
        <v>405</v>
      </c>
      <c r="D109" s="153">
        <f t="shared" si="1"/>
        <v>36623141.613042459</v>
      </c>
      <c r="E109" s="153"/>
      <c r="F109" s="153"/>
      <c r="G109" s="203"/>
      <c r="H109" s="153"/>
      <c r="I109" s="153">
        <f>I91-I100</f>
        <v>36623141.613042459</v>
      </c>
      <c r="J109" s="153"/>
      <c r="K109" s="218"/>
      <c r="M109" s="153"/>
      <c r="N109" s="153"/>
      <c r="O109" s="160"/>
    </row>
    <row r="110" spans="1:17">
      <c r="A110" s="154" t="s">
        <v>406</v>
      </c>
      <c r="B110" s="160" t="s">
        <v>407</v>
      </c>
      <c r="C110" s="210"/>
      <c r="D110" s="153">
        <f>D92-D101</f>
        <v>85307412.246772498</v>
      </c>
      <c r="E110" s="210"/>
      <c r="F110" s="210"/>
      <c r="G110" s="224"/>
      <c r="H110" s="210"/>
      <c r="I110" s="153">
        <f>I92-I101</f>
        <v>85307412.246772498</v>
      </c>
      <c r="J110" s="153"/>
      <c r="K110" s="218"/>
      <c r="M110" s="153"/>
      <c r="N110" s="153"/>
      <c r="O110" s="160"/>
    </row>
    <row r="111" spans="1:17">
      <c r="A111" s="154">
        <v>15</v>
      </c>
      <c r="B111" s="160" t="str">
        <f>+B102</f>
        <v xml:space="preserve">  Distribution</v>
      </c>
      <c r="C111" s="153" t="s">
        <v>408</v>
      </c>
      <c r="D111" s="153">
        <f t="shared" si="1"/>
        <v>0</v>
      </c>
      <c r="E111" s="153"/>
      <c r="F111" s="153"/>
      <c r="G111" s="218"/>
      <c r="H111" s="153"/>
      <c r="I111" s="153">
        <f>I93-I102</f>
        <v>0</v>
      </c>
      <c r="J111" s="153"/>
      <c r="K111" s="218"/>
      <c r="M111" s="153"/>
      <c r="N111" s="153"/>
      <c r="O111" s="160"/>
    </row>
    <row r="112" spans="1:17">
      <c r="A112" s="154">
        <v>16</v>
      </c>
      <c r="B112" s="160" t="str">
        <f>+B103</f>
        <v xml:space="preserve">  General &amp; Intangible</v>
      </c>
      <c r="C112" s="153" t="s">
        <v>409</v>
      </c>
      <c r="D112" s="153">
        <f t="shared" si="1"/>
        <v>9065354.7041959949</v>
      </c>
      <c r="E112" s="153"/>
      <c r="F112" s="153"/>
      <c r="G112" s="218"/>
      <c r="H112" s="153"/>
      <c r="I112" s="153">
        <f>I94-I103</f>
        <v>1510989.3916154895</v>
      </c>
      <c r="J112" s="153"/>
      <c r="K112" s="218"/>
      <c r="M112" s="153"/>
      <c r="N112" s="148"/>
      <c r="O112" s="160"/>
    </row>
    <row r="113" spans="1:15" ht="16.5" thickBot="1">
      <c r="A113" s="154">
        <v>17</v>
      </c>
      <c r="B113" s="160" t="str">
        <f>+B104</f>
        <v xml:space="preserve">  Common</v>
      </c>
      <c r="C113" s="153" t="s">
        <v>410</v>
      </c>
      <c r="D113" s="165">
        <f t="shared" si="1"/>
        <v>0</v>
      </c>
      <c r="E113" s="153"/>
      <c r="F113" s="153"/>
      <c r="G113" s="218"/>
      <c r="H113" s="153"/>
      <c r="I113" s="165">
        <f>I95-I104</f>
        <v>0</v>
      </c>
      <c r="J113" s="153"/>
      <c r="K113" s="218"/>
      <c r="M113" s="153"/>
      <c r="N113" s="148"/>
      <c r="O113" s="160"/>
    </row>
    <row r="114" spans="1:15">
      <c r="A114" s="154">
        <v>18</v>
      </c>
      <c r="B114" s="160" t="s">
        <v>411</v>
      </c>
      <c r="C114" s="153"/>
      <c r="D114" s="153">
        <f>SUM(D108:D113)</f>
        <v>253540665.20801717</v>
      </c>
      <c r="E114" s="153"/>
      <c r="F114" s="153" t="s">
        <v>412</v>
      </c>
      <c r="G114" s="218">
        <f>IF(I114&gt;0,I114/D114,0)</f>
        <v>0.48687078717787918</v>
      </c>
      <c r="H114" s="153"/>
      <c r="I114" s="153">
        <f>SUM(I108:I113)</f>
        <v>123441543.25143045</v>
      </c>
      <c r="J114" s="153"/>
      <c r="K114" s="153"/>
      <c r="M114" s="166"/>
      <c r="N114" s="153"/>
      <c r="O114" s="160"/>
    </row>
    <row r="115" spans="1:15">
      <c r="A115" s="154"/>
      <c r="B115" s="160"/>
      <c r="C115" s="153"/>
      <c r="D115" s="153"/>
      <c r="E115" s="153"/>
      <c r="F115" s="153"/>
      <c r="G115" s="218"/>
      <c r="H115" s="153"/>
      <c r="I115" s="153"/>
      <c r="J115" s="153"/>
      <c r="K115" s="153"/>
      <c r="M115" s="166"/>
      <c r="N115" s="153"/>
      <c r="O115" s="160"/>
    </row>
    <row r="116" spans="1:15">
      <c r="A116" s="154" t="s">
        <v>413</v>
      </c>
      <c r="B116" s="160" t="s">
        <v>414</v>
      </c>
      <c r="C116" s="210"/>
      <c r="D116" s="225">
        <f>CWIP!H22</f>
        <v>12378619.471973855</v>
      </c>
      <c r="E116" s="153"/>
      <c r="F116" s="153" t="s">
        <v>415</v>
      </c>
      <c r="G116" s="226">
        <v>1</v>
      </c>
      <c r="H116" s="153"/>
      <c r="I116" s="153">
        <f>+G116*D116</f>
        <v>12378619.471973855</v>
      </c>
      <c r="J116" s="153"/>
      <c r="K116" s="153"/>
      <c r="M116" s="166"/>
      <c r="N116" s="153"/>
      <c r="O116" s="160"/>
    </row>
    <row r="117" spans="1:15">
      <c r="A117" s="154"/>
      <c r="C117" s="153"/>
      <c r="E117" s="153"/>
      <c r="H117" s="153"/>
      <c r="J117" s="153"/>
      <c r="K117" s="218"/>
      <c r="M117" s="153"/>
      <c r="N117" s="153"/>
      <c r="O117" s="160"/>
    </row>
    <row r="118" spans="1:15">
      <c r="A118" s="154"/>
      <c r="B118" s="143" t="s">
        <v>416</v>
      </c>
      <c r="C118" s="153"/>
      <c r="D118" s="153"/>
      <c r="E118" s="153"/>
      <c r="F118" s="153"/>
      <c r="G118" s="153"/>
      <c r="H118" s="153"/>
      <c r="I118" s="153"/>
      <c r="J118" s="153"/>
      <c r="K118" s="153"/>
      <c r="M118" s="153" t="s">
        <v>281</v>
      </c>
      <c r="N118" s="153"/>
      <c r="O118" s="160"/>
    </row>
    <row r="119" spans="1:15">
      <c r="A119" s="154">
        <v>19</v>
      </c>
      <c r="B119" s="160" t="s">
        <v>417</v>
      </c>
      <c r="C119" s="153"/>
      <c r="D119" s="227">
        <v>0</v>
      </c>
      <c r="E119" s="153"/>
      <c r="F119" s="153"/>
      <c r="G119" s="228" t="s">
        <v>418</v>
      </c>
      <c r="H119" s="153"/>
      <c r="I119" s="153">
        <v>0</v>
      </c>
      <c r="J119" s="153"/>
      <c r="K119" s="218"/>
      <c r="M119" s="218"/>
      <c r="N119" s="148"/>
      <c r="O119" s="160"/>
    </row>
    <row r="120" spans="1:15">
      <c r="A120" s="154">
        <v>20</v>
      </c>
      <c r="B120" s="160" t="s">
        <v>419</v>
      </c>
      <c r="C120" s="153"/>
      <c r="D120" s="227">
        <v>0</v>
      </c>
      <c r="E120" s="153"/>
      <c r="F120" s="153" t="s">
        <v>420</v>
      </c>
      <c r="G120" s="203">
        <f>+G114</f>
        <v>0.48687078717787918</v>
      </c>
      <c r="H120" s="153"/>
      <c r="I120" s="153">
        <f>D120*G120</f>
        <v>0</v>
      </c>
      <c r="J120" s="153"/>
      <c r="K120" s="218"/>
      <c r="M120" s="218"/>
      <c r="N120" s="148"/>
      <c r="O120" s="160"/>
    </row>
    <row r="121" spans="1:15">
      <c r="A121" s="154">
        <v>21</v>
      </c>
      <c r="B121" s="160" t="s">
        <v>421</v>
      </c>
      <c r="C121" s="153"/>
      <c r="D121" s="229">
        <v>0</v>
      </c>
      <c r="E121" s="153"/>
      <c r="F121" s="153" t="s">
        <v>420</v>
      </c>
      <c r="G121" s="203">
        <f>+G120</f>
        <v>0.48687078717787918</v>
      </c>
      <c r="H121" s="153"/>
      <c r="I121" s="153">
        <f>D121*G121</f>
        <v>0</v>
      </c>
      <c r="J121" s="153"/>
      <c r="K121" s="218"/>
      <c r="M121" s="218"/>
      <c r="N121" s="148"/>
      <c r="O121" s="160"/>
    </row>
    <row r="122" spans="1:15">
      <c r="A122" s="154">
        <v>22</v>
      </c>
      <c r="B122" s="160" t="s">
        <v>422</v>
      </c>
      <c r="C122" s="153"/>
      <c r="D122" s="229">
        <v>0</v>
      </c>
      <c r="E122" s="153"/>
      <c r="F122" s="153" t="str">
        <f>+F121</f>
        <v>NP</v>
      </c>
      <c r="G122" s="203">
        <f>+G121</f>
        <v>0.48687078717787918</v>
      </c>
      <c r="H122" s="153"/>
      <c r="I122" s="153">
        <f>D122*G122</f>
        <v>0</v>
      </c>
      <c r="J122" s="153"/>
      <c r="K122" s="218"/>
      <c r="M122" s="218"/>
      <c r="N122" s="148"/>
      <c r="O122" s="160"/>
    </row>
    <row r="123" spans="1:15">
      <c r="A123" s="154">
        <v>23</v>
      </c>
      <c r="B123" s="142" t="s">
        <v>423</v>
      </c>
      <c r="D123" s="229">
        <v>0</v>
      </c>
      <c r="E123" s="153"/>
      <c r="F123" s="153" t="s">
        <v>420</v>
      </c>
      <c r="G123" s="203">
        <f>+G121</f>
        <v>0.48687078717787918</v>
      </c>
      <c r="H123" s="153"/>
      <c r="I123" s="230">
        <f>D123*G123</f>
        <v>0</v>
      </c>
      <c r="J123" s="153"/>
      <c r="K123" s="153"/>
      <c r="M123" s="223"/>
      <c r="N123" s="153"/>
      <c r="O123" s="160"/>
    </row>
    <row r="124" spans="1:15" ht="16.5" thickBot="1">
      <c r="A124" s="154" t="s">
        <v>424</v>
      </c>
      <c r="B124" s="142" t="s">
        <v>425</v>
      </c>
      <c r="C124" s="222"/>
      <c r="D124" s="216">
        <v>0</v>
      </c>
      <c r="E124" s="153"/>
      <c r="F124" s="153" t="s">
        <v>415</v>
      </c>
      <c r="G124" s="203">
        <v>1</v>
      </c>
      <c r="H124" s="210"/>
      <c r="I124" s="165">
        <f>D124*G124</f>
        <v>0</v>
      </c>
      <c r="J124" s="153"/>
      <c r="K124" s="153"/>
      <c r="M124" s="223"/>
      <c r="N124" s="153"/>
      <c r="O124" s="160"/>
    </row>
    <row r="125" spans="1:15">
      <c r="A125" s="154">
        <v>24</v>
      </c>
      <c r="B125" s="160" t="s">
        <v>426</v>
      </c>
      <c r="C125" s="153"/>
      <c r="D125" s="153">
        <f>SUM(D119:D124)</f>
        <v>0</v>
      </c>
      <c r="E125" s="153"/>
      <c r="F125" s="153"/>
      <c r="G125" s="153"/>
      <c r="H125" s="153"/>
      <c r="I125" s="153">
        <f>SUM(I119:I124)</f>
        <v>0</v>
      </c>
      <c r="J125" s="153"/>
      <c r="K125" s="218"/>
      <c r="M125" s="153"/>
      <c r="N125" s="153"/>
      <c r="O125" s="160"/>
    </row>
    <row r="126" spans="1:15">
      <c r="A126" s="154"/>
      <c r="B126" s="160"/>
      <c r="C126" s="153"/>
      <c r="D126" s="153"/>
      <c r="E126" s="153"/>
      <c r="F126" s="153"/>
      <c r="G126" s="153"/>
      <c r="H126" s="153"/>
      <c r="I126" s="153"/>
      <c r="J126" s="153"/>
      <c r="K126" s="218"/>
      <c r="M126" s="153"/>
      <c r="N126" s="153"/>
      <c r="O126" s="160"/>
    </row>
    <row r="127" spans="1:15">
      <c r="A127" s="154">
        <v>25</v>
      </c>
      <c r="B127" s="143" t="s">
        <v>427</v>
      </c>
      <c r="C127" s="153" t="s">
        <v>428</v>
      </c>
      <c r="D127" s="227">
        <v>0</v>
      </c>
      <c r="E127" s="153"/>
      <c r="F127" s="153" t="str">
        <f>+F100</f>
        <v>TP</v>
      </c>
      <c r="G127" s="203">
        <f>+G100</f>
        <v>1</v>
      </c>
      <c r="H127" s="153"/>
      <c r="I127" s="153">
        <f>+G127*D127</f>
        <v>0</v>
      </c>
      <c r="J127" s="153"/>
      <c r="K127" s="153"/>
      <c r="M127" s="153"/>
      <c r="N127" s="153"/>
      <c r="O127" s="160"/>
    </row>
    <row r="128" spans="1:15">
      <c r="A128" s="154"/>
      <c r="B128" s="160"/>
      <c r="C128" s="153"/>
      <c r="D128" s="153"/>
      <c r="E128" s="153"/>
      <c r="F128" s="153"/>
      <c r="G128" s="153"/>
      <c r="H128" s="153"/>
      <c r="I128" s="153"/>
      <c r="J128" s="153"/>
      <c r="K128" s="153"/>
      <c r="M128" s="153"/>
      <c r="N128" s="153"/>
      <c r="O128" s="160"/>
    </row>
    <row r="129" spans="1:15">
      <c r="A129" s="154"/>
      <c r="B129" s="160" t="s">
        <v>429</v>
      </c>
      <c r="C129" s="153" t="s">
        <v>430</v>
      </c>
      <c r="D129" s="153"/>
      <c r="E129" s="153"/>
      <c r="F129" s="153"/>
      <c r="G129" s="153"/>
      <c r="H129" s="153"/>
      <c r="I129" s="153"/>
      <c r="J129" s="153"/>
      <c r="K129" s="153"/>
      <c r="M129" s="153"/>
      <c r="N129" s="153"/>
      <c r="O129" s="160"/>
    </row>
    <row r="130" spans="1:15">
      <c r="A130" s="154">
        <v>26</v>
      </c>
      <c r="B130" s="160" t="s">
        <v>431</v>
      </c>
      <c r="D130" s="153">
        <f>D159/8</f>
        <v>1778082.125</v>
      </c>
      <c r="E130" s="153"/>
      <c r="F130" s="153"/>
      <c r="G130" s="218"/>
      <c r="H130" s="153"/>
      <c r="I130" s="153">
        <f>I159/8</f>
        <v>747302.69785125402</v>
      </c>
      <c r="J130" s="146"/>
      <c r="K130" s="218"/>
      <c r="M130" s="231"/>
      <c r="N130" s="194"/>
      <c r="O130" s="160"/>
    </row>
    <row r="131" spans="1:15">
      <c r="A131" s="154">
        <v>27</v>
      </c>
      <c r="B131" s="160" t="s">
        <v>432</v>
      </c>
      <c r="C131" s="142" t="s">
        <v>433</v>
      </c>
      <c r="D131" s="177">
        <f>'Materials and Prepayments'!E22</f>
        <v>294413</v>
      </c>
      <c r="E131" s="153"/>
      <c r="F131" s="153" t="s">
        <v>434</v>
      </c>
      <c r="G131" s="203">
        <f>I234</f>
        <v>0.9921147693982717</v>
      </c>
      <c r="H131" s="153"/>
      <c r="I131" s="153">
        <f>G131*D131</f>
        <v>292091.48560285335</v>
      </c>
      <c r="J131" s="153" t="s">
        <v>281</v>
      </c>
      <c r="K131" s="218"/>
      <c r="M131" s="231"/>
      <c r="N131" s="148"/>
      <c r="O131" s="160"/>
    </row>
    <row r="132" spans="1:15" ht="16.5" thickBot="1">
      <c r="A132" s="154">
        <v>28</v>
      </c>
      <c r="B132" s="160" t="s">
        <v>435</v>
      </c>
      <c r="C132" s="142" t="s">
        <v>436</v>
      </c>
      <c r="D132" s="232">
        <f>'Materials and Prepayments'!F22</f>
        <v>2006509</v>
      </c>
      <c r="E132" s="153"/>
      <c r="F132" s="153" t="s">
        <v>437</v>
      </c>
      <c r="G132" s="203">
        <f>+G96</f>
        <v>0.33402279459636247</v>
      </c>
      <c r="H132" s="153"/>
      <c r="I132" s="165">
        <f>+G132*D132</f>
        <v>670219.74356275261</v>
      </c>
      <c r="J132" s="153"/>
      <c r="K132" s="218"/>
      <c r="M132" s="231"/>
      <c r="N132" s="148"/>
      <c r="O132" s="160"/>
    </row>
    <row r="133" spans="1:15">
      <c r="A133" s="154">
        <v>29</v>
      </c>
      <c r="B133" s="160" t="s">
        <v>438</v>
      </c>
      <c r="C133" s="146"/>
      <c r="D133" s="153">
        <f>D130+D131+D132</f>
        <v>4079004.125</v>
      </c>
      <c r="E133" s="146"/>
      <c r="F133" s="146"/>
      <c r="G133" s="146"/>
      <c r="H133" s="146"/>
      <c r="I133" s="153">
        <f>I130+I131+I132</f>
        <v>1709613.9270168599</v>
      </c>
      <c r="J133" s="146"/>
      <c r="K133" s="146"/>
      <c r="M133" s="223"/>
      <c r="N133" s="153"/>
      <c r="O133" s="160"/>
    </row>
    <row r="134" spans="1:15" ht="16.5" thickBot="1">
      <c r="C134" s="153"/>
      <c r="D134" s="233"/>
      <c r="E134" s="153"/>
      <c r="F134" s="153"/>
      <c r="G134" s="153"/>
      <c r="H134" s="153"/>
      <c r="I134" s="233"/>
      <c r="J134" s="153"/>
      <c r="K134" s="153"/>
      <c r="M134" s="153"/>
      <c r="N134" s="153"/>
      <c r="O134" s="160"/>
    </row>
    <row r="135" spans="1:15" ht="16.5" thickBot="1">
      <c r="A135" s="154">
        <v>30</v>
      </c>
      <c r="B135" s="160" t="s">
        <v>439</v>
      </c>
      <c r="C135" s="153"/>
      <c r="D135" s="234">
        <f>+D133+D127+D125+D114-D110-D124</f>
        <v>172312257.08624467</v>
      </c>
      <c r="E135" s="153"/>
      <c r="F135" s="153"/>
      <c r="G135" s="218"/>
      <c r="H135" s="153"/>
      <c r="I135" s="234">
        <f>+I133+I127+I125+I114-I110-I124</f>
        <v>39843744.931674808</v>
      </c>
      <c r="J135" s="153"/>
      <c r="K135" s="218"/>
      <c r="M135" s="153"/>
      <c r="N135" s="153"/>
      <c r="O135" s="160"/>
    </row>
    <row r="136" spans="1:15" ht="16.5" thickTop="1">
      <c r="A136" s="154"/>
      <c r="B136" s="160"/>
      <c r="C136" s="153"/>
      <c r="D136" s="153"/>
      <c r="E136" s="153"/>
      <c r="F136" s="153"/>
      <c r="G136" s="153"/>
      <c r="H136" s="153"/>
      <c r="I136" s="153"/>
      <c r="J136" s="153"/>
      <c r="K136" s="153"/>
      <c r="M136" s="153"/>
      <c r="N136" s="153"/>
      <c r="O136" s="160"/>
    </row>
    <row r="137" spans="1:15" ht="16.5" thickBot="1">
      <c r="A137" s="154" t="s">
        <v>440</v>
      </c>
      <c r="B137" s="160" t="s">
        <v>441</v>
      </c>
      <c r="C137" s="210"/>
      <c r="D137" s="235">
        <f>D110+D116+D124</f>
        <v>97686031.718746349</v>
      </c>
      <c r="E137" s="210"/>
      <c r="F137" s="210"/>
      <c r="G137" s="210"/>
      <c r="H137" s="210"/>
      <c r="I137" s="235">
        <f>I110+I116+I124</f>
        <v>97686031.718746349</v>
      </c>
      <c r="J137" s="153"/>
      <c r="K137" s="153"/>
      <c r="M137" s="153"/>
      <c r="N137" s="153"/>
      <c r="O137" s="160"/>
    </row>
    <row r="138" spans="1:15" ht="16.5" thickTop="1">
      <c r="A138" s="154"/>
      <c r="B138" s="160"/>
      <c r="C138" s="153"/>
      <c r="D138" s="153"/>
      <c r="E138" s="153"/>
      <c r="F138" s="153"/>
      <c r="G138" s="153"/>
      <c r="H138" s="153"/>
      <c r="I138" s="153"/>
      <c r="J138" s="153"/>
      <c r="K138" s="153"/>
      <c r="M138" s="153"/>
      <c r="N138" s="153"/>
      <c r="O138" s="160"/>
    </row>
    <row r="139" spans="1:15">
      <c r="A139" s="154"/>
      <c r="B139" s="160"/>
      <c r="C139" s="153"/>
      <c r="D139" s="153"/>
      <c r="E139" s="153"/>
      <c r="F139" s="153"/>
      <c r="G139" s="153"/>
      <c r="H139" s="153"/>
      <c r="I139" s="153"/>
      <c r="J139" s="153"/>
      <c r="K139" s="153"/>
      <c r="M139" s="153"/>
      <c r="N139" s="153"/>
      <c r="O139" s="160"/>
    </row>
    <row r="140" spans="1:15">
      <c r="B140" s="143"/>
      <c r="C140" s="143"/>
      <c r="D140" s="144"/>
      <c r="E140" s="143"/>
      <c r="F140" s="143"/>
      <c r="G140" s="143"/>
      <c r="H140" s="145"/>
      <c r="I140" s="146"/>
      <c r="K140" s="147" t="s">
        <v>442</v>
      </c>
      <c r="M140" s="146"/>
      <c r="N140" s="146"/>
      <c r="O140" s="146"/>
    </row>
    <row r="141" spans="1:15">
      <c r="A141" s="154"/>
      <c r="B141" s="160"/>
      <c r="C141" s="153"/>
      <c r="D141" s="153"/>
      <c r="E141" s="153"/>
      <c r="F141" s="153"/>
      <c r="G141" s="153"/>
      <c r="H141" s="153"/>
      <c r="I141" s="153"/>
      <c r="J141" s="153"/>
      <c r="K141" s="153"/>
      <c r="M141" s="153"/>
      <c r="N141" s="153"/>
      <c r="O141" s="160"/>
    </row>
    <row r="142" spans="1:15">
      <c r="A142" s="154"/>
      <c r="B142" s="160" t="str">
        <f>B3</f>
        <v xml:space="preserve">Formula Rate - Non-Levelized </v>
      </c>
      <c r="C142" s="153"/>
      <c r="D142" s="153" t="str">
        <f>D3</f>
        <v xml:space="preserve">   Rate Formula Template</v>
      </c>
      <c r="E142" s="153"/>
      <c r="F142" s="153"/>
      <c r="G142" s="153"/>
      <c r="H142" s="153"/>
      <c r="J142" s="153"/>
      <c r="K142" s="236" t="str">
        <f>K3</f>
        <v>For the 12 months ended 12/31/15</v>
      </c>
      <c r="M142" s="153"/>
      <c r="N142" s="153"/>
      <c r="O142" s="160"/>
    </row>
    <row r="143" spans="1:15">
      <c r="A143" s="154"/>
      <c r="B143" s="160"/>
      <c r="C143" s="153"/>
      <c r="D143" s="153" t="str">
        <f>D4</f>
        <v>Utilizing EIA Form 412 Data</v>
      </c>
      <c r="E143" s="153"/>
      <c r="F143" s="153"/>
      <c r="G143" s="153"/>
      <c r="H143" s="153"/>
      <c r="I143" s="153"/>
      <c r="J143" s="153"/>
      <c r="K143" s="153"/>
      <c r="M143" s="153"/>
      <c r="N143" s="153"/>
      <c r="O143" s="160"/>
    </row>
    <row r="144" spans="1:15">
      <c r="A144" s="154"/>
      <c r="C144" s="153"/>
      <c r="D144" s="153"/>
      <c r="E144" s="153"/>
      <c r="F144" s="153"/>
      <c r="G144" s="153"/>
      <c r="H144" s="153"/>
      <c r="I144" s="153"/>
      <c r="J144" s="153"/>
      <c r="K144" s="153"/>
      <c r="M144" s="153"/>
      <c r="N144" s="153"/>
      <c r="O144" s="160"/>
    </row>
    <row r="145" spans="1:15">
      <c r="A145" s="154"/>
      <c r="D145" s="142" t="str">
        <f>D6</f>
        <v>MRES</v>
      </c>
      <c r="J145" s="153"/>
      <c r="K145" s="153"/>
      <c r="M145" s="153"/>
      <c r="N145" s="153"/>
      <c r="O145" s="160"/>
    </row>
    <row r="146" spans="1:15">
      <c r="A146" s="154"/>
      <c r="B146" s="148" t="s">
        <v>365</v>
      </c>
      <c r="C146" s="148" t="s">
        <v>366</v>
      </c>
      <c r="D146" s="148" t="s">
        <v>367</v>
      </c>
      <c r="E146" s="153" t="s">
        <v>281</v>
      </c>
      <c r="F146" s="153"/>
      <c r="G146" s="195" t="s">
        <v>368</v>
      </c>
      <c r="H146" s="153"/>
      <c r="I146" s="196" t="s">
        <v>369</v>
      </c>
      <c r="J146" s="153"/>
      <c r="K146" s="153"/>
      <c r="M146" s="146"/>
      <c r="N146" s="153"/>
      <c r="O146" s="160"/>
    </row>
    <row r="147" spans="1:15">
      <c r="A147" s="154" t="s">
        <v>284</v>
      </c>
      <c r="B147" s="160"/>
      <c r="C147" s="197" t="s">
        <v>370</v>
      </c>
      <c r="D147" s="153"/>
      <c r="E147" s="153"/>
      <c r="F147" s="153"/>
      <c r="G147" s="154"/>
      <c r="H147" s="153"/>
      <c r="I147" s="198" t="s">
        <v>24</v>
      </c>
      <c r="J147" s="153"/>
      <c r="K147" s="198"/>
      <c r="M147" s="154"/>
      <c r="N147" s="153"/>
      <c r="O147" s="160"/>
    </row>
    <row r="148" spans="1:15" ht="16.5" thickBot="1">
      <c r="A148" s="157" t="s">
        <v>286</v>
      </c>
      <c r="B148" s="160"/>
      <c r="C148" s="200" t="s">
        <v>372</v>
      </c>
      <c r="D148" s="198" t="s">
        <v>373</v>
      </c>
      <c r="E148" s="201"/>
      <c r="F148" s="198" t="s">
        <v>374</v>
      </c>
      <c r="H148" s="201"/>
      <c r="I148" s="154" t="s">
        <v>375</v>
      </c>
      <c r="J148" s="153"/>
      <c r="K148" s="198"/>
      <c r="M148" s="198"/>
      <c r="N148" s="153"/>
      <c r="O148" s="160"/>
    </row>
    <row r="149" spans="1:15">
      <c r="A149" s="154"/>
      <c r="B149" s="160" t="s">
        <v>443</v>
      </c>
      <c r="C149" s="153"/>
      <c r="D149" s="153"/>
      <c r="E149" s="153"/>
      <c r="F149" s="153"/>
      <c r="G149" s="153"/>
      <c r="H149" s="153"/>
      <c r="I149" s="153"/>
      <c r="J149" s="153"/>
      <c r="K149" s="153"/>
      <c r="M149" s="153"/>
      <c r="N149" s="153"/>
      <c r="O149" s="160"/>
    </row>
    <row r="150" spans="1:15">
      <c r="A150" s="154">
        <v>1</v>
      </c>
      <c r="B150" s="160" t="s">
        <v>444</v>
      </c>
      <c r="C150" s="142" t="s">
        <v>445</v>
      </c>
      <c r="D150" s="177">
        <f>Trans_OM!D34</f>
        <v>36579019</v>
      </c>
      <c r="E150" s="153"/>
      <c r="F150" s="153" t="s">
        <v>434</v>
      </c>
      <c r="G150" s="203">
        <f>I234</f>
        <v>0.9921147693982717</v>
      </c>
      <c r="H150" s="153"/>
      <c r="I150" s="153">
        <f t="shared" ref="I150:I158" si="2">+G150*D150</f>
        <v>36290585</v>
      </c>
      <c r="J150" s="146"/>
      <c r="K150" s="153"/>
      <c r="M150" s="153"/>
      <c r="N150" s="148"/>
      <c r="O150" s="153" t="s">
        <v>281</v>
      </c>
    </row>
    <row r="151" spans="1:15">
      <c r="A151" s="237" t="s">
        <v>446</v>
      </c>
      <c r="B151" s="238" t="s">
        <v>447</v>
      </c>
      <c r="C151" s="239"/>
      <c r="D151" s="177">
        <v>0</v>
      </c>
      <c r="E151" s="153"/>
      <c r="F151" s="240"/>
      <c r="G151" s="203">
        <v>1</v>
      </c>
      <c r="H151" s="153"/>
      <c r="I151" s="153">
        <f>+G151*D151</f>
        <v>0</v>
      </c>
      <c r="J151" s="146"/>
      <c r="K151" s="153"/>
      <c r="M151" s="153"/>
      <c r="N151" s="148"/>
      <c r="O151" s="153"/>
    </row>
    <row r="152" spans="1:15">
      <c r="A152" s="154">
        <v>2</v>
      </c>
      <c r="B152" s="160" t="s">
        <v>448</v>
      </c>
      <c r="C152" s="142" t="s">
        <v>281</v>
      </c>
      <c r="D152" s="177">
        <f>Trans_OM!D19</f>
        <v>32408617</v>
      </c>
      <c r="E152" s="153"/>
      <c r="F152" s="153" t="s">
        <v>434</v>
      </c>
      <c r="G152" s="203">
        <f>+G150</f>
        <v>0.9921147693982717</v>
      </c>
      <c r="H152" s="153"/>
      <c r="I152" s="153">
        <f t="shared" si="2"/>
        <v>32153067.581471909</v>
      </c>
      <c r="J152" s="146"/>
      <c r="K152" s="153"/>
      <c r="M152" s="153"/>
      <c r="N152" s="148"/>
      <c r="O152" s="153"/>
    </row>
    <row r="153" spans="1:15">
      <c r="A153" s="154">
        <v>3</v>
      </c>
      <c r="B153" s="160" t="s">
        <v>449</v>
      </c>
      <c r="C153" s="142" t="s">
        <v>450</v>
      </c>
      <c r="D153" s="177">
        <f>'A&amp;G'!E22</f>
        <v>10411255</v>
      </c>
      <c r="E153" s="153"/>
      <c r="F153" s="153" t="s">
        <v>392</v>
      </c>
      <c r="G153" s="203">
        <f>I241</f>
        <v>0.16667736022685495</v>
      </c>
      <c r="H153" s="153"/>
      <c r="I153" s="153">
        <f t="shared" si="2"/>
        <v>1735320.5000486446</v>
      </c>
      <c r="J153" s="153"/>
      <c r="K153" s="153" t="s">
        <v>281</v>
      </c>
      <c r="M153" s="153"/>
      <c r="N153" s="148"/>
      <c r="O153" s="160"/>
    </row>
    <row r="154" spans="1:15">
      <c r="A154" s="154">
        <v>4</v>
      </c>
      <c r="B154" s="160" t="s">
        <v>451</v>
      </c>
      <c r="C154" s="153"/>
      <c r="D154" s="177">
        <v>0</v>
      </c>
      <c r="E154" s="153"/>
      <c r="F154" s="153" t="str">
        <f>+F153</f>
        <v>W/S</v>
      </c>
      <c r="G154" s="203">
        <f>I241</f>
        <v>0.16667736022685495</v>
      </c>
      <c r="H154" s="153"/>
      <c r="I154" s="153">
        <f t="shared" si="2"/>
        <v>0</v>
      </c>
      <c r="J154" s="153"/>
      <c r="K154" s="153"/>
      <c r="M154" s="153"/>
      <c r="N154" s="148"/>
      <c r="O154" s="160"/>
    </row>
    <row r="155" spans="1:15">
      <c r="A155" s="154">
        <v>5</v>
      </c>
      <c r="B155" s="160" t="s">
        <v>452</v>
      </c>
      <c r="C155" s="153"/>
      <c r="D155" s="177">
        <f>'A&amp;G'!E30</f>
        <v>557000</v>
      </c>
      <c r="E155" s="153"/>
      <c r="F155" s="153" t="str">
        <f>+F154</f>
        <v>W/S</v>
      </c>
      <c r="G155" s="203">
        <f>I241</f>
        <v>0.16667736022685495</v>
      </c>
      <c r="H155" s="153"/>
      <c r="I155" s="153">
        <f t="shared" si="2"/>
        <v>92839.2896463582</v>
      </c>
      <c r="J155" s="153"/>
      <c r="K155" s="153"/>
      <c r="M155" s="153"/>
      <c r="N155" s="148"/>
      <c r="O155" s="160"/>
    </row>
    <row r="156" spans="1:15">
      <c r="A156" s="154" t="s">
        <v>453</v>
      </c>
      <c r="B156" s="160" t="s">
        <v>454</v>
      </c>
      <c r="C156" s="153"/>
      <c r="D156" s="177">
        <f>'A&amp;G'!E31</f>
        <v>200000</v>
      </c>
      <c r="E156" s="153"/>
      <c r="F156" s="153" t="str">
        <f>+F150</f>
        <v>TE</v>
      </c>
      <c r="G156" s="203">
        <f>+G150</f>
        <v>0.9921147693982717</v>
      </c>
      <c r="H156" s="153"/>
      <c r="I156" s="153">
        <f t="shared" si="2"/>
        <v>198422.95387965435</v>
      </c>
      <c r="J156" s="153"/>
      <c r="K156" s="153"/>
      <c r="M156" s="153"/>
      <c r="N156" s="148"/>
      <c r="O156" s="160"/>
    </row>
    <row r="157" spans="1:15">
      <c r="A157" s="154">
        <v>6</v>
      </c>
      <c r="B157" s="160" t="s">
        <v>393</v>
      </c>
      <c r="C157" s="153"/>
      <c r="D157" s="177">
        <v>0</v>
      </c>
      <c r="E157" s="153"/>
      <c r="F157" s="153" t="s">
        <v>394</v>
      </c>
      <c r="G157" s="203">
        <f>K245</f>
        <v>0.16667736022685495</v>
      </c>
      <c r="H157" s="153"/>
      <c r="I157" s="153">
        <f t="shared" si="2"/>
        <v>0</v>
      </c>
      <c r="J157" s="153"/>
      <c r="K157" s="153"/>
      <c r="M157" s="153"/>
      <c r="N157" s="148"/>
      <c r="O157" s="160"/>
    </row>
    <row r="158" spans="1:15" ht="16.5" thickBot="1">
      <c r="A158" s="154">
        <v>7</v>
      </c>
      <c r="B158" s="160" t="s">
        <v>455</v>
      </c>
      <c r="C158" s="153"/>
      <c r="D158" s="232">
        <v>0</v>
      </c>
      <c r="E158" s="153"/>
      <c r="F158" s="153" t="s">
        <v>380</v>
      </c>
      <c r="G158" s="203">
        <v>1</v>
      </c>
      <c r="H158" s="153"/>
      <c r="I158" s="165">
        <f t="shared" si="2"/>
        <v>0</v>
      </c>
      <c r="J158" s="153"/>
      <c r="K158" s="153"/>
      <c r="M158" s="153"/>
      <c r="N158" s="194"/>
      <c r="O158" s="160"/>
    </row>
    <row r="159" spans="1:15">
      <c r="A159" s="237">
        <v>8</v>
      </c>
      <c r="B159" s="238" t="s">
        <v>456</v>
      </c>
      <c r="C159" s="241"/>
      <c r="D159" s="241">
        <f>+D150-D152+D153-D154-D155+D156+D157+D158-D151</f>
        <v>14224657</v>
      </c>
      <c r="E159" s="241"/>
      <c r="F159" s="241"/>
      <c r="G159" s="241"/>
      <c r="H159" s="241"/>
      <c r="I159" s="241">
        <f>+I150-I152+I153-I154-I155+I156+I157+I158-I151</f>
        <v>5978421.5828100322</v>
      </c>
      <c r="J159" s="241"/>
      <c r="K159" s="241"/>
      <c r="L159" s="239"/>
      <c r="M159" s="242"/>
      <c r="N159" s="243"/>
      <c r="O159" s="160"/>
    </row>
    <row r="160" spans="1:15">
      <c r="A160" s="154"/>
      <c r="C160" s="153"/>
      <c r="E160" s="153"/>
      <c r="F160" s="153"/>
      <c r="G160" s="153"/>
      <c r="H160" s="153"/>
      <c r="J160" s="153"/>
      <c r="K160" s="153"/>
      <c r="M160" s="153"/>
      <c r="N160" s="153"/>
      <c r="O160" s="160"/>
    </row>
    <row r="161" spans="1:15">
      <c r="A161" s="154"/>
      <c r="B161" s="160" t="s">
        <v>457</v>
      </c>
      <c r="C161" s="153"/>
      <c r="D161" s="153"/>
      <c r="E161" s="153"/>
      <c r="F161" s="153"/>
      <c r="G161" s="153"/>
      <c r="H161" s="153"/>
      <c r="I161" s="153"/>
      <c r="J161" s="153"/>
      <c r="K161" s="153"/>
      <c r="M161" s="153"/>
      <c r="N161" s="153"/>
      <c r="O161" s="160"/>
    </row>
    <row r="162" spans="1:15">
      <c r="A162" s="154">
        <v>9</v>
      </c>
      <c r="B162" s="160" t="str">
        <f>+B150</f>
        <v xml:space="preserve">  Transmission </v>
      </c>
      <c r="C162" s="142" t="s">
        <v>281</v>
      </c>
      <c r="D162" s="177">
        <f>Other_Exp_Inc!E11</f>
        <v>2895194.2757768086</v>
      </c>
      <c r="E162" s="153"/>
      <c r="F162" s="153" t="s">
        <v>293</v>
      </c>
      <c r="G162" s="203">
        <f>+G127</f>
        <v>1</v>
      </c>
      <c r="H162" s="153"/>
      <c r="I162" s="153">
        <f>+G162*D162</f>
        <v>2895194.2757768086</v>
      </c>
      <c r="J162" s="153"/>
      <c r="K162" s="218"/>
      <c r="M162" s="153"/>
      <c r="N162" s="148"/>
      <c r="O162" s="153" t="s">
        <v>281</v>
      </c>
    </row>
    <row r="163" spans="1:15">
      <c r="A163" s="154" t="s">
        <v>458</v>
      </c>
      <c r="B163" s="194" t="s">
        <v>459</v>
      </c>
      <c r="C163" s="222"/>
      <c r="D163" s="177">
        <v>0</v>
      </c>
      <c r="E163" s="210"/>
      <c r="F163" s="153" t="s">
        <v>415</v>
      </c>
      <c r="G163" s="203">
        <v>1</v>
      </c>
      <c r="H163" s="210"/>
      <c r="I163" s="153">
        <f>+G163*D163</f>
        <v>0</v>
      </c>
      <c r="J163" s="153"/>
      <c r="K163" s="218"/>
      <c r="M163" s="153"/>
      <c r="N163" s="148"/>
      <c r="O163" s="153"/>
    </row>
    <row r="164" spans="1:15">
      <c r="A164" s="154">
        <v>10</v>
      </c>
      <c r="B164" s="160" t="s">
        <v>460</v>
      </c>
      <c r="C164" s="142" t="s">
        <v>281</v>
      </c>
      <c r="D164" s="177">
        <f>Other_Exp_Inc!E12</f>
        <v>808513.53606666671</v>
      </c>
      <c r="E164" s="153"/>
      <c r="F164" s="153" t="s">
        <v>392</v>
      </c>
      <c r="G164" s="203">
        <f>+G153</f>
        <v>0.16667736022685495</v>
      </c>
      <c r="H164" s="153"/>
      <c r="I164" s="153">
        <f>+G164*D164</f>
        <v>134760.90189927208</v>
      </c>
      <c r="J164" s="153"/>
      <c r="K164" s="218"/>
      <c r="M164" s="153"/>
      <c r="N164" s="148"/>
      <c r="O164" s="153" t="s">
        <v>281</v>
      </c>
    </row>
    <row r="165" spans="1:15" ht="16.5" thickBot="1">
      <c r="A165" s="154">
        <v>11</v>
      </c>
      <c r="B165" s="160" t="str">
        <f>+B157</f>
        <v xml:space="preserve">  Common</v>
      </c>
      <c r="C165" s="153"/>
      <c r="D165" s="216">
        <v>0</v>
      </c>
      <c r="E165" s="153"/>
      <c r="F165" s="153" t="s">
        <v>394</v>
      </c>
      <c r="G165" s="203">
        <f>+G157</f>
        <v>0.16667736022685495</v>
      </c>
      <c r="H165" s="153"/>
      <c r="I165" s="165">
        <f>+G165*D165</f>
        <v>0</v>
      </c>
      <c r="J165" s="153"/>
      <c r="K165" s="218"/>
      <c r="M165" s="153"/>
      <c r="N165" s="148"/>
      <c r="O165" s="153" t="s">
        <v>281</v>
      </c>
    </row>
    <row r="166" spans="1:15">
      <c r="A166" s="154">
        <v>12</v>
      </c>
      <c r="B166" s="160" t="s">
        <v>461</v>
      </c>
      <c r="C166" s="153"/>
      <c r="D166" s="153">
        <f>SUM(D162:D165)</f>
        <v>3703707.8118434753</v>
      </c>
      <c r="E166" s="153"/>
      <c r="F166" s="153"/>
      <c r="G166" s="153"/>
      <c r="H166" s="153"/>
      <c r="I166" s="153">
        <f>SUM(I162:I165)</f>
        <v>3029955.1776760807</v>
      </c>
      <c r="J166" s="153"/>
      <c r="K166" s="153"/>
      <c r="M166" s="223"/>
      <c r="N166" s="153"/>
      <c r="O166" s="160"/>
    </row>
    <row r="167" spans="1:15">
      <c r="A167" s="154"/>
      <c r="B167" s="160"/>
      <c r="C167" s="153"/>
      <c r="D167" s="153"/>
      <c r="E167" s="153"/>
      <c r="F167" s="153"/>
      <c r="G167" s="153"/>
      <c r="H167" s="153"/>
      <c r="I167" s="153"/>
      <c r="J167" s="153"/>
      <c r="K167" s="153"/>
      <c r="M167" s="153"/>
      <c r="N167" s="153"/>
      <c r="O167" s="160"/>
    </row>
    <row r="168" spans="1:15">
      <c r="A168" s="154" t="s">
        <v>281</v>
      </c>
      <c r="B168" s="160" t="s">
        <v>462</v>
      </c>
      <c r="D168" s="153"/>
      <c r="E168" s="153"/>
      <c r="F168" s="153"/>
      <c r="G168" s="153"/>
      <c r="H168" s="153"/>
      <c r="I168" s="153"/>
      <c r="J168" s="153"/>
      <c r="K168" s="153"/>
      <c r="M168" s="153"/>
      <c r="N168" s="153"/>
      <c r="O168" s="160"/>
    </row>
    <row r="169" spans="1:15">
      <c r="A169" s="154"/>
      <c r="B169" s="160" t="s">
        <v>463</v>
      </c>
      <c r="E169" s="153"/>
      <c r="F169" s="153"/>
      <c r="H169" s="153"/>
      <c r="J169" s="153"/>
      <c r="K169" s="218"/>
      <c r="M169" s="231"/>
      <c r="N169" s="148"/>
      <c r="O169" s="160"/>
    </row>
    <row r="170" spans="1:15">
      <c r="A170" s="154">
        <v>13</v>
      </c>
      <c r="B170" s="160" t="s">
        <v>464</v>
      </c>
      <c r="C170" s="153"/>
      <c r="D170" s="227">
        <v>0</v>
      </c>
      <c r="E170" s="153"/>
      <c r="F170" s="153" t="s">
        <v>392</v>
      </c>
      <c r="G170" s="162">
        <f>+G164</f>
        <v>0.16667736022685495</v>
      </c>
      <c r="H170" s="153"/>
      <c r="I170" s="153">
        <f>+G170*D170</f>
        <v>0</v>
      </c>
      <c r="J170" s="153"/>
      <c r="K170" s="218"/>
      <c r="M170" s="231"/>
      <c r="N170" s="148"/>
      <c r="O170" s="160"/>
    </row>
    <row r="171" spans="1:15">
      <c r="A171" s="154">
        <v>14</v>
      </c>
      <c r="B171" s="160" t="s">
        <v>465</v>
      </c>
      <c r="C171" s="153"/>
      <c r="D171" s="227">
        <v>0</v>
      </c>
      <c r="E171" s="153"/>
      <c r="F171" s="153" t="str">
        <f>+F170</f>
        <v>W/S</v>
      </c>
      <c r="G171" s="162">
        <f>+G170</f>
        <v>0.16667736022685495</v>
      </c>
      <c r="H171" s="153"/>
      <c r="I171" s="153">
        <f>+G171*D171</f>
        <v>0</v>
      </c>
      <c r="J171" s="153"/>
      <c r="K171" s="218"/>
      <c r="M171" s="231"/>
      <c r="N171" s="148"/>
      <c r="O171" s="160"/>
    </row>
    <row r="172" spans="1:15">
      <c r="A172" s="154">
        <v>15</v>
      </c>
      <c r="B172" s="160" t="s">
        <v>466</v>
      </c>
      <c r="C172" s="153"/>
      <c r="E172" s="153"/>
      <c r="F172" s="153"/>
      <c r="H172" s="153"/>
      <c r="J172" s="153"/>
      <c r="K172" s="218"/>
      <c r="M172" s="231"/>
      <c r="N172" s="148"/>
      <c r="O172" s="160"/>
    </row>
    <row r="173" spans="1:15">
      <c r="A173" s="154">
        <v>16</v>
      </c>
      <c r="B173" s="160" t="s">
        <v>467</v>
      </c>
      <c r="C173" s="153"/>
      <c r="D173" s="227">
        <f>Other_Exp_Inc!E16</f>
        <v>2727590</v>
      </c>
      <c r="E173" s="153"/>
      <c r="F173" s="153" t="s">
        <v>437</v>
      </c>
      <c r="G173" s="162">
        <f>+G96</f>
        <v>0.33402279459636247</v>
      </c>
      <c r="H173" s="153"/>
      <c r="I173" s="153">
        <f>+G173*D173</f>
        <v>911077.23431309231</v>
      </c>
      <c r="J173" s="153"/>
      <c r="K173" s="218"/>
      <c r="M173" s="231"/>
      <c r="N173" s="148"/>
      <c r="O173" s="160"/>
    </row>
    <row r="174" spans="1:15">
      <c r="A174" s="154">
        <v>17</v>
      </c>
      <c r="B174" s="160" t="s">
        <v>468</v>
      </c>
      <c r="C174" s="153"/>
      <c r="D174" s="227">
        <v>0</v>
      </c>
      <c r="E174" s="153"/>
      <c r="F174" s="153" t="s">
        <v>380</v>
      </c>
      <c r="G174" s="244" t="s">
        <v>418</v>
      </c>
      <c r="H174" s="153"/>
      <c r="I174" s="153">
        <v>0</v>
      </c>
      <c r="J174" s="153"/>
      <c r="K174" s="218"/>
      <c r="M174" s="231"/>
      <c r="N174" s="148"/>
      <c r="O174" s="160"/>
    </row>
    <row r="175" spans="1:15">
      <c r="A175" s="154">
        <v>18</v>
      </c>
      <c r="B175" s="160" t="s">
        <v>469</v>
      </c>
      <c r="C175" s="153"/>
      <c r="D175" s="227">
        <v>0</v>
      </c>
      <c r="E175" s="153"/>
      <c r="F175" s="153" t="str">
        <f>+F173</f>
        <v>GP</v>
      </c>
      <c r="G175" s="162">
        <f>+G173</f>
        <v>0.33402279459636247</v>
      </c>
      <c r="H175" s="153"/>
      <c r="I175" s="153">
        <f>+G175*D175</f>
        <v>0</v>
      </c>
      <c r="J175" s="153"/>
      <c r="K175" s="218"/>
      <c r="M175" s="231"/>
      <c r="N175" s="148"/>
      <c r="O175" s="160"/>
    </row>
    <row r="176" spans="1:15" ht="16.5" thickBot="1">
      <c r="A176" s="154">
        <v>19</v>
      </c>
      <c r="B176" s="160" t="s">
        <v>470</v>
      </c>
      <c r="C176" s="153"/>
      <c r="D176" s="216">
        <v>0</v>
      </c>
      <c r="E176" s="153"/>
      <c r="F176" s="153" t="s">
        <v>437</v>
      </c>
      <c r="G176" s="162">
        <f>+G175</f>
        <v>0.33402279459636247</v>
      </c>
      <c r="H176" s="153"/>
      <c r="I176" s="165">
        <f>+G176*D176</f>
        <v>0</v>
      </c>
      <c r="J176" s="153"/>
      <c r="K176" s="218"/>
      <c r="M176" s="231"/>
      <c r="N176" s="148"/>
      <c r="O176" s="160"/>
    </row>
    <row r="177" spans="1:15">
      <c r="A177" s="154">
        <v>20</v>
      </c>
      <c r="B177" s="160" t="s">
        <v>471</v>
      </c>
      <c r="C177" s="153"/>
      <c r="D177" s="153">
        <f>SUM(D170:D176)</f>
        <v>2727590</v>
      </c>
      <c r="E177" s="153"/>
      <c r="F177" s="153"/>
      <c r="G177" s="162"/>
      <c r="H177" s="153"/>
      <c r="I177" s="153">
        <f>SUM(I170:I176)</f>
        <v>911077.23431309231</v>
      </c>
      <c r="J177" s="153"/>
      <c r="K177" s="153"/>
      <c r="M177" s="223"/>
      <c r="N177" s="153"/>
      <c r="O177" s="160"/>
    </row>
    <row r="178" spans="1:15">
      <c r="A178" s="154" t="s">
        <v>472</v>
      </c>
      <c r="B178" s="160"/>
      <c r="C178" s="153"/>
      <c r="D178" s="153"/>
      <c r="E178" s="153"/>
      <c r="F178" s="153"/>
      <c r="G178" s="162"/>
      <c r="H178" s="153"/>
      <c r="I178" s="153"/>
      <c r="J178" s="153"/>
      <c r="K178" s="153"/>
      <c r="M178" s="153"/>
      <c r="N178" s="153"/>
      <c r="O178" s="160"/>
    </row>
    <row r="179" spans="1:15">
      <c r="A179" s="154" t="s">
        <v>281</v>
      </c>
      <c r="B179" s="160" t="s">
        <v>473</v>
      </c>
      <c r="C179" s="245" t="s">
        <v>474</v>
      </c>
      <c r="D179" s="153"/>
      <c r="E179" s="153"/>
      <c r="F179" s="153" t="s">
        <v>380</v>
      </c>
      <c r="G179" s="246"/>
      <c r="H179" s="153"/>
      <c r="I179" s="153"/>
      <c r="J179" s="153"/>
      <c r="M179" s="153"/>
      <c r="N179" s="194"/>
      <c r="O179" s="153" t="s">
        <v>281</v>
      </c>
    </row>
    <row r="180" spans="1:15">
      <c r="A180" s="154">
        <v>21</v>
      </c>
      <c r="B180" s="247" t="s">
        <v>475</v>
      </c>
      <c r="C180" s="153"/>
      <c r="D180" s="248">
        <f>IF(D307&gt;0,1-(((1-D308)*(1-D307))/(1-D308*D307*D309)),0)</f>
        <v>0</v>
      </c>
      <c r="E180" s="153"/>
      <c r="G180" s="246"/>
      <c r="H180" s="153"/>
      <c r="J180" s="153"/>
      <c r="M180" s="153"/>
      <c r="N180" s="194"/>
      <c r="O180" s="153"/>
    </row>
    <row r="181" spans="1:15">
      <c r="A181" s="154">
        <v>22</v>
      </c>
      <c r="B181" s="142" t="s">
        <v>476</v>
      </c>
      <c r="C181" s="153"/>
      <c r="D181" s="248">
        <f>IF(I255&gt;0,(D180/(1-D180))*(1-I253/I255),0)</f>
        <v>0</v>
      </c>
      <c r="E181" s="153"/>
      <c r="G181" s="246"/>
      <c r="H181" s="153"/>
      <c r="J181" s="153"/>
      <c r="M181" s="153"/>
      <c r="N181" s="148"/>
      <c r="O181" s="153"/>
    </row>
    <row r="182" spans="1:15">
      <c r="A182" s="154"/>
      <c r="B182" s="160" t="s">
        <v>477</v>
      </c>
      <c r="C182" s="153"/>
      <c r="D182" s="153"/>
      <c r="E182" s="153"/>
      <c r="G182" s="246"/>
      <c r="H182" s="153"/>
      <c r="J182" s="153"/>
      <c r="M182" s="153"/>
      <c r="N182" s="148"/>
      <c r="O182" s="153"/>
    </row>
    <row r="183" spans="1:15">
      <c r="A183" s="154"/>
      <c r="B183" s="160" t="s">
        <v>478</v>
      </c>
      <c r="C183" s="153"/>
      <c r="D183" s="153"/>
      <c r="E183" s="153"/>
      <c r="G183" s="246"/>
      <c r="H183" s="153"/>
      <c r="J183" s="153"/>
      <c r="M183" s="153"/>
      <c r="N183" s="148"/>
      <c r="O183" s="153"/>
    </row>
    <row r="184" spans="1:15">
      <c r="A184" s="154">
        <v>23</v>
      </c>
      <c r="B184" s="247" t="s">
        <v>479</v>
      </c>
      <c r="C184" s="153"/>
      <c r="D184" s="249">
        <f>IF(D180&gt;0,1/(1-D180),0)</f>
        <v>0</v>
      </c>
      <c r="E184" s="153"/>
      <c r="G184" s="246"/>
      <c r="H184" s="153"/>
      <c r="J184" s="153"/>
      <c r="M184" s="153"/>
      <c r="N184" s="148"/>
      <c r="O184" s="153"/>
    </row>
    <row r="185" spans="1:15">
      <c r="A185" s="154">
        <v>24</v>
      </c>
      <c r="B185" s="160" t="s">
        <v>480</v>
      </c>
      <c r="C185" s="153"/>
      <c r="D185" s="227">
        <v>0</v>
      </c>
      <c r="E185" s="153"/>
      <c r="G185" s="246"/>
      <c r="H185" s="153"/>
      <c r="J185" s="153"/>
      <c r="M185" s="153"/>
      <c r="N185" s="148"/>
      <c r="O185" s="153"/>
    </row>
    <row r="186" spans="1:15">
      <c r="A186" s="154"/>
      <c r="B186" s="160"/>
      <c r="C186" s="153"/>
      <c r="D186" s="153"/>
      <c r="E186" s="153"/>
      <c r="G186" s="246"/>
      <c r="H186" s="153"/>
      <c r="J186" s="153"/>
      <c r="M186" s="153"/>
      <c r="N186" s="148"/>
      <c r="O186" s="153"/>
    </row>
    <row r="187" spans="1:15">
      <c r="A187" s="154">
        <v>25</v>
      </c>
      <c r="B187" s="247" t="s">
        <v>481</v>
      </c>
      <c r="C187" s="245"/>
      <c r="D187" s="153">
        <f>D181*D192</f>
        <v>0</v>
      </c>
      <c r="E187" s="153"/>
      <c r="F187" s="153" t="s">
        <v>380</v>
      </c>
      <c r="G187" s="162"/>
      <c r="H187" s="153"/>
      <c r="I187" s="153">
        <f>D181*I192</f>
        <v>0</v>
      </c>
      <c r="J187" s="153"/>
      <c r="M187" s="153"/>
      <c r="N187" s="148"/>
      <c r="O187" s="153"/>
    </row>
    <row r="188" spans="1:15" ht="16.5" thickBot="1">
      <c r="A188" s="154">
        <v>26</v>
      </c>
      <c r="B188" s="142" t="s">
        <v>482</v>
      </c>
      <c r="C188" s="245"/>
      <c r="D188" s="165">
        <f>D184*D185</f>
        <v>0</v>
      </c>
      <c r="E188" s="153"/>
      <c r="F188" s="142" t="s">
        <v>420</v>
      </c>
      <c r="G188" s="162">
        <f>G114</f>
        <v>0.48687078717787918</v>
      </c>
      <c r="H188" s="153"/>
      <c r="I188" s="165">
        <f>G188*D188</f>
        <v>0</v>
      </c>
      <c r="J188" s="153"/>
      <c r="M188" s="153"/>
      <c r="N188" s="148"/>
      <c r="O188" s="153"/>
    </row>
    <row r="189" spans="1:15">
      <c r="A189" s="154">
        <v>27</v>
      </c>
      <c r="B189" s="250" t="s">
        <v>483</v>
      </c>
      <c r="C189" s="142" t="s">
        <v>484</v>
      </c>
      <c r="D189" s="251">
        <f>+D187+D188</f>
        <v>0</v>
      </c>
      <c r="E189" s="153"/>
      <c r="F189" s="153" t="s">
        <v>281</v>
      </c>
      <c r="G189" s="162" t="s">
        <v>281</v>
      </c>
      <c r="H189" s="153"/>
      <c r="I189" s="251">
        <f>+I187+I188</f>
        <v>0</v>
      </c>
      <c r="J189" s="153"/>
      <c r="M189" s="153"/>
      <c r="N189" s="148"/>
      <c r="O189" s="153"/>
    </row>
    <row r="190" spans="1:15">
      <c r="A190" s="154" t="s">
        <v>281</v>
      </c>
      <c r="C190" s="252"/>
      <c r="D190" s="153"/>
      <c r="E190" s="153"/>
      <c r="F190" s="153"/>
      <c r="G190" s="162"/>
      <c r="H190" s="153"/>
      <c r="I190" s="153"/>
      <c r="J190" s="153"/>
      <c r="K190" s="153"/>
      <c r="M190" s="153"/>
      <c r="N190" s="153"/>
      <c r="O190" s="160"/>
    </row>
    <row r="191" spans="1:15">
      <c r="A191" s="154">
        <v>28</v>
      </c>
      <c r="B191" s="160" t="s">
        <v>485</v>
      </c>
      <c r="C191" s="218"/>
      <c r="E191" s="153"/>
      <c r="J191" s="153"/>
      <c r="M191" s="153"/>
      <c r="N191" s="148"/>
      <c r="O191" s="153" t="s">
        <v>281</v>
      </c>
    </row>
    <row r="192" spans="1:15">
      <c r="A192" s="154"/>
      <c r="B192" s="250" t="s">
        <v>486</v>
      </c>
      <c r="D192" s="153">
        <f>+$I255*(D135+D137)</f>
        <v>17627891.770381212</v>
      </c>
      <c r="E192" s="153"/>
      <c r="F192" s="153" t="s">
        <v>380</v>
      </c>
      <c r="G192" s="246"/>
      <c r="H192" s="153"/>
      <c r="I192" s="153">
        <f>+$I255*(I135+I137)</f>
        <v>8979168.0855775476</v>
      </c>
      <c r="J192" s="153"/>
      <c r="K192" s="218"/>
      <c r="M192" s="153"/>
      <c r="N192" s="148"/>
      <c r="O192" s="153"/>
    </row>
    <row r="193" spans="1:15">
      <c r="A193" s="154"/>
      <c r="B193" s="160"/>
      <c r="D193" s="230"/>
      <c r="E193" s="153"/>
      <c r="F193" s="153"/>
      <c r="G193" s="246"/>
      <c r="H193" s="153"/>
      <c r="I193" s="230"/>
      <c r="J193" s="153"/>
      <c r="K193" s="218"/>
      <c r="M193" s="153"/>
      <c r="N193" s="148"/>
      <c r="O193" s="153"/>
    </row>
    <row r="194" spans="1:15">
      <c r="A194" s="154" t="s">
        <v>487</v>
      </c>
      <c r="B194" s="160" t="s">
        <v>488</v>
      </c>
      <c r="C194" s="253"/>
      <c r="J194" s="153"/>
      <c r="K194" s="218"/>
      <c r="M194" s="153"/>
      <c r="N194" s="148"/>
      <c r="O194" s="153"/>
    </row>
    <row r="195" spans="1:15">
      <c r="A195" s="154"/>
      <c r="B195" s="250" t="s">
        <v>489</v>
      </c>
      <c r="C195" s="222"/>
      <c r="D195" s="153">
        <f>I266*D137</f>
        <v>1687476.0024096479</v>
      </c>
      <c r="E195" s="210"/>
      <c r="F195" s="153" t="s">
        <v>380</v>
      </c>
      <c r="G195" s="254"/>
      <c r="H195" s="210"/>
      <c r="I195" s="153">
        <f>+$I266*I137</f>
        <v>1687476.0024096479</v>
      </c>
      <c r="J195" s="153"/>
      <c r="K195" s="218"/>
      <c r="M195" s="153"/>
      <c r="N195" s="148"/>
      <c r="O195" s="153"/>
    </row>
    <row r="196" spans="1:15">
      <c r="A196" s="154"/>
      <c r="B196" s="160"/>
      <c r="D196" s="230"/>
      <c r="E196" s="153"/>
      <c r="F196" s="153"/>
      <c r="G196" s="246"/>
      <c r="H196" s="153"/>
      <c r="I196" s="230"/>
      <c r="J196" s="153"/>
      <c r="K196" s="218"/>
      <c r="M196" s="153"/>
      <c r="N196" s="148"/>
      <c r="O196" s="153"/>
    </row>
    <row r="197" spans="1:15">
      <c r="A197" s="154">
        <v>29</v>
      </c>
      <c r="B197" s="160" t="s">
        <v>490</v>
      </c>
      <c r="C197" s="153"/>
      <c r="D197" s="230">
        <f>+D192+D189+D177+D166+D159+D195</f>
        <v>39971322.584634334</v>
      </c>
      <c r="E197" s="153"/>
      <c r="F197" s="153"/>
      <c r="G197" s="153"/>
      <c r="H197" s="153"/>
      <c r="I197" s="230">
        <f>+I192+I189+I177+I166+I159+I195</f>
        <v>20586098.082786404</v>
      </c>
      <c r="J197" s="146"/>
      <c r="K197" s="146"/>
      <c r="M197" s="146"/>
      <c r="N197" s="194"/>
      <c r="O197" s="160"/>
    </row>
    <row r="198" spans="1:15">
      <c r="A198" s="154"/>
      <c r="B198" s="160"/>
      <c r="C198" s="153"/>
      <c r="D198" s="230"/>
      <c r="E198" s="153"/>
      <c r="F198" s="153"/>
      <c r="G198" s="153"/>
      <c r="H198" s="153"/>
      <c r="I198" s="230"/>
      <c r="J198" s="146"/>
      <c r="K198" s="146"/>
      <c r="M198" s="146"/>
      <c r="N198" s="194"/>
      <c r="O198" s="160"/>
    </row>
    <row r="199" spans="1:15">
      <c r="A199" s="154">
        <v>30</v>
      </c>
      <c r="B199" s="142" t="s">
        <v>491</v>
      </c>
      <c r="J199" s="146"/>
      <c r="K199" s="146"/>
      <c r="M199" s="146"/>
      <c r="N199" s="194"/>
      <c r="O199" s="160"/>
    </row>
    <row r="200" spans="1:15">
      <c r="A200" s="154"/>
      <c r="B200" s="142" t="s">
        <v>492</v>
      </c>
      <c r="J200" s="146"/>
      <c r="K200" s="255"/>
      <c r="M200" s="146"/>
      <c r="N200" s="194"/>
      <c r="O200" s="160"/>
    </row>
    <row r="201" spans="1:15">
      <c r="A201" s="154"/>
      <c r="B201" s="142" t="s">
        <v>493</v>
      </c>
      <c r="D201" s="256">
        <v>9742309</v>
      </c>
      <c r="E201" s="160"/>
      <c r="F201" s="160"/>
      <c r="G201" s="160"/>
      <c r="H201" s="160"/>
      <c r="I201" s="256">
        <f>D201</f>
        <v>9742309</v>
      </c>
      <c r="J201" s="146"/>
      <c r="K201" s="255"/>
      <c r="L201" s="352"/>
      <c r="M201" s="146"/>
      <c r="N201" s="194"/>
      <c r="O201" s="160"/>
    </row>
    <row r="202" spans="1:15">
      <c r="A202" s="154"/>
      <c r="B202" s="160"/>
      <c r="C202" s="153"/>
      <c r="D202" s="230"/>
      <c r="E202" s="153"/>
      <c r="F202" s="153"/>
      <c r="G202" s="153"/>
      <c r="H202" s="153"/>
      <c r="I202" s="230"/>
      <c r="J202" s="146"/>
      <c r="K202" s="255"/>
      <c r="L202" s="352"/>
      <c r="M202" s="146"/>
      <c r="N202" s="194"/>
      <c r="O202" s="160"/>
    </row>
    <row r="203" spans="1:15">
      <c r="A203" s="154" t="s">
        <v>440</v>
      </c>
      <c r="B203" s="142" t="s">
        <v>494</v>
      </c>
      <c r="J203" s="153"/>
      <c r="K203" s="241"/>
      <c r="L203" s="352"/>
      <c r="M203" s="153"/>
      <c r="N203" s="148"/>
      <c r="O203" s="153" t="s">
        <v>281</v>
      </c>
    </row>
    <row r="204" spans="1:15">
      <c r="A204" s="154"/>
      <c r="B204" s="142" t="s">
        <v>492</v>
      </c>
      <c r="J204" s="153"/>
      <c r="K204" s="241"/>
      <c r="L204" s="352"/>
      <c r="M204" s="153"/>
      <c r="N204" s="148"/>
      <c r="O204" s="153"/>
    </row>
    <row r="205" spans="1:15" ht="16.5" thickBot="1">
      <c r="A205" s="154"/>
      <c r="B205" s="142" t="s">
        <v>495</v>
      </c>
      <c r="D205" s="257">
        <v>4445881.5600132858</v>
      </c>
      <c r="E205" s="160"/>
      <c r="F205" s="160"/>
      <c r="G205" s="160"/>
      <c r="H205" s="160"/>
      <c r="I205" s="258">
        <f>D205</f>
        <v>4445881.5600132858</v>
      </c>
      <c r="J205" s="153"/>
      <c r="K205" s="241"/>
      <c r="L205" s="352"/>
      <c r="M205" s="153"/>
      <c r="N205" s="148"/>
      <c r="O205" s="153"/>
    </row>
    <row r="206" spans="1:15" ht="16.5" thickBot="1">
      <c r="A206" s="237">
        <v>31</v>
      </c>
      <c r="B206" s="239" t="s">
        <v>496</v>
      </c>
      <c r="C206" s="239"/>
      <c r="D206" s="259">
        <f>+D197-D201-D205</f>
        <v>25783132.024621047</v>
      </c>
      <c r="E206" s="239"/>
      <c r="F206" s="239"/>
      <c r="G206" s="239"/>
      <c r="H206" s="239"/>
      <c r="I206" s="259">
        <f>+I197-I201-I205</f>
        <v>6397907.5227731178</v>
      </c>
      <c r="J206" s="241"/>
      <c r="K206" s="241"/>
      <c r="L206" s="239"/>
      <c r="M206" s="241"/>
      <c r="N206" s="148"/>
      <c r="O206" s="153"/>
    </row>
    <row r="207" spans="1:15" ht="16.5" thickTop="1">
      <c r="A207" s="154"/>
      <c r="B207" s="142" t="s">
        <v>497</v>
      </c>
      <c r="J207" s="153"/>
      <c r="K207" s="153"/>
      <c r="M207" s="153"/>
      <c r="N207" s="148"/>
      <c r="O207" s="153"/>
    </row>
    <row r="208" spans="1:15" s="261" customFormat="1">
      <c r="A208" s="260"/>
      <c r="J208" s="262"/>
      <c r="K208" s="262"/>
      <c r="M208" s="262"/>
      <c r="N208" s="263"/>
      <c r="O208" s="262"/>
    </row>
    <row r="209" spans="1:15" s="261" customFormat="1">
      <c r="A209" s="260"/>
      <c r="J209" s="262"/>
      <c r="K209" s="262"/>
      <c r="M209" s="262"/>
      <c r="N209" s="263"/>
      <c r="O209" s="262"/>
    </row>
    <row r="210" spans="1:15" s="261" customFormat="1">
      <c r="A210" s="260"/>
      <c r="J210" s="262"/>
      <c r="K210" s="262"/>
      <c r="M210" s="262"/>
      <c r="N210" s="263"/>
      <c r="O210" s="262"/>
    </row>
    <row r="211" spans="1:15">
      <c r="B211" s="143"/>
      <c r="C211" s="143"/>
      <c r="D211" s="144"/>
      <c r="E211" s="143"/>
      <c r="F211" s="143"/>
      <c r="G211" s="143"/>
      <c r="H211" s="145"/>
      <c r="I211" s="145"/>
      <c r="J211" s="146"/>
      <c r="K211" s="147" t="s">
        <v>498</v>
      </c>
      <c r="M211" s="146"/>
      <c r="N211" s="146"/>
      <c r="O211" s="146"/>
    </row>
    <row r="212" spans="1:15">
      <c r="A212" s="154"/>
      <c r="J212" s="153"/>
      <c r="K212" s="153"/>
      <c r="M212" s="153"/>
      <c r="N212" s="148"/>
      <c r="O212" s="153"/>
    </row>
    <row r="213" spans="1:15">
      <c r="A213" s="154"/>
      <c r="B213" s="160" t="str">
        <f>B3</f>
        <v xml:space="preserve">Formula Rate - Non-Levelized </v>
      </c>
      <c r="D213" s="142" t="str">
        <f>D3</f>
        <v xml:space="preserve">   Rate Formula Template</v>
      </c>
      <c r="J213" s="153"/>
      <c r="K213" s="264" t="str">
        <f>K3</f>
        <v>For the 12 months ended 12/31/15</v>
      </c>
      <c r="M213" s="153"/>
      <c r="N213" s="153"/>
      <c r="O213" s="160"/>
    </row>
    <row r="214" spans="1:15">
      <c r="A214" s="154"/>
      <c r="B214" s="160"/>
      <c r="D214" s="142" t="str">
        <f>D4</f>
        <v>Utilizing EIA Form 412 Data</v>
      </c>
      <c r="J214" s="153"/>
      <c r="K214" s="153"/>
      <c r="M214" s="153"/>
      <c r="N214" s="153"/>
      <c r="O214" s="160"/>
    </row>
    <row r="215" spans="1:15" ht="9" customHeight="1">
      <c r="A215" s="154"/>
      <c r="J215" s="153"/>
      <c r="K215" s="153"/>
      <c r="M215" s="153"/>
      <c r="N215" s="153"/>
      <c r="O215" s="160"/>
    </row>
    <row r="216" spans="1:15">
      <c r="A216" s="154"/>
      <c r="D216" s="142" t="str">
        <f>D6</f>
        <v>MRES</v>
      </c>
      <c r="J216" s="153"/>
      <c r="K216" s="153"/>
      <c r="M216" s="153"/>
      <c r="N216" s="153"/>
      <c r="O216" s="160"/>
    </row>
    <row r="217" spans="1:15">
      <c r="A217" s="154" t="s">
        <v>284</v>
      </c>
      <c r="C217" s="160"/>
      <c r="D217" s="160"/>
      <c r="E217" s="160"/>
      <c r="F217" s="160"/>
      <c r="G217" s="160"/>
      <c r="H217" s="160"/>
      <c r="I217" s="160"/>
      <c r="J217" s="160"/>
      <c r="K217" s="160"/>
      <c r="M217" s="160"/>
      <c r="N217" s="160"/>
      <c r="O217" s="160"/>
    </row>
    <row r="218" spans="1:15" ht="16.5" thickBot="1">
      <c r="A218" s="157" t="s">
        <v>286</v>
      </c>
      <c r="C218" s="199" t="s">
        <v>499</v>
      </c>
      <c r="E218" s="146"/>
      <c r="F218" s="146"/>
      <c r="G218" s="146"/>
      <c r="H218" s="146"/>
      <c r="I218" s="146"/>
      <c r="J218" s="153"/>
      <c r="K218" s="153"/>
      <c r="M218" s="146"/>
      <c r="N218" s="153"/>
      <c r="O218" s="160"/>
    </row>
    <row r="219" spans="1:15">
      <c r="A219" s="154"/>
      <c r="B219" s="143" t="s">
        <v>500</v>
      </c>
      <c r="C219" s="146"/>
      <c r="D219" s="146"/>
      <c r="E219" s="146"/>
      <c r="F219" s="146"/>
      <c r="G219" s="146"/>
      <c r="H219" s="146"/>
      <c r="I219" s="146"/>
      <c r="J219" s="153"/>
      <c r="K219" s="153"/>
      <c r="M219" s="146"/>
      <c r="N219" s="153"/>
      <c r="O219" s="160"/>
    </row>
    <row r="220" spans="1:15">
      <c r="A220" s="154">
        <v>1</v>
      </c>
      <c r="B220" s="145" t="s">
        <v>501</v>
      </c>
      <c r="C220" s="146"/>
      <c r="D220" s="153"/>
      <c r="E220" s="153"/>
      <c r="F220" s="153"/>
      <c r="G220" s="153"/>
      <c r="H220" s="153"/>
      <c r="I220" s="153">
        <f>D91+D92</f>
        <v>159281318.91912144</v>
      </c>
      <c r="J220" s="153"/>
      <c r="K220" s="153"/>
      <c r="M220" s="146"/>
      <c r="N220" s="153"/>
      <c r="O220" s="160"/>
    </row>
    <row r="221" spans="1:15">
      <c r="A221" s="154">
        <v>2</v>
      </c>
      <c r="B221" s="145" t="s">
        <v>502</v>
      </c>
      <c r="I221" s="227">
        <v>0</v>
      </c>
      <c r="J221" s="153"/>
      <c r="K221" s="153"/>
      <c r="M221" s="146"/>
      <c r="N221" s="153"/>
      <c r="O221" s="160"/>
    </row>
    <row r="222" spans="1:15" ht="16.5" thickBot="1">
      <c r="A222" s="154">
        <v>3</v>
      </c>
      <c r="B222" s="265" t="s">
        <v>503</v>
      </c>
      <c r="C222" s="266"/>
      <c r="D222" s="230"/>
      <c r="E222" s="153"/>
      <c r="F222" s="153"/>
      <c r="G222" s="231"/>
      <c r="H222" s="153"/>
      <c r="I222" s="216">
        <v>0</v>
      </c>
      <c r="J222" s="153"/>
      <c r="K222" s="153"/>
      <c r="M222" s="146"/>
      <c r="N222" s="153"/>
      <c r="O222" s="160"/>
    </row>
    <row r="223" spans="1:15">
      <c r="A223" s="154">
        <v>4</v>
      </c>
      <c r="B223" s="145" t="s">
        <v>504</v>
      </c>
      <c r="C223" s="146"/>
      <c r="D223" s="153"/>
      <c r="E223" s="153"/>
      <c r="F223" s="153"/>
      <c r="G223" s="231"/>
      <c r="H223" s="153"/>
      <c r="I223" s="153">
        <f>I220-I221-I222</f>
        <v>159281318.91912144</v>
      </c>
      <c r="J223" s="153"/>
      <c r="K223" s="153"/>
      <c r="M223" s="146"/>
      <c r="N223" s="153"/>
      <c r="O223" s="160"/>
    </row>
    <row r="224" spans="1:15">
      <c r="A224" s="154"/>
      <c r="C224" s="146"/>
      <c r="D224" s="153"/>
      <c r="E224" s="153"/>
      <c r="F224" s="153"/>
      <c r="G224" s="231"/>
      <c r="H224" s="153"/>
      <c r="J224" s="153"/>
      <c r="K224" s="153"/>
    </row>
    <row r="225" spans="1:17">
      <c r="A225" s="154">
        <v>5</v>
      </c>
      <c r="B225" s="145" t="s">
        <v>505</v>
      </c>
      <c r="C225" s="156"/>
      <c r="D225" s="267"/>
      <c r="E225" s="267"/>
      <c r="F225" s="267"/>
      <c r="G225" s="196"/>
      <c r="H225" s="153" t="s">
        <v>506</v>
      </c>
      <c r="I225" s="228">
        <f>IF(I220&gt;0,I223/I220,0)</f>
        <v>1</v>
      </c>
      <c r="J225" s="153"/>
      <c r="K225" s="153"/>
    </row>
    <row r="226" spans="1:17">
      <c r="J226" s="153"/>
      <c r="K226" s="153"/>
      <c r="M226" s="268" t="s">
        <v>507</v>
      </c>
    </row>
    <row r="227" spans="1:17">
      <c r="B227" s="160" t="s">
        <v>508</v>
      </c>
      <c r="J227" s="153"/>
      <c r="K227" s="153"/>
    </row>
    <row r="228" spans="1:17">
      <c r="A228" s="154">
        <v>6</v>
      </c>
      <c r="B228" s="142" t="s">
        <v>509</v>
      </c>
      <c r="D228" s="146"/>
      <c r="E228" s="146"/>
      <c r="F228" s="146"/>
      <c r="G228" s="148"/>
      <c r="H228" s="146"/>
      <c r="I228" s="153">
        <f>D150</f>
        <v>36579019</v>
      </c>
      <c r="J228" s="153"/>
      <c r="K228" s="153"/>
      <c r="L228" s="356" t="s">
        <v>510</v>
      </c>
      <c r="M228" s="357"/>
      <c r="N228" s="357"/>
      <c r="O228" s="357"/>
      <c r="P228" s="357"/>
      <c r="Q228" s="358"/>
    </row>
    <row r="229" spans="1:17" ht="16.5" thickBot="1">
      <c r="A229" s="154">
        <v>7</v>
      </c>
      <c r="B229" s="265" t="s">
        <v>511</v>
      </c>
      <c r="C229" s="266"/>
      <c r="D229" s="230"/>
      <c r="E229" s="230"/>
      <c r="F229" s="153"/>
      <c r="G229" s="153"/>
      <c r="H229" s="153"/>
      <c r="I229" s="216">
        <f>Trans_OM!D8+Trans_OM!D9+Trans_OM!D10</f>
        <v>288434</v>
      </c>
      <c r="J229" s="153"/>
      <c r="K229" s="153"/>
      <c r="L229" s="269">
        <f>+I229</f>
        <v>288434</v>
      </c>
      <c r="M229" s="270" t="s">
        <v>512</v>
      </c>
      <c r="N229" s="271"/>
      <c r="O229" s="230"/>
      <c r="P229" s="272"/>
      <c r="Q229" s="215"/>
    </row>
    <row r="230" spans="1:17">
      <c r="A230" s="154">
        <v>8</v>
      </c>
      <c r="B230" s="145" t="s">
        <v>513</v>
      </c>
      <c r="C230" s="156"/>
      <c r="D230" s="267"/>
      <c r="E230" s="267"/>
      <c r="F230" s="267"/>
      <c r="G230" s="196"/>
      <c r="H230" s="267"/>
      <c r="I230" s="153">
        <f>+I228-I229</f>
        <v>36290585</v>
      </c>
      <c r="J230" s="153"/>
      <c r="K230" s="153"/>
      <c r="L230" s="273">
        <v>0</v>
      </c>
      <c r="M230" s="274" t="s">
        <v>514</v>
      </c>
      <c r="N230" s="214"/>
      <c r="O230" s="214"/>
      <c r="P230" s="214"/>
      <c r="Q230" s="215"/>
    </row>
    <row r="231" spans="1:17">
      <c r="A231" s="154"/>
      <c r="B231" s="145"/>
      <c r="C231" s="146"/>
      <c r="D231" s="153"/>
      <c r="E231" s="153"/>
      <c r="F231" s="153"/>
      <c r="G231" s="153"/>
      <c r="J231" s="153"/>
      <c r="K231" s="153"/>
      <c r="L231" s="269">
        <f>L229-L230</f>
        <v>288434</v>
      </c>
      <c r="M231" s="274" t="s">
        <v>515</v>
      </c>
      <c r="N231" s="214"/>
      <c r="O231" s="214"/>
      <c r="P231" s="214"/>
      <c r="Q231" s="215"/>
    </row>
    <row r="232" spans="1:17">
      <c r="A232" s="154">
        <v>9</v>
      </c>
      <c r="B232" s="145" t="s">
        <v>516</v>
      </c>
      <c r="C232" s="146"/>
      <c r="D232" s="153"/>
      <c r="E232" s="153"/>
      <c r="F232" s="153"/>
      <c r="G232" s="153"/>
      <c r="H232" s="153"/>
      <c r="I232" s="203">
        <f>IF(I228&gt;0,I230/I228,0)</f>
        <v>0.9921147693982717</v>
      </c>
      <c r="J232" s="153"/>
      <c r="K232" s="153"/>
      <c r="L232" s="275"/>
      <c r="M232" s="276" t="s">
        <v>517</v>
      </c>
      <c r="N232" s="277"/>
      <c r="O232" s="277"/>
      <c r="P232" s="277"/>
      <c r="Q232" s="278"/>
    </row>
    <row r="233" spans="1:17">
      <c r="A233" s="154">
        <v>10</v>
      </c>
      <c r="B233" s="145" t="s">
        <v>518</v>
      </c>
      <c r="C233" s="146"/>
      <c r="D233" s="153"/>
      <c r="E233" s="153"/>
      <c r="F233" s="153"/>
      <c r="G233" s="153"/>
      <c r="H233" s="146" t="s">
        <v>293</v>
      </c>
      <c r="I233" s="279">
        <f>I225</f>
        <v>1</v>
      </c>
      <c r="J233" s="153"/>
      <c r="K233" s="153"/>
      <c r="L233" s="280">
        <v>0</v>
      </c>
      <c r="M233" s="281" t="s">
        <v>519</v>
      </c>
      <c r="N233" s="230"/>
      <c r="O233" s="272"/>
      <c r="P233" s="214"/>
      <c r="Q233" s="215"/>
    </row>
    <row r="234" spans="1:17">
      <c r="A234" s="154">
        <v>11</v>
      </c>
      <c r="B234" s="145" t="s">
        <v>520</v>
      </c>
      <c r="C234" s="146"/>
      <c r="D234" s="146"/>
      <c r="E234" s="146"/>
      <c r="F234" s="146"/>
      <c r="G234" s="146"/>
      <c r="H234" s="146" t="s">
        <v>521</v>
      </c>
      <c r="I234" s="282">
        <f>+I233*I232</f>
        <v>0.9921147693982717</v>
      </c>
      <c r="J234" s="153"/>
      <c r="K234" s="153"/>
      <c r="L234" s="280">
        <v>0</v>
      </c>
      <c r="M234" s="281" t="s">
        <v>522</v>
      </c>
      <c r="N234" s="230"/>
      <c r="O234" s="272"/>
      <c r="P234" s="214"/>
      <c r="Q234" s="215"/>
    </row>
    <row r="235" spans="1:17">
      <c r="A235" s="154"/>
      <c r="C235" s="146"/>
      <c r="D235" s="153"/>
      <c r="E235" s="153"/>
      <c r="F235" s="153"/>
      <c r="G235" s="231"/>
      <c r="H235" s="153"/>
      <c r="L235" s="273">
        <v>0</v>
      </c>
      <c r="M235" s="281" t="s">
        <v>523</v>
      </c>
      <c r="N235" s="230"/>
      <c r="O235" s="272"/>
      <c r="P235" s="214"/>
      <c r="Q235" s="215"/>
    </row>
    <row r="236" spans="1:17" ht="16.5" thickBot="1">
      <c r="A236" s="154" t="s">
        <v>281</v>
      </c>
      <c r="B236" s="160" t="s">
        <v>524</v>
      </c>
      <c r="C236" s="153"/>
      <c r="D236" s="283" t="s">
        <v>525</v>
      </c>
      <c r="E236" s="283" t="s">
        <v>293</v>
      </c>
      <c r="F236" s="153"/>
      <c r="G236" s="283" t="s">
        <v>382</v>
      </c>
      <c r="H236" s="153"/>
      <c r="I236" s="153"/>
      <c r="L236" s="284">
        <f>SUM(L233:L235)</f>
        <v>0</v>
      </c>
      <c r="M236" s="274" t="s">
        <v>526</v>
      </c>
      <c r="N236" s="214"/>
      <c r="O236" s="214"/>
      <c r="P236" s="214"/>
      <c r="Q236" s="215"/>
    </row>
    <row r="237" spans="1:17">
      <c r="A237" s="154">
        <v>12</v>
      </c>
      <c r="B237" s="160" t="s">
        <v>378</v>
      </c>
      <c r="C237" s="153"/>
      <c r="D237" s="177">
        <f>Other_Exp_Inc!E38</f>
        <v>2345783.77</v>
      </c>
      <c r="E237" s="285">
        <v>0</v>
      </c>
      <c r="F237" s="285"/>
      <c r="G237" s="153">
        <f>D237*E237</f>
        <v>0</v>
      </c>
      <c r="H237" s="153"/>
      <c r="I237" s="153"/>
      <c r="J237" s="153"/>
      <c r="K237" s="153"/>
      <c r="L237" s="286">
        <f>L231-L236</f>
        <v>288434</v>
      </c>
      <c r="M237" s="287" t="s">
        <v>527</v>
      </c>
      <c r="N237" s="288"/>
      <c r="O237" s="288"/>
      <c r="P237" s="288"/>
      <c r="Q237" s="219"/>
    </row>
    <row r="238" spans="1:17">
      <c r="A238" s="154">
        <v>13</v>
      </c>
      <c r="B238" s="160" t="s">
        <v>383</v>
      </c>
      <c r="C238" s="153"/>
      <c r="D238" s="177">
        <f>Other_Exp_Inc!E39</f>
        <v>497891.28999999992</v>
      </c>
      <c r="E238" s="285">
        <f>+I225</f>
        <v>1</v>
      </c>
      <c r="F238" s="285"/>
      <c r="G238" s="153">
        <f>D238*E238</f>
        <v>497891.28999999992</v>
      </c>
      <c r="H238" s="153"/>
      <c r="I238" s="153"/>
      <c r="J238" s="153"/>
      <c r="K238" s="153"/>
      <c r="L238" s="289"/>
      <c r="M238" s="290"/>
      <c r="N238" s="291"/>
      <c r="O238" s="292"/>
      <c r="P238" s="292"/>
    </row>
    <row r="239" spans="1:17">
      <c r="A239" s="154">
        <v>14</v>
      </c>
      <c r="B239" s="160" t="s">
        <v>387</v>
      </c>
      <c r="C239" s="153"/>
      <c r="D239" s="177">
        <f>Other_Exp_Inc!E40</f>
        <v>0</v>
      </c>
      <c r="E239" s="285">
        <v>0</v>
      </c>
      <c r="F239" s="285"/>
      <c r="G239" s="153">
        <f>D239*E239</f>
        <v>0</v>
      </c>
      <c r="H239" s="153"/>
      <c r="I239" s="293" t="s">
        <v>528</v>
      </c>
      <c r="J239" s="153"/>
      <c r="K239" s="153"/>
      <c r="M239" s="153"/>
      <c r="N239" s="153"/>
      <c r="O239" s="160"/>
    </row>
    <row r="240" spans="1:17" ht="16.5" thickBot="1">
      <c r="A240" s="154">
        <v>15</v>
      </c>
      <c r="B240" s="160" t="s">
        <v>529</v>
      </c>
      <c r="C240" s="153"/>
      <c r="D240" s="232">
        <f>Other_Exp_Inc!E41</f>
        <v>143481.01999999999</v>
      </c>
      <c r="E240" s="285">
        <v>0</v>
      </c>
      <c r="F240" s="285"/>
      <c r="G240" s="165">
        <f>D240*E240</f>
        <v>0</v>
      </c>
      <c r="H240" s="153"/>
      <c r="I240" s="157" t="s">
        <v>530</v>
      </c>
      <c r="J240" s="153"/>
      <c r="K240" s="153"/>
      <c r="M240" s="153"/>
      <c r="N240" s="153"/>
      <c r="O240" s="160"/>
    </row>
    <row r="241" spans="1:15">
      <c r="A241" s="154">
        <v>16</v>
      </c>
      <c r="B241" s="160" t="s">
        <v>531</v>
      </c>
      <c r="C241" s="153"/>
      <c r="D241" s="153">
        <f>SUM(D237:D240)</f>
        <v>2987156.08</v>
      </c>
      <c r="E241" s="153"/>
      <c r="F241" s="153"/>
      <c r="G241" s="153">
        <f>SUM(G237:G240)</f>
        <v>497891.28999999992</v>
      </c>
      <c r="H241" s="148" t="s">
        <v>532</v>
      </c>
      <c r="I241" s="203">
        <f>IF(G241&gt;0,G238/D241,0)</f>
        <v>0.16667736022685495</v>
      </c>
      <c r="J241" s="153" t="s">
        <v>532</v>
      </c>
      <c r="K241" s="153" t="s">
        <v>392</v>
      </c>
      <c r="M241" s="153"/>
      <c r="N241" s="153"/>
      <c r="O241" s="160"/>
    </row>
    <row r="242" spans="1:15">
      <c r="A242" s="154" t="s">
        <v>281</v>
      </c>
      <c r="B242" s="160" t="s">
        <v>281</v>
      </c>
      <c r="C242" s="153" t="s">
        <v>281</v>
      </c>
      <c r="E242" s="153"/>
      <c r="F242" s="153"/>
      <c r="M242" s="153"/>
      <c r="N242" s="153"/>
      <c r="O242" s="160"/>
    </row>
    <row r="243" spans="1:15">
      <c r="A243" s="154"/>
      <c r="B243" s="160" t="s">
        <v>533</v>
      </c>
      <c r="C243" s="153"/>
      <c r="D243" s="197" t="s">
        <v>525</v>
      </c>
      <c r="E243" s="153"/>
      <c r="F243" s="153"/>
      <c r="G243" s="231" t="s">
        <v>534</v>
      </c>
      <c r="H243" s="246" t="s">
        <v>281</v>
      </c>
      <c r="I243" s="218" t="s">
        <v>535</v>
      </c>
      <c r="J243" s="153"/>
      <c r="K243" s="153"/>
      <c r="M243" s="153"/>
      <c r="N243" s="153"/>
      <c r="O243" s="160"/>
    </row>
    <row r="244" spans="1:15">
      <c r="A244" s="154">
        <v>17</v>
      </c>
      <c r="B244" s="160" t="s">
        <v>536</v>
      </c>
      <c r="C244" s="153"/>
      <c r="D244" s="227">
        <f>D96</f>
        <v>489375047.75245488</v>
      </c>
      <c r="E244" s="153"/>
      <c r="G244" s="154" t="s">
        <v>537</v>
      </c>
      <c r="H244" s="294"/>
      <c r="I244" s="154" t="s">
        <v>538</v>
      </c>
      <c r="J244" s="153"/>
      <c r="K244" s="148" t="s">
        <v>394</v>
      </c>
      <c r="M244" s="153"/>
      <c r="N244" s="153"/>
      <c r="O244" s="160"/>
    </row>
    <row r="245" spans="1:15">
      <c r="A245" s="154">
        <v>18</v>
      </c>
      <c r="B245" s="160" t="s">
        <v>539</v>
      </c>
      <c r="C245" s="153"/>
      <c r="D245" s="227">
        <v>0</v>
      </c>
      <c r="E245" s="153"/>
      <c r="G245" s="162">
        <f>IF(D247&gt;0,D244/D247,0)</f>
        <v>1</v>
      </c>
      <c r="H245" s="231" t="s">
        <v>540</v>
      </c>
      <c r="I245" s="162">
        <f>I241</f>
        <v>0.16667736022685495</v>
      </c>
      <c r="J245" s="246" t="s">
        <v>532</v>
      </c>
      <c r="K245" s="162">
        <f>I245*G245</f>
        <v>0.16667736022685495</v>
      </c>
      <c r="M245" s="153"/>
      <c r="N245" s="153"/>
      <c r="O245" s="160"/>
    </row>
    <row r="246" spans="1:15" ht="16.5" thickBot="1">
      <c r="A246" s="154">
        <v>19</v>
      </c>
      <c r="B246" s="295" t="s">
        <v>541</v>
      </c>
      <c r="C246" s="165"/>
      <c r="D246" s="216">
        <v>0</v>
      </c>
      <c r="E246" s="153"/>
      <c r="F246" s="153"/>
      <c r="G246" s="153" t="s">
        <v>281</v>
      </c>
      <c r="H246" s="153"/>
      <c r="I246" s="153"/>
      <c r="M246" s="153"/>
      <c r="N246" s="153"/>
      <c r="O246" s="160"/>
    </row>
    <row r="247" spans="1:15">
      <c r="A247" s="154">
        <v>20</v>
      </c>
      <c r="B247" s="160" t="s">
        <v>542</v>
      </c>
      <c r="C247" s="153"/>
      <c r="D247" s="153">
        <f>D244+D245+D246</f>
        <v>489375047.75245488</v>
      </c>
      <c r="E247" s="153"/>
      <c r="F247" s="153"/>
      <c r="G247" s="153"/>
      <c r="H247" s="153"/>
      <c r="I247" s="153"/>
      <c r="J247" s="153"/>
      <c r="K247" s="153"/>
      <c r="M247" s="153"/>
      <c r="N247" s="153"/>
      <c r="O247" s="160"/>
    </row>
    <row r="248" spans="1:15">
      <c r="A248" s="154"/>
      <c r="B248" s="160" t="s">
        <v>281</v>
      </c>
      <c r="C248" s="153"/>
      <c r="E248" s="153"/>
      <c r="F248" s="153"/>
      <c r="G248" s="153"/>
      <c r="H248" s="153"/>
      <c r="I248" s="153" t="s">
        <v>281</v>
      </c>
      <c r="J248" s="153"/>
      <c r="K248" s="153"/>
      <c r="M248" s="153"/>
      <c r="N248" s="153"/>
      <c r="O248" s="160"/>
    </row>
    <row r="249" spans="1:15" ht="16.5" thickBot="1">
      <c r="A249" s="154"/>
      <c r="B249" s="143" t="s">
        <v>543</v>
      </c>
      <c r="C249" s="153"/>
      <c r="D249" s="283" t="s">
        <v>525</v>
      </c>
      <c r="E249" s="153"/>
      <c r="F249" s="153"/>
      <c r="G249" s="153"/>
      <c r="H249" s="153"/>
      <c r="J249" s="153" t="s">
        <v>281</v>
      </c>
      <c r="K249" s="153"/>
      <c r="M249" s="153"/>
      <c r="N249" s="153"/>
      <c r="O249" s="160"/>
    </row>
    <row r="250" spans="1:15">
      <c r="A250" s="154">
        <v>21</v>
      </c>
      <c r="B250" s="153" t="s">
        <v>544</v>
      </c>
      <c r="C250" s="145" t="s">
        <v>545</v>
      </c>
      <c r="D250" s="296">
        <f>SUM(Other_Exp_Inc!E28)</f>
        <v>27649882</v>
      </c>
      <c r="E250" s="153"/>
      <c r="F250" s="153"/>
      <c r="G250" s="153"/>
      <c r="H250" s="153"/>
      <c r="I250" s="153"/>
      <c r="J250" s="153"/>
      <c r="K250" s="153"/>
      <c r="M250" s="153"/>
      <c r="N250" s="153"/>
      <c r="O250" s="160"/>
    </row>
    <row r="251" spans="1:15">
      <c r="A251" s="154"/>
      <c r="B251" s="160"/>
      <c r="D251" s="153"/>
      <c r="E251" s="153"/>
      <c r="F251" s="153"/>
      <c r="G251" s="231" t="s">
        <v>546</v>
      </c>
      <c r="H251" s="153"/>
      <c r="I251" s="153"/>
      <c r="J251" s="153"/>
      <c r="K251" s="153"/>
      <c r="M251" s="153"/>
      <c r="N251" s="153"/>
      <c r="O251" s="160"/>
    </row>
    <row r="252" spans="1:15" ht="16.5" thickBot="1">
      <c r="A252" s="154"/>
      <c r="B252" s="143"/>
      <c r="C252" s="145"/>
      <c r="D252" s="157" t="s">
        <v>525</v>
      </c>
      <c r="E252" s="157" t="s">
        <v>547</v>
      </c>
      <c r="F252" s="153"/>
      <c r="G252" s="157" t="s">
        <v>548</v>
      </c>
      <c r="H252" s="153"/>
      <c r="I252" s="157" t="s">
        <v>549</v>
      </c>
      <c r="J252" s="153"/>
      <c r="K252" s="153"/>
      <c r="M252" s="153"/>
      <c r="N252" s="153"/>
      <c r="O252" s="160"/>
    </row>
    <row r="253" spans="1:15">
      <c r="A253" s="154">
        <v>22</v>
      </c>
      <c r="B253" s="143" t="s">
        <v>550</v>
      </c>
      <c r="C253" s="145" t="s">
        <v>551</v>
      </c>
      <c r="D253" s="177">
        <f>'Capital Structure'!E22</f>
        <v>566313461.53846157</v>
      </c>
      <c r="E253" s="297">
        <f>IF($D$255&gt;0,D253/$D$255,0)</f>
        <v>0.78040126041253566</v>
      </c>
      <c r="F253" s="298"/>
      <c r="G253" s="299">
        <f>IF(D253&gt;0,D250/D253,0)</f>
        <v>4.8824341778642567E-2</v>
      </c>
      <c r="I253" s="298">
        <f>G253*E253</f>
        <v>3.8102577862865084E-2</v>
      </c>
      <c r="J253" s="300" t="s">
        <v>552</v>
      </c>
      <c r="K253" s="153"/>
      <c r="M253" s="153"/>
      <c r="N253" s="153"/>
      <c r="O253" s="160"/>
    </row>
    <row r="254" spans="1:15" ht="16.5" thickBot="1">
      <c r="A254" s="154">
        <v>23</v>
      </c>
      <c r="B254" s="143" t="s">
        <v>553</v>
      </c>
      <c r="C254" s="145" t="s">
        <v>554</v>
      </c>
      <c r="D254" s="232">
        <f>'Capital Structure'!F22</f>
        <v>159356127</v>
      </c>
      <c r="E254" s="301">
        <f>IF($D$255&gt;0,D254/$D$255,0)</f>
        <v>0.21959873958746431</v>
      </c>
      <c r="F254" s="298"/>
      <c r="G254" s="298">
        <f>+I257</f>
        <v>0.12379999999999999</v>
      </c>
      <c r="I254" s="302">
        <f>G254*E254</f>
        <v>2.7186323960928082E-2</v>
      </c>
      <c r="M254" s="153"/>
      <c r="N254" s="153"/>
      <c r="O254" s="160"/>
    </row>
    <row r="255" spans="1:15">
      <c r="A255" s="154">
        <v>24</v>
      </c>
      <c r="B255" s="143" t="s">
        <v>555</v>
      </c>
      <c r="C255" s="145"/>
      <c r="D255" s="153">
        <f>SUM(D253:D254)</f>
        <v>725669588.53846157</v>
      </c>
      <c r="E255" s="303">
        <f>SUM(E253+E254)</f>
        <v>1</v>
      </c>
      <c r="F255" s="298"/>
      <c r="G255" s="298"/>
      <c r="I255" s="298">
        <f>SUM(I253:I254)</f>
        <v>6.5288901823793169E-2</v>
      </c>
      <c r="J255" s="300" t="s">
        <v>556</v>
      </c>
      <c r="M255" s="153"/>
      <c r="N255" s="153"/>
      <c r="O255" s="160"/>
    </row>
    <row r="256" spans="1:15">
      <c r="A256" s="154" t="s">
        <v>281</v>
      </c>
      <c r="B256" s="160"/>
      <c r="D256" s="153"/>
      <c r="E256" s="153" t="s">
        <v>281</v>
      </c>
      <c r="F256" s="153"/>
      <c r="G256" s="153"/>
      <c r="H256" s="153"/>
      <c r="I256" s="298"/>
      <c r="M256" s="153"/>
      <c r="N256" s="153"/>
      <c r="O256" s="160"/>
    </row>
    <row r="257" spans="1:15">
      <c r="A257" s="154">
        <v>25</v>
      </c>
      <c r="E257" s="153"/>
      <c r="F257" s="153"/>
      <c r="G257" s="153"/>
      <c r="H257" s="236" t="s">
        <v>557</v>
      </c>
      <c r="I257" s="304">
        <v>0.12379999999999999</v>
      </c>
      <c r="M257" s="153"/>
      <c r="N257" s="153"/>
      <c r="O257" s="160"/>
    </row>
    <row r="258" spans="1:15">
      <c r="A258" s="154">
        <v>26</v>
      </c>
      <c r="H258" s="264" t="s">
        <v>558</v>
      </c>
      <c r="I258" s="285">
        <f>IF(G253&gt;0,I255/G253,0)</f>
        <v>1.3372203176808164</v>
      </c>
      <c r="M258" s="153"/>
      <c r="N258" s="153"/>
      <c r="O258" s="160"/>
    </row>
    <row r="259" spans="1:15">
      <c r="A259" s="154"/>
      <c r="H259" s="264"/>
      <c r="I259" s="285"/>
      <c r="M259" s="153"/>
      <c r="N259" s="153"/>
      <c r="O259" s="160"/>
    </row>
    <row r="260" spans="1:15">
      <c r="A260" s="154"/>
      <c r="D260" s="153"/>
      <c r="E260" s="153"/>
      <c r="F260" s="153"/>
      <c r="G260" s="231" t="s">
        <v>546</v>
      </c>
      <c r="H260" s="153"/>
      <c r="I260" s="153"/>
      <c r="M260" s="153"/>
      <c r="N260" s="153"/>
      <c r="O260" s="160"/>
    </row>
    <row r="261" spans="1:15" ht="16.5" thickBot="1">
      <c r="A261" s="305"/>
      <c r="B261" s="142" t="s">
        <v>559</v>
      </c>
      <c r="C261" s="222"/>
      <c r="D261" s="306"/>
      <c r="E261" s="157" t="s">
        <v>547</v>
      </c>
      <c r="F261" s="210"/>
      <c r="G261" s="157" t="s">
        <v>548</v>
      </c>
      <c r="H261" s="210"/>
      <c r="I261" s="157" t="s">
        <v>549</v>
      </c>
      <c r="J261" s="222"/>
      <c r="K261" s="222"/>
      <c r="M261" s="153"/>
      <c r="N261" s="153"/>
      <c r="O261" s="160"/>
    </row>
    <row r="262" spans="1:15">
      <c r="A262" s="154">
        <v>27</v>
      </c>
      <c r="B262" s="143" t="s">
        <v>560</v>
      </c>
      <c r="C262" s="307"/>
      <c r="D262" s="308"/>
      <c r="E262" s="297">
        <v>0.55000000000000004</v>
      </c>
      <c r="F262" s="309"/>
      <c r="G262" s="299">
        <f>G253</f>
        <v>4.8824341778642567E-2</v>
      </c>
      <c r="H262" s="222"/>
      <c r="I262" s="298">
        <f>G262*E262</f>
        <v>2.6853387978253415E-2</v>
      </c>
      <c r="J262" s="300" t="s">
        <v>552</v>
      </c>
      <c r="K262" s="210"/>
      <c r="M262" s="153"/>
      <c r="N262" s="153"/>
      <c r="O262" s="160"/>
    </row>
    <row r="263" spans="1:15" ht="16.5" thickBot="1">
      <c r="A263" s="154">
        <v>28</v>
      </c>
      <c r="B263" s="143" t="s">
        <v>561</v>
      </c>
      <c r="C263" s="307"/>
      <c r="D263" s="308"/>
      <c r="E263" s="301">
        <v>0.45</v>
      </c>
      <c r="F263" s="309"/>
      <c r="G263" s="298">
        <f>+I257</f>
        <v>0.12379999999999999</v>
      </c>
      <c r="H263" s="222"/>
      <c r="I263" s="302">
        <f>G263*E263</f>
        <v>5.5709999999999996E-2</v>
      </c>
      <c r="J263" s="222"/>
      <c r="K263" s="222"/>
      <c r="M263" s="153"/>
      <c r="N263" s="153"/>
      <c r="O263" s="160"/>
    </row>
    <row r="264" spans="1:15">
      <c r="A264" s="154">
        <v>29</v>
      </c>
      <c r="B264" s="143" t="s">
        <v>562</v>
      </c>
      <c r="C264" s="307"/>
      <c r="D264" s="308"/>
      <c r="E264" s="303">
        <f>SUM(E262+E263)</f>
        <v>1</v>
      </c>
      <c r="F264" s="309"/>
      <c r="G264" s="309"/>
      <c r="H264" s="222"/>
      <c r="I264" s="298">
        <f>SUM(I262:I263)</f>
        <v>8.2563387978253411E-2</v>
      </c>
      <c r="J264" s="300" t="s">
        <v>556</v>
      </c>
      <c r="K264" s="222"/>
      <c r="M264" s="153"/>
      <c r="N264" s="153"/>
      <c r="O264" s="160"/>
    </row>
    <row r="265" spans="1:15">
      <c r="A265" s="305"/>
      <c r="B265" s="222"/>
      <c r="C265" s="222"/>
      <c r="D265" s="222"/>
      <c r="E265" s="222"/>
      <c r="F265" s="222"/>
      <c r="G265" s="222"/>
      <c r="H265" s="310"/>
      <c r="I265" s="311"/>
      <c r="J265" s="222"/>
      <c r="K265" s="222"/>
      <c r="M265" s="153"/>
      <c r="N265" s="153"/>
      <c r="O265" s="160"/>
    </row>
    <row r="266" spans="1:15">
      <c r="A266" s="154">
        <v>30</v>
      </c>
      <c r="B266" s="142" t="s">
        <v>563</v>
      </c>
      <c r="C266" s="222"/>
      <c r="D266" s="222"/>
      <c r="E266" s="222"/>
      <c r="F266" s="222"/>
      <c r="G266" s="222"/>
      <c r="H266" s="310"/>
      <c r="I266" s="312">
        <f>I264-I255</f>
        <v>1.7274486154460242E-2</v>
      </c>
      <c r="M266" s="153"/>
      <c r="N266" s="153"/>
      <c r="O266" s="160"/>
    </row>
    <row r="267" spans="1:15">
      <c r="A267" s="154"/>
      <c r="H267" s="264"/>
      <c r="I267" s="285"/>
      <c r="M267" s="153"/>
      <c r="N267" s="153"/>
      <c r="O267" s="160"/>
    </row>
    <row r="268" spans="1:15">
      <c r="A268" s="154"/>
      <c r="B268" s="143" t="s">
        <v>564</v>
      </c>
      <c r="C268" s="145"/>
      <c r="D268" s="145"/>
      <c r="E268" s="145"/>
      <c r="F268" s="145"/>
      <c r="G268" s="145"/>
      <c r="H268" s="145"/>
      <c r="I268" s="145"/>
      <c r="K268" s="153"/>
      <c r="M268" s="153"/>
      <c r="N268" s="153"/>
      <c r="O268" s="160"/>
    </row>
    <row r="269" spans="1:15" ht="16.5" thickBot="1">
      <c r="A269" s="154"/>
      <c r="B269" s="143"/>
      <c r="C269" s="143"/>
      <c r="D269" s="143"/>
      <c r="E269" s="143"/>
      <c r="F269" s="143"/>
      <c r="G269" s="143"/>
      <c r="H269" s="143"/>
      <c r="I269" s="157" t="s">
        <v>565</v>
      </c>
      <c r="J269" s="145"/>
      <c r="K269" s="145"/>
      <c r="M269" s="153"/>
      <c r="N269" s="153"/>
      <c r="O269" s="160"/>
    </row>
    <row r="270" spans="1:15">
      <c r="A270" s="154"/>
      <c r="B270" s="143" t="s">
        <v>566</v>
      </c>
      <c r="C270" s="145"/>
      <c r="D270" s="145"/>
      <c r="E270" s="145"/>
      <c r="F270" s="145"/>
      <c r="G270" s="313" t="s">
        <v>281</v>
      </c>
      <c r="H270" s="261"/>
      <c r="I270" s="314"/>
      <c r="J270" s="143"/>
      <c r="K270" s="143"/>
      <c r="M270" s="153"/>
      <c r="N270" s="153"/>
      <c r="O270" s="160"/>
    </row>
    <row r="271" spans="1:15">
      <c r="A271" s="154">
        <v>31</v>
      </c>
      <c r="B271" s="142" t="s">
        <v>567</v>
      </c>
      <c r="C271" s="145"/>
      <c r="D271" s="145"/>
      <c r="E271" s="145" t="s">
        <v>568</v>
      </c>
      <c r="F271" s="145"/>
      <c r="H271" s="261"/>
      <c r="I271" s="227">
        <v>0</v>
      </c>
      <c r="J271" s="143"/>
      <c r="K271" s="143"/>
      <c r="M271" s="231"/>
      <c r="N271" s="153"/>
      <c r="O271" s="160"/>
    </row>
    <row r="272" spans="1:15" ht="16.5" thickBot="1">
      <c r="A272" s="154">
        <v>32</v>
      </c>
      <c r="B272" s="233" t="s">
        <v>569</v>
      </c>
      <c r="C272" s="266"/>
      <c r="D272" s="214"/>
      <c r="E272" s="315"/>
      <c r="F272" s="315"/>
      <c r="G272" s="315"/>
      <c r="H272" s="145"/>
      <c r="I272" s="216">
        <v>0</v>
      </c>
      <c r="J272" s="143"/>
      <c r="K272" s="143"/>
      <c r="M272" s="143"/>
      <c r="N272" s="153"/>
      <c r="O272" s="160"/>
    </row>
    <row r="273" spans="1:16">
      <c r="A273" s="154">
        <v>33</v>
      </c>
      <c r="B273" s="142" t="s">
        <v>570</v>
      </c>
      <c r="C273" s="146"/>
      <c r="D273" s="214"/>
      <c r="E273" s="315"/>
      <c r="F273" s="315"/>
      <c r="G273" s="315"/>
      <c r="H273" s="145"/>
      <c r="I273" s="227">
        <f>+I271-I272</f>
        <v>0</v>
      </c>
      <c r="J273" s="143"/>
      <c r="K273" s="143"/>
      <c r="M273" s="143"/>
      <c r="N273" s="153"/>
      <c r="O273" s="160"/>
    </row>
    <row r="274" spans="1:16">
      <c r="A274" s="305"/>
      <c r="B274" s="142" t="s">
        <v>281</v>
      </c>
      <c r="C274" s="146"/>
      <c r="D274" s="214"/>
      <c r="E274" s="315"/>
      <c r="F274" s="315"/>
      <c r="G274" s="316"/>
      <c r="H274" s="145"/>
      <c r="I274" s="317" t="s">
        <v>281</v>
      </c>
      <c r="J274" s="143"/>
      <c r="K274" s="143"/>
      <c r="M274" s="143"/>
      <c r="N274" s="153"/>
      <c r="O274" s="160"/>
    </row>
    <row r="275" spans="1:16">
      <c r="A275" s="154">
        <v>34</v>
      </c>
      <c r="B275" s="143" t="s">
        <v>571</v>
      </c>
      <c r="C275" s="146"/>
      <c r="D275" s="214"/>
      <c r="E275" s="315"/>
      <c r="F275" s="315"/>
      <c r="G275" s="316"/>
      <c r="H275" s="145"/>
      <c r="I275" s="318">
        <f>Other_Exp_Inc!E30</f>
        <v>135153</v>
      </c>
      <c r="J275" s="143"/>
      <c r="K275" s="143"/>
      <c r="M275" s="143"/>
      <c r="N275" s="153"/>
      <c r="O275" s="160"/>
    </row>
    <row r="276" spans="1:16">
      <c r="A276" s="305"/>
      <c r="C276" s="145"/>
      <c r="D276" s="315"/>
      <c r="E276" s="315"/>
      <c r="F276" s="315"/>
      <c r="G276" s="315"/>
      <c r="H276" s="145"/>
      <c r="I276" s="319"/>
      <c r="J276" s="143"/>
      <c r="K276" s="143"/>
      <c r="M276" s="143"/>
      <c r="N276" s="153"/>
      <c r="O276" s="160"/>
    </row>
    <row r="277" spans="1:16">
      <c r="A277" s="222"/>
      <c r="B277" s="143" t="s">
        <v>572</v>
      </c>
      <c r="C277" s="145"/>
      <c r="D277" s="315"/>
      <c r="E277" s="315"/>
      <c r="F277" s="315"/>
      <c r="G277" s="315"/>
      <c r="H277" s="145"/>
      <c r="I277" s="184"/>
      <c r="J277" s="143"/>
      <c r="K277" s="143"/>
      <c r="M277" s="143"/>
      <c r="N277" s="153"/>
      <c r="O277" s="160"/>
    </row>
    <row r="278" spans="1:16">
      <c r="A278" s="154">
        <v>35</v>
      </c>
      <c r="B278" s="143" t="s">
        <v>573</v>
      </c>
      <c r="C278" s="153"/>
      <c r="D278" s="230"/>
      <c r="E278" s="230"/>
      <c r="F278" s="230"/>
      <c r="G278" s="230"/>
      <c r="H278" s="153"/>
      <c r="I278" s="320">
        <f>Other_Exp_Inc!E32</f>
        <v>36424478.725196399</v>
      </c>
      <c r="J278" s="143"/>
      <c r="K278" s="143"/>
      <c r="M278" s="143"/>
      <c r="N278" s="153"/>
      <c r="O278" s="160"/>
    </row>
    <row r="279" spans="1:16">
      <c r="A279" s="154">
        <v>36</v>
      </c>
      <c r="B279" s="321" t="s">
        <v>574</v>
      </c>
      <c r="C279" s="315"/>
      <c r="D279" s="315"/>
      <c r="E279" s="315"/>
      <c r="F279" s="315"/>
      <c r="G279" s="315"/>
      <c r="H279" s="145"/>
      <c r="I279" s="320">
        <f>Other_Exp_Inc!E33</f>
        <v>23049638.675196402</v>
      </c>
      <c r="J279" s="143"/>
      <c r="K279" s="143"/>
      <c r="M279" s="143"/>
      <c r="N279" s="153"/>
      <c r="O279" s="160"/>
    </row>
    <row r="280" spans="1:16">
      <c r="A280" s="154" t="s">
        <v>575</v>
      </c>
      <c r="B280" s="321" t="s">
        <v>576</v>
      </c>
      <c r="C280" s="315"/>
      <c r="D280" s="315"/>
      <c r="E280" s="315"/>
      <c r="F280" s="315"/>
      <c r="G280" s="315"/>
      <c r="H280" s="145"/>
      <c r="I280" s="320">
        <f>Other_Exp_Inc!E34</f>
        <v>8964860.25</v>
      </c>
      <c r="J280" s="143"/>
      <c r="K280" s="143"/>
      <c r="M280" s="143"/>
      <c r="N280" s="153"/>
      <c r="O280" s="160"/>
    </row>
    <row r="281" spans="1:16" ht="16.5" thickBot="1">
      <c r="A281" s="154" t="s">
        <v>577</v>
      </c>
      <c r="B281" s="322" t="s">
        <v>578</v>
      </c>
      <c r="C281" s="265"/>
      <c r="D281" s="315"/>
      <c r="E281" s="315"/>
      <c r="F281" s="315"/>
      <c r="G281" s="315"/>
      <c r="H281" s="145"/>
      <c r="I281" s="216">
        <f>Other_Exp_Inc!E35</f>
        <v>4409979.7999999989</v>
      </c>
      <c r="J281" s="143"/>
      <c r="K281" s="143"/>
      <c r="M281" s="143"/>
      <c r="N281" s="153"/>
      <c r="O281" s="160"/>
    </row>
    <row r="282" spans="1:16" s="261" customFormat="1">
      <c r="A282" s="154">
        <v>37</v>
      </c>
      <c r="B282" s="142" t="s">
        <v>579</v>
      </c>
      <c r="C282" s="154"/>
      <c r="D282" s="230"/>
      <c r="E282" s="230"/>
      <c r="F282" s="230"/>
      <c r="G282" s="230"/>
      <c r="H282" s="145"/>
      <c r="I282" s="323">
        <f>+I278-I279-I280-I281</f>
        <v>0</v>
      </c>
      <c r="J282" s="143"/>
      <c r="K282" s="143"/>
      <c r="L282" s="324" t="s">
        <v>580</v>
      </c>
      <c r="M282" s="143"/>
      <c r="N282" s="146"/>
      <c r="O282" s="160"/>
      <c r="P282" s="142"/>
    </row>
    <row r="283" spans="1:16">
      <c r="A283" s="154"/>
      <c r="B283" s="325"/>
      <c r="C283" s="154"/>
      <c r="D283" s="230"/>
      <c r="E283" s="230"/>
      <c r="F283" s="230"/>
      <c r="G283" s="230"/>
      <c r="H283" s="145"/>
      <c r="I283" s="323"/>
      <c r="J283" s="143"/>
      <c r="K283" s="143"/>
      <c r="L283" s="324" t="s">
        <v>581</v>
      </c>
      <c r="M283" s="326"/>
      <c r="N283" s="327"/>
      <c r="O283" s="328"/>
      <c r="P283" s="261"/>
    </row>
    <row r="284" spans="1:16">
      <c r="A284" s="154"/>
      <c r="B284" s="325"/>
      <c r="C284" s="154"/>
      <c r="D284" s="230"/>
      <c r="E284" s="230"/>
      <c r="F284" s="230"/>
      <c r="G284" s="230"/>
      <c r="H284" s="145"/>
      <c r="I284" s="323"/>
      <c r="J284" s="143"/>
      <c r="K284" s="143"/>
      <c r="M284" s="143"/>
      <c r="N284" s="146"/>
      <c r="O284" s="160"/>
    </row>
    <row r="285" spans="1:16">
      <c r="A285" s="154"/>
      <c r="B285" s="325"/>
      <c r="C285" s="154"/>
      <c r="D285" s="230"/>
      <c r="E285" s="230"/>
      <c r="F285" s="230"/>
      <c r="G285" s="230"/>
      <c r="H285" s="145"/>
      <c r="I285" s="323"/>
      <c r="J285" s="143"/>
      <c r="K285" s="143"/>
      <c r="M285" s="143"/>
      <c r="N285" s="146"/>
      <c r="O285" s="160"/>
    </row>
    <row r="286" spans="1:16">
      <c r="A286" s="154"/>
      <c r="B286" s="325"/>
      <c r="C286" s="154"/>
      <c r="D286" s="230"/>
      <c r="E286" s="230"/>
      <c r="F286" s="230"/>
      <c r="G286" s="230"/>
      <c r="H286" s="145"/>
      <c r="I286" s="323"/>
      <c r="J286" s="143"/>
      <c r="K286" s="143"/>
      <c r="M286" s="143"/>
      <c r="N286" s="146"/>
      <c r="O286" s="160"/>
    </row>
    <row r="287" spans="1:16">
      <c r="B287" s="143"/>
      <c r="C287" s="143"/>
      <c r="E287" s="143"/>
      <c r="F287" s="143"/>
      <c r="G287" s="143"/>
      <c r="H287" s="145"/>
      <c r="I287" s="145"/>
      <c r="K287" s="147" t="s">
        <v>582</v>
      </c>
      <c r="M287" s="146"/>
      <c r="N287" s="146"/>
      <c r="O287" s="146"/>
    </row>
    <row r="288" spans="1:16">
      <c r="A288" s="154"/>
      <c r="B288" s="325" t="str">
        <f>B3</f>
        <v xml:space="preserve">Formula Rate - Non-Levelized </v>
      </c>
      <c r="C288" s="359" t="str">
        <f>D3</f>
        <v xml:space="preserve">   Rate Formula Template</v>
      </c>
      <c r="D288" s="359"/>
      <c r="E288" s="153"/>
      <c r="F288" s="153"/>
      <c r="G288" s="153"/>
      <c r="H288" s="329"/>
      <c r="J288" s="146"/>
      <c r="K288" s="330" t="str">
        <f>K3</f>
        <v>For the 12 months ended 12/31/15</v>
      </c>
      <c r="M288" s="146"/>
      <c r="N288" s="146"/>
      <c r="O288" s="146"/>
    </row>
    <row r="289" spans="1:15">
      <c r="A289" s="154"/>
      <c r="B289" s="325"/>
      <c r="C289" s="154"/>
      <c r="D289" s="153" t="str">
        <f>D4</f>
        <v>Utilizing EIA Form 412 Data</v>
      </c>
      <c r="E289" s="153"/>
      <c r="F289" s="153"/>
      <c r="G289" s="153"/>
      <c r="H289" s="145"/>
      <c r="I289" s="331"/>
      <c r="J289" s="314"/>
      <c r="K289" s="332"/>
      <c r="M289" s="146"/>
      <c r="N289" s="146"/>
      <c r="O289" s="146"/>
    </row>
    <row r="290" spans="1:15">
      <c r="A290" s="154"/>
      <c r="B290" s="325"/>
      <c r="C290" s="154"/>
      <c r="D290" s="153" t="str">
        <f>D6</f>
        <v>MRES</v>
      </c>
      <c r="E290" s="153"/>
      <c r="F290" s="153"/>
      <c r="G290" s="153"/>
      <c r="H290" s="145"/>
      <c r="I290" s="331"/>
      <c r="J290" s="314"/>
      <c r="K290" s="332"/>
      <c r="M290" s="146"/>
      <c r="N290" s="146"/>
      <c r="O290" s="146"/>
    </row>
    <row r="291" spans="1:15">
      <c r="A291" s="154"/>
      <c r="B291" s="143" t="s">
        <v>583</v>
      </c>
      <c r="C291" s="154"/>
      <c r="D291" s="153"/>
      <c r="E291" s="153"/>
      <c r="F291" s="153"/>
      <c r="G291" s="153"/>
      <c r="H291" s="145"/>
      <c r="I291" s="153"/>
      <c r="J291" s="314"/>
      <c r="K291" s="332"/>
      <c r="M291" s="154"/>
      <c r="N291" s="146"/>
      <c r="O291" s="160"/>
    </row>
    <row r="292" spans="1:15">
      <c r="A292" s="154"/>
      <c r="B292" s="333" t="s">
        <v>584</v>
      </c>
      <c r="C292" s="154"/>
      <c r="D292" s="153"/>
      <c r="E292" s="153"/>
      <c r="F292" s="153"/>
      <c r="G292" s="153"/>
      <c r="H292" s="145"/>
      <c r="I292" s="153"/>
      <c r="J292" s="145"/>
      <c r="K292" s="153"/>
      <c r="M292" s="154"/>
      <c r="N292" s="146"/>
      <c r="O292" s="160"/>
    </row>
    <row r="293" spans="1:15">
      <c r="B293" s="333" t="s">
        <v>585</v>
      </c>
      <c r="C293" s="154"/>
      <c r="D293" s="153"/>
      <c r="E293" s="153"/>
      <c r="F293" s="153"/>
      <c r="G293" s="153"/>
      <c r="H293" s="145"/>
      <c r="I293" s="153"/>
      <c r="J293" s="145"/>
      <c r="K293" s="153"/>
      <c r="M293" s="154"/>
      <c r="N293" s="146"/>
      <c r="O293" s="146"/>
    </row>
    <row r="294" spans="1:15">
      <c r="A294" s="154" t="s">
        <v>586</v>
      </c>
      <c r="B294" s="143" t="s">
        <v>587</v>
      </c>
      <c r="C294" s="145"/>
      <c r="D294" s="153"/>
      <c r="E294" s="153"/>
      <c r="F294" s="153"/>
      <c r="G294" s="166"/>
      <c r="H294" s="145"/>
      <c r="I294" s="153"/>
      <c r="J294" s="145"/>
      <c r="K294" s="153"/>
      <c r="M294" s="154"/>
      <c r="N294" s="146"/>
      <c r="O294" s="146"/>
    </row>
    <row r="295" spans="1:15" ht="16.5" thickBot="1">
      <c r="A295" s="157" t="s">
        <v>588</v>
      </c>
      <c r="C295" s="145"/>
      <c r="D295" s="153"/>
      <c r="E295" s="153"/>
      <c r="F295" s="153"/>
      <c r="G295" s="153"/>
      <c r="H295" s="145"/>
      <c r="I295" s="153"/>
      <c r="J295" s="145"/>
      <c r="K295" s="153"/>
      <c r="M295" s="154"/>
      <c r="N295" s="146"/>
      <c r="O295" s="146"/>
    </row>
    <row r="296" spans="1:15" ht="32.25" customHeight="1">
      <c r="A296" s="334" t="s">
        <v>589</v>
      </c>
      <c r="B296" s="354" t="s">
        <v>590</v>
      </c>
      <c r="C296" s="354"/>
      <c r="D296" s="354"/>
      <c r="E296" s="354"/>
      <c r="F296" s="354"/>
      <c r="G296" s="354"/>
      <c r="H296" s="354"/>
      <c r="I296" s="354"/>
      <c r="J296" s="354"/>
      <c r="K296" s="354"/>
      <c r="M296" s="154"/>
      <c r="N296" s="146"/>
      <c r="O296" s="146"/>
    </row>
    <row r="297" spans="1:15" ht="63" customHeight="1">
      <c r="A297" s="334" t="s">
        <v>591</v>
      </c>
      <c r="B297" s="354" t="s">
        <v>592</v>
      </c>
      <c r="C297" s="354"/>
      <c r="D297" s="354"/>
      <c r="E297" s="354"/>
      <c r="F297" s="354"/>
      <c r="G297" s="354"/>
      <c r="H297" s="354"/>
      <c r="I297" s="354"/>
      <c r="J297" s="354"/>
      <c r="K297" s="354"/>
      <c r="M297" s="154"/>
      <c r="N297" s="146"/>
      <c r="O297" s="146"/>
    </row>
    <row r="298" spans="1:15">
      <c r="A298" s="334" t="s">
        <v>593</v>
      </c>
      <c r="B298" s="354" t="s">
        <v>594</v>
      </c>
      <c r="C298" s="354"/>
      <c r="D298" s="354"/>
      <c r="E298" s="354"/>
      <c r="F298" s="354"/>
      <c r="G298" s="354"/>
      <c r="H298" s="354"/>
      <c r="I298" s="354"/>
      <c r="J298" s="354"/>
      <c r="K298" s="354"/>
      <c r="M298" s="154"/>
      <c r="N298" s="146"/>
      <c r="O298" s="146"/>
    </row>
    <row r="299" spans="1:15">
      <c r="A299" s="334" t="s">
        <v>595</v>
      </c>
      <c r="B299" s="354" t="s">
        <v>594</v>
      </c>
      <c r="C299" s="354"/>
      <c r="D299" s="354"/>
      <c r="E299" s="354"/>
      <c r="F299" s="354"/>
      <c r="G299" s="354"/>
      <c r="H299" s="354"/>
      <c r="I299" s="354"/>
      <c r="J299" s="354"/>
      <c r="K299" s="354"/>
      <c r="M299" s="154"/>
      <c r="N299" s="146"/>
      <c r="O299" s="146"/>
    </row>
    <row r="300" spans="1:15">
      <c r="A300" s="334" t="s">
        <v>596</v>
      </c>
      <c r="B300" s="354" t="s">
        <v>597</v>
      </c>
      <c r="C300" s="354"/>
      <c r="D300" s="354"/>
      <c r="E300" s="354"/>
      <c r="F300" s="354"/>
      <c r="G300" s="354"/>
      <c r="H300" s="354"/>
      <c r="I300" s="354"/>
      <c r="J300" s="354"/>
      <c r="K300" s="354"/>
      <c r="M300" s="154"/>
      <c r="N300" s="146"/>
      <c r="O300" s="146"/>
    </row>
    <row r="301" spans="1:15" ht="48" customHeight="1">
      <c r="A301" s="334" t="s">
        <v>598</v>
      </c>
      <c r="B301" s="360" t="s">
        <v>599</v>
      </c>
      <c r="C301" s="360"/>
      <c r="D301" s="360"/>
      <c r="E301" s="360"/>
      <c r="F301" s="360"/>
      <c r="G301" s="360"/>
      <c r="H301" s="360"/>
      <c r="I301" s="360"/>
      <c r="J301" s="360"/>
      <c r="K301" s="360"/>
      <c r="M301" s="154"/>
      <c r="N301" s="146"/>
      <c r="O301" s="146"/>
    </row>
    <row r="302" spans="1:15">
      <c r="A302" s="334" t="s">
        <v>600</v>
      </c>
      <c r="B302" s="360" t="s">
        <v>601</v>
      </c>
      <c r="C302" s="360"/>
      <c r="D302" s="360"/>
      <c r="E302" s="360"/>
      <c r="F302" s="360"/>
      <c r="G302" s="360"/>
      <c r="H302" s="360"/>
      <c r="I302" s="360"/>
      <c r="J302" s="360"/>
      <c r="K302" s="360"/>
      <c r="M302" s="154"/>
      <c r="N302" s="146"/>
      <c r="O302" s="146"/>
    </row>
    <row r="303" spans="1:15" ht="34.5" customHeight="1">
      <c r="A303" s="334" t="s">
        <v>602</v>
      </c>
      <c r="B303" s="360" t="s">
        <v>603</v>
      </c>
      <c r="C303" s="360"/>
      <c r="D303" s="360"/>
      <c r="E303" s="360"/>
      <c r="F303" s="360"/>
      <c r="G303" s="360"/>
      <c r="H303" s="360"/>
      <c r="I303" s="360"/>
      <c r="J303" s="360"/>
      <c r="K303" s="360"/>
      <c r="M303" s="154"/>
      <c r="N303" s="146"/>
      <c r="O303" s="146"/>
    </row>
    <row r="304" spans="1:15" ht="34.5" customHeight="1">
      <c r="A304" s="334" t="s">
        <v>604</v>
      </c>
      <c r="B304" s="354" t="s">
        <v>605</v>
      </c>
      <c r="C304" s="354"/>
      <c r="D304" s="354"/>
      <c r="E304" s="354"/>
      <c r="F304" s="354"/>
      <c r="G304" s="354"/>
      <c r="H304" s="354"/>
      <c r="I304" s="354"/>
      <c r="J304" s="354"/>
      <c r="K304" s="354"/>
      <c r="M304" s="154"/>
      <c r="N304" s="146"/>
      <c r="O304" s="146"/>
    </row>
    <row r="305" spans="1:15" ht="34.5" customHeight="1">
      <c r="A305" s="334" t="s">
        <v>606</v>
      </c>
      <c r="B305" s="360" t="s">
        <v>607</v>
      </c>
      <c r="C305" s="360"/>
      <c r="D305" s="360"/>
      <c r="E305" s="360"/>
      <c r="F305" s="360"/>
      <c r="G305" s="360"/>
      <c r="H305" s="360"/>
      <c r="I305" s="360"/>
      <c r="J305" s="360"/>
      <c r="K305" s="360"/>
      <c r="M305" s="154"/>
      <c r="N305" s="194"/>
      <c r="O305" s="146"/>
    </row>
    <row r="306" spans="1:15" ht="84.75" customHeight="1">
      <c r="A306" s="334" t="s">
        <v>608</v>
      </c>
      <c r="B306" s="360" t="s">
        <v>609</v>
      </c>
      <c r="C306" s="360"/>
      <c r="D306" s="360"/>
      <c r="E306" s="360"/>
      <c r="F306" s="360"/>
      <c r="G306" s="360"/>
      <c r="H306" s="360"/>
      <c r="I306" s="360"/>
      <c r="J306" s="360"/>
      <c r="K306" s="360"/>
      <c r="M306" s="154"/>
      <c r="N306" s="146"/>
      <c r="O306" s="146"/>
    </row>
    <row r="307" spans="1:15">
      <c r="A307" s="334" t="s">
        <v>281</v>
      </c>
      <c r="B307" s="335" t="s">
        <v>610</v>
      </c>
      <c r="C307" s="336" t="s">
        <v>611</v>
      </c>
      <c r="D307" s="337">
        <v>0</v>
      </c>
      <c r="E307" s="336"/>
      <c r="F307" s="338"/>
      <c r="G307" s="338"/>
      <c r="H307" s="339"/>
      <c r="I307" s="338"/>
      <c r="J307" s="339"/>
      <c r="K307" s="338"/>
      <c r="M307" s="154"/>
      <c r="N307" s="146"/>
      <c r="O307" s="146"/>
    </row>
    <row r="308" spans="1:15">
      <c r="A308" s="334"/>
      <c r="B308" s="336"/>
      <c r="C308" s="336" t="s">
        <v>612</v>
      </c>
      <c r="D308" s="337">
        <v>0</v>
      </c>
      <c r="E308" s="360" t="s">
        <v>613</v>
      </c>
      <c r="F308" s="360"/>
      <c r="G308" s="360"/>
      <c r="H308" s="360"/>
      <c r="I308" s="360"/>
      <c r="J308" s="360"/>
      <c r="K308" s="360"/>
      <c r="M308" s="154"/>
      <c r="N308" s="146"/>
      <c r="O308" s="146"/>
    </row>
    <row r="309" spans="1:15">
      <c r="A309" s="334"/>
      <c r="B309" s="336"/>
      <c r="C309" s="336" t="s">
        <v>614</v>
      </c>
      <c r="D309" s="337">
        <v>0</v>
      </c>
      <c r="E309" s="360" t="s">
        <v>615</v>
      </c>
      <c r="F309" s="360"/>
      <c r="G309" s="360"/>
      <c r="H309" s="360"/>
      <c r="I309" s="360"/>
      <c r="J309" s="360"/>
      <c r="K309" s="360"/>
      <c r="M309" s="154"/>
      <c r="N309" s="146"/>
      <c r="O309" s="146"/>
    </row>
    <row r="310" spans="1:15">
      <c r="A310" s="334" t="s">
        <v>616</v>
      </c>
      <c r="B310" s="360" t="s">
        <v>617</v>
      </c>
      <c r="C310" s="360"/>
      <c r="D310" s="360"/>
      <c r="E310" s="360"/>
      <c r="F310" s="360"/>
      <c r="G310" s="360"/>
      <c r="H310" s="360"/>
      <c r="I310" s="360"/>
      <c r="J310" s="360"/>
      <c r="K310" s="360"/>
      <c r="M310" s="154"/>
      <c r="N310" s="146"/>
      <c r="O310" s="146"/>
    </row>
    <row r="311" spans="1:15" ht="32.25" customHeight="1">
      <c r="A311" s="334" t="s">
        <v>618</v>
      </c>
      <c r="B311" s="360" t="s">
        <v>619</v>
      </c>
      <c r="C311" s="360"/>
      <c r="D311" s="360"/>
      <c r="E311" s="360"/>
      <c r="F311" s="360"/>
      <c r="G311" s="360"/>
      <c r="H311" s="360"/>
      <c r="I311" s="360"/>
      <c r="J311" s="360"/>
      <c r="K311" s="360"/>
      <c r="L311" s="340" t="s">
        <v>620</v>
      </c>
      <c r="M311" s="154"/>
      <c r="N311" s="146"/>
      <c r="O311" s="146"/>
    </row>
    <row r="312" spans="1:15" ht="51" customHeight="1">
      <c r="A312" s="334" t="s">
        <v>621</v>
      </c>
      <c r="B312" s="360" t="s">
        <v>622</v>
      </c>
      <c r="C312" s="360"/>
      <c r="D312" s="360"/>
      <c r="E312" s="360"/>
      <c r="F312" s="360"/>
      <c r="G312" s="360"/>
      <c r="H312" s="360"/>
      <c r="I312" s="360"/>
      <c r="J312" s="360"/>
      <c r="K312" s="360"/>
      <c r="M312" s="154"/>
      <c r="N312" s="146"/>
      <c r="O312" s="146"/>
    </row>
    <row r="313" spans="1:15">
      <c r="A313" s="334" t="s">
        <v>623</v>
      </c>
      <c r="B313" s="360" t="s">
        <v>624</v>
      </c>
      <c r="C313" s="360"/>
      <c r="D313" s="360"/>
      <c r="E313" s="360"/>
      <c r="F313" s="360"/>
      <c r="G313" s="360"/>
      <c r="H313" s="360"/>
      <c r="I313" s="360"/>
      <c r="J313" s="360"/>
      <c r="K313" s="360"/>
      <c r="M313" s="154"/>
      <c r="N313" s="194"/>
      <c r="O313" s="146"/>
    </row>
    <row r="314" spans="1:15" ht="40.5" customHeight="1">
      <c r="A314" s="334" t="s">
        <v>625</v>
      </c>
      <c r="B314" s="354" t="s">
        <v>626</v>
      </c>
      <c r="C314" s="354"/>
      <c r="D314" s="354"/>
      <c r="E314" s="354"/>
      <c r="F314" s="354"/>
      <c r="G314" s="354"/>
      <c r="H314" s="354"/>
      <c r="I314" s="354"/>
      <c r="J314" s="354"/>
      <c r="K314" s="354"/>
      <c r="M314" s="154"/>
      <c r="N314" s="194"/>
      <c r="O314" s="146"/>
    </row>
    <row r="315" spans="1:15" ht="32.25" customHeight="1">
      <c r="A315" s="334" t="s">
        <v>627</v>
      </c>
      <c r="B315" s="360" t="s">
        <v>628</v>
      </c>
      <c r="C315" s="360"/>
      <c r="D315" s="360"/>
      <c r="E315" s="360"/>
      <c r="F315" s="360"/>
      <c r="G315" s="360"/>
      <c r="H315" s="360"/>
      <c r="I315" s="360"/>
      <c r="J315" s="360"/>
      <c r="K315" s="360"/>
      <c r="M315" s="154"/>
      <c r="N315" s="146"/>
      <c r="O315" s="146"/>
    </row>
    <row r="316" spans="1:15" ht="18" customHeight="1">
      <c r="A316" s="334" t="s">
        <v>629</v>
      </c>
      <c r="B316" s="360" t="s">
        <v>630</v>
      </c>
      <c r="C316" s="360"/>
      <c r="D316" s="360"/>
      <c r="E316" s="360"/>
      <c r="F316" s="360"/>
      <c r="G316" s="360"/>
      <c r="H316" s="360"/>
      <c r="I316" s="360"/>
      <c r="J316" s="360"/>
      <c r="K316" s="360"/>
      <c r="M316" s="154"/>
      <c r="N316" s="146"/>
      <c r="O316" s="146"/>
    </row>
    <row r="317" spans="1:15" ht="51" customHeight="1">
      <c r="A317" s="334" t="s">
        <v>631</v>
      </c>
      <c r="B317" s="360" t="s">
        <v>632</v>
      </c>
      <c r="C317" s="360"/>
      <c r="D317" s="360"/>
      <c r="E317" s="360"/>
      <c r="F317" s="360"/>
      <c r="G317" s="360"/>
      <c r="H317" s="360"/>
      <c r="I317" s="360"/>
      <c r="J317" s="360"/>
      <c r="K317" s="360"/>
      <c r="M317" s="154"/>
      <c r="N317" s="146"/>
      <c r="O317" s="146"/>
    </row>
    <row r="318" spans="1:15" ht="65.25" customHeight="1">
      <c r="A318" s="341" t="s">
        <v>633</v>
      </c>
      <c r="B318" s="361" t="s">
        <v>634</v>
      </c>
      <c r="C318" s="361"/>
      <c r="D318" s="361"/>
      <c r="E318" s="361"/>
      <c r="F318" s="361"/>
      <c r="G318" s="361"/>
      <c r="H318" s="361"/>
      <c r="I318" s="361"/>
      <c r="J318" s="361"/>
      <c r="K318" s="361"/>
      <c r="M318" s="154"/>
      <c r="N318" s="146"/>
      <c r="O318" s="146"/>
    </row>
    <row r="319" spans="1:15" ht="18" customHeight="1">
      <c r="A319" s="341" t="s">
        <v>635</v>
      </c>
      <c r="B319" s="361" t="s">
        <v>636</v>
      </c>
      <c r="C319" s="361"/>
      <c r="D319" s="361"/>
      <c r="E319" s="361"/>
      <c r="F319" s="361"/>
      <c r="G319" s="361"/>
      <c r="H319" s="361"/>
      <c r="I319" s="361"/>
      <c r="J319" s="361"/>
      <c r="K319" s="361"/>
      <c r="M319" s="154"/>
      <c r="N319" s="146"/>
      <c r="O319" s="146"/>
    </row>
    <row r="320" spans="1:15" ht="18" customHeight="1">
      <c r="A320" s="342" t="s">
        <v>637</v>
      </c>
      <c r="B320" s="361" t="s">
        <v>638</v>
      </c>
      <c r="C320" s="361"/>
      <c r="D320" s="361"/>
      <c r="E320" s="361"/>
      <c r="F320" s="361"/>
      <c r="G320" s="361"/>
      <c r="H320" s="361"/>
      <c r="I320" s="361"/>
      <c r="J320" s="361"/>
      <c r="K320" s="361"/>
      <c r="M320" s="231"/>
      <c r="N320" s="146"/>
      <c r="O320" s="146"/>
    </row>
    <row r="321" spans="1:15" ht="32.25" customHeight="1">
      <c r="A321" s="342" t="s">
        <v>639</v>
      </c>
      <c r="B321" s="361" t="s">
        <v>640</v>
      </c>
      <c r="C321" s="361"/>
      <c r="D321" s="361"/>
      <c r="E321" s="361"/>
      <c r="F321" s="361"/>
      <c r="G321" s="361"/>
      <c r="H321" s="361"/>
      <c r="I321" s="361"/>
      <c r="J321" s="361"/>
      <c r="K321" s="361"/>
      <c r="M321" s="231"/>
      <c r="N321" s="146"/>
      <c r="O321" s="146"/>
    </row>
    <row r="322" spans="1:15" s="239" customFormat="1" ht="34.5" customHeight="1">
      <c r="A322" s="341" t="s">
        <v>641</v>
      </c>
      <c r="B322" s="361" t="s">
        <v>642</v>
      </c>
      <c r="C322" s="361"/>
      <c r="D322" s="361"/>
      <c r="E322" s="361"/>
      <c r="F322" s="361"/>
      <c r="G322" s="361"/>
      <c r="H322" s="361"/>
      <c r="I322" s="361"/>
      <c r="J322" s="361"/>
      <c r="K322" s="361"/>
      <c r="M322" s="237"/>
      <c r="N322" s="255"/>
      <c r="O322" s="255"/>
    </row>
    <row r="323" spans="1:15" s="261" customFormat="1" ht="33" customHeight="1">
      <c r="A323" s="342" t="s">
        <v>643</v>
      </c>
      <c r="B323" s="361" t="s">
        <v>644</v>
      </c>
      <c r="C323" s="361"/>
      <c r="D323" s="361"/>
      <c r="E323" s="361"/>
      <c r="F323" s="361"/>
      <c r="G323" s="361"/>
      <c r="H323" s="361"/>
      <c r="I323" s="361"/>
      <c r="J323" s="361"/>
      <c r="K323" s="361"/>
      <c r="M323" s="260"/>
      <c r="N323" s="327"/>
      <c r="O323" s="327"/>
    </row>
    <row r="324" spans="1:15" s="261" customFormat="1" ht="33.75" customHeight="1">
      <c r="A324" s="341" t="s">
        <v>645</v>
      </c>
      <c r="B324" s="361" t="s">
        <v>646</v>
      </c>
      <c r="C324" s="361"/>
      <c r="D324" s="361"/>
      <c r="E324" s="361"/>
      <c r="F324" s="361"/>
      <c r="G324" s="361"/>
      <c r="H324" s="361"/>
      <c r="I324" s="361"/>
      <c r="J324" s="361"/>
      <c r="K324" s="361"/>
      <c r="M324" s="260"/>
      <c r="N324" s="327"/>
      <c r="O324" s="327"/>
    </row>
    <row r="325" spans="1:15" s="261" customFormat="1" ht="19.5" customHeight="1">
      <c r="A325" s="341" t="s">
        <v>647</v>
      </c>
      <c r="B325" s="343" t="s">
        <v>648</v>
      </c>
      <c r="C325" s="344"/>
      <c r="D325" s="344"/>
      <c r="E325" s="344"/>
      <c r="F325" s="344"/>
      <c r="G325" s="344"/>
      <c r="H325" s="344"/>
      <c r="I325" s="344"/>
      <c r="J325" s="344"/>
      <c r="K325" s="344"/>
      <c r="M325" s="260"/>
      <c r="N325" s="327"/>
      <c r="O325" s="327"/>
    </row>
    <row r="326" spans="1:15" s="261" customFormat="1" ht="18.75" customHeight="1">
      <c r="A326" s="341" t="s">
        <v>649</v>
      </c>
      <c r="B326" s="345" t="s">
        <v>650</v>
      </c>
      <c r="C326" s="344"/>
      <c r="D326" s="344"/>
      <c r="E326" s="344"/>
      <c r="F326" s="344"/>
      <c r="G326" s="344"/>
      <c r="H326" s="344"/>
      <c r="I326" s="344"/>
      <c r="J326" s="344"/>
      <c r="K326" s="344"/>
      <c r="M326" s="260"/>
      <c r="N326" s="327"/>
      <c r="O326" s="327"/>
    </row>
    <row r="327" spans="1:15" s="261" customFormat="1" ht="36" customHeight="1">
      <c r="A327" s="341" t="s">
        <v>651</v>
      </c>
      <c r="B327" s="362" t="s">
        <v>652</v>
      </c>
      <c r="C327" s="362"/>
      <c r="D327" s="362"/>
      <c r="E327" s="362"/>
      <c r="F327" s="362"/>
      <c r="G327" s="362"/>
      <c r="H327" s="362"/>
      <c r="I327" s="362"/>
      <c r="J327" s="362"/>
      <c r="K327" s="362"/>
      <c r="M327" s="260"/>
      <c r="N327" s="327"/>
      <c r="O327" s="327"/>
    </row>
    <row r="328" spans="1:15">
      <c r="A328" s="154" t="s">
        <v>653</v>
      </c>
      <c r="B328" s="346" t="s">
        <v>654</v>
      </c>
      <c r="C328" s="145"/>
      <c r="D328" s="145"/>
      <c r="E328" s="145"/>
      <c r="F328" s="145"/>
      <c r="G328" s="145"/>
      <c r="H328" s="145"/>
      <c r="I328" s="145"/>
      <c r="J328" s="145"/>
      <c r="K328" s="145"/>
      <c r="M328" s="154"/>
      <c r="N328" s="146"/>
      <c r="O328" s="146"/>
    </row>
    <row r="329" spans="1:15" ht="18.75" customHeight="1">
      <c r="A329" s="154"/>
      <c r="B329" s="346" t="s">
        <v>655</v>
      </c>
      <c r="C329" s="145"/>
      <c r="D329" s="145"/>
      <c r="E329" s="145"/>
      <c r="F329" s="145"/>
      <c r="G329" s="145"/>
      <c r="H329" s="145"/>
      <c r="I329" s="145"/>
      <c r="J329" s="145"/>
      <c r="K329" s="145"/>
      <c r="M329" s="154"/>
      <c r="N329" s="146"/>
      <c r="O329" s="146"/>
    </row>
    <row r="330" spans="1:15" ht="18" customHeight="1">
      <c r="A330" s="154"/>
      <c r="B330" s="346" t="s">
        <v>656</v>
      </c>
      <c r="C330" s="145"/>
      <c r="D330" s="145"/>
      <c r="E330" s="145"/>
      <c r="F330" s="145"/>
      <c r="G330" s="145"/>
      <c r="H330" s="145"/>
      <c r="I330" s="145"/>
      <c r="J330" s="145"/>
      <c r="K330" s="145"/>
      <c r="M330" s="154"/>
      <c r="N330" s="146"/>
      <c r="O330" s="146"/>
    </row>
    <row r="331" spans="1:15">
      <c r="A331" s="154" t="s">
        <v>657</v>
      </c>
      <c r="B331" s="346" t="s">
        <v>658</v>
      </c>
      <c r="C331" s="145"/>
      <c r="D331" s="145"/>
      <c r="E331" s="145"/>
      <c r="F331" s="145"/>
      <c r="G331" s="145"/>
      <c r="H331" s="145"/>
      <c r="I331" s="145"/>
      <c r="J331" s="145"/>
      <c r="K331" s="145"/>
      <c r="M331" s="154"/>
      <c r="N331" s="146"/>
      <c r="O331" s="146"/>
    </row>
    <row r="332" spans="1:15">
      <c r="A332" s="154"/>
      <c r="B332" s="346" t="s">
        <v>659</v>
      </c>
      <c r="C332" s="145"/>
      <c r="D332" s="145"/>
      <c r="E332" s="145"/>
      <c r="F332" s="145"/>
      <c r="G332" s="145"/>
      <c r="H332" s="145"/>
      <c r="I332" s="145"/>
      <c r="J332" s="145"/>
      <c r="K332" s="145"/>
      <c r="M332" s="154"/>
      <c r="N332" s="146"/>
      <c r="O332" s="146"/>
    </row>
    <row r="333" spans="1:15">
      <c r="A333" s="154"/>
      <c r="B333" s="346" t="s">
        <v>660</v>
      </c>
      <c r="C333" s="145"/>
      <c r="D333" s="145"/>
      <c r="E333" s="145"/>
      <c r="F333" s="145"/>
      <c r="G333" s="145"/>
      <c r="H333" s="145"/>
      <c r="I333" s="145"/>
      <c r="J333" s="145"/>
      <c r="K333" s="145"/>
      <c r="M333" s="154"/>
      <c r="N333" s="146"/>
      <c r="O333" s="146"/>
    </row>
    <row r="334" spans="1:15">
      <c r="A334" s="154" t="s">
        <v>661</v>
      </c>
      <c r="B334" s="347" t="s">
        <v>662</v>
      </c>
      <c r="C334" s="145"/>
      <c r="D334" s="145"/>
      <c r="E334" s="145"/>
      <c r="F334" s="145"/>
      <c r="G334" s="145"/>
      <c r="H334" s="145"/>
      <c r="I334" s="145"/>
      <c r="J334" s="145"/>
      <c r="K334" s="145"/>
      <c r="M334" s="154"/>
      <c r="N334" s="146"/>
      <c r="O334" s="146"/>
    </row>
    <row r="335" spans="1:15">
      <c r="A335" s="154"/>
      <c r="B335" s="347" t="s">
        <v>663</v>
      </c>
      <c r="C335" s="145"/>
      <c r="D335" s="145"/>
      <c r="E335" s="145"/>
      <c r="F335" s="145"/>
      <c r="G335" s="145"/>
      <c r="H335" s="145"/>
      <c r="I335" s="145"/>
      <c r="J335" s="145"/>
      <c r="K335" s="145"/>
      <c r="M335" s="154"/>
      <c r="N335" s="146"/>
      <c r="O335" s="146"/>
    </row>
    <row r="336" spans="1:15">
      <c r="A336" s="154" t="s">
        <v>664</v>
      </c>
      <c r="B336" s="347" t="s">
        <v>665</v>
      </c>
      <c r="C336" s="145"/>
      <c r="D336" s="145"/>
      <c r="E336" s="145"/>
      <c r="F336" s="145"/>
      <c r="G336" s="145"/>
      <c r="H336" s="145"/>
      <c r="I336" s="145"/>
      <c r="J336" s="145"/>
      <c r="K336" s="145"/>
      <c r="M336" s="154"/>
      <c r="N336" s="146"/>
      <c r="O336" s="146"/>
    </row>
    <row r="337" spans="1:15">
      <c r="A337" s="154"/>
      <c r="B337" s="143"/>
      <c r="C337" s="145"/>
      <c r="D337" s="145"/>
      <c r="E337" s="145"/>
      <c r="F337" s="145"/>
      <c r="G337" s="145"/>
      <c r="H337" s="145"/>
      <c r="I337" s="145"/>
      <c r="J337" s="145"/>
      <c r="K337" s="145"/>
      <c r="M337" s="154"/>
      <c r="N337" s="146"/>
      <c r="O337" s="146"/>
    </row>
    <row r="338" spans="1:15">
      <c r="A338" s="154"/>
      <c r="B338" s="143"/>
      <c r="C338" s="145"/>
      <c r="D338" s="145"/>
      <c r="E338" s="145"/>
      <c r="F338" s="145"/>
      <c r="G338" s="145"/>
      <c r="H338" s="145"/>
      <c r="I338" s="145"/>
      <c r="J338" s="145"/>
      <c r="K338" s="145"/>
      <c r="M338" s="154"/>
      <c r="N338" s="146"/>
      <c r="O338" s="146"/>
    </row>
    <row r="339" spans="1:15">
      <c r="A339" s="154"/>
      <c r="B339" s="143"/>
      <c r="C339" s="145"/>
      <c r="D339" s="145"/>
      <c r="E339" s="145"/>
      <c r="F339" s="145"/>
      <c r="G339" s="145"/>
      <c r="H339" s="145"/>
      <c r="I339" s="145"/>
      <c r="J339" s="145"/>
      <c r="K339" s="145"/>
      <c r="M339" s="154"/>
      <c r="N339" s="146"/>
      <c r="O339" s="146"/>
    </row>
    <row r="340" spans="1:15">
      <c r="A340" s="154"/>
      <c r="B340" s="143"/>
      <c r="C340" s="145"/>
      <c r="D340" s="145"/>
      <c r="E340" s="145"/>
      <c r="F340" s="145"/>
      <c r="G340" s="145"/>
      <c r="H340" s="145"/>
      <c r="I340" s="145"/>
      <c r="J340" s="145"/>
      <c r="K340" s="145"/>
      <c r="M340" s="154"/>
      <c r="N340" s="146"/>
      <c r="O340" s="146"/>
    </row>
    <row r="341" spans="1:15">
      <c r="A341" s="154"/>
      <c r="B341" s="145"/>
      <c r="C341" s="145"/>
      <c r="D341" s="145"/>
      <c r="E341" s="145"/>
      <c r="F341" s="145"/>
      <c r="G341" s="145"/>
      <c r="H341" s="145"/>
      <c r="I341" s="145"/>
      <c r="J341" s="145"/>
      <c r="K341" s="145"/>
      <c r="M341" s="154"/>
      <c r="N341" s="146"/>
      <c r="O341" s="146"/>
    </row>
    <row r="342" spans="1:15">
      <c r="A342" s="154"/>
      <c r="B342" s="145"/>
      <c r="C342" s="145"/>
      <c r="D342" s="145"/>
      <c r="E342" s="145"/>
      <c r="F342" s="145"/>
      <c r="G342" s="145"/>
      <c r="H342" s="145"/>
      <c r="I342" s="145"/>
      <c r="J342" s="145"/>
      <c r="K342" s="145"/>
      <c r="M342" s="154"/>
      <c r="N342" s="146"/>
      <c r="O342" s="146"/>
    </row>
    <row r="343" spans="1:15">
      <c r="B343" s="146"/>
      <c r="C343" s="146"/>
      <c r="D343" s="146"/>
      <c r="E343" s="146"/>
      <c r="F343" s="146"/>
      <c r="G343" s="146"/>
      <c r="H343" s="146"/>
      <c r="I343" s="146"/>
      <c r="J343" s="145"/>
      <c r="K343" s="145"/>
      <c r="M343" s="154"/>
      <c r="N343" s="146"/>
      <c r="O343" s="146"/>
    </row>
    <row r="344" spans="1:15">
      <c r="B344" s="146"/>
      <c r="C344" s="146"/>
      <c r="D344" s="146"/>
      <c r="E344" s="146"/>
      <c r="F344" s="146"/>
      <c r="G344" s="146"/>
      <c r="H344" s="146"/>
      <c r="I344" s="146"/>
      <c r="J344" s="146"/>
      <c r="K344" s="146"/>
      <c r="M344" s="154"/>
      <c r="N344" s="146"/>
      <c r="O344" s="146"/>
    </row>
    <row r="345" spans="1:15">
      <c r="B345" s="146"/>
      <c r="C345" s="146"/>
      <c r="D345" s="146"/>
      <c r="E345" s="146"/>
      <c r="F345" s="146"/>
      <c r="G345" s="146"/>
      <c r="H345" s="146"/>
      <c r="I345" s="146"/>
      <c r="J345" s="146"/>
      <c r="K345" s="146"/>
      <c r="M345" s="154"/>
      <c r="N345" s="146"/>
      <c r="O345" s="146"/>
    </row>
    <row r="346" spans="1:15">
      <c r="B346" s="146"/>
      <c r="C346" s="146"/>
      <c r="D346" s="146"/>
      <c r="E346" s="146"/>
      <c r="F346" s="146"/>
      <c r="G346" s="146"/>
      <c r="H346" s="146"/>
      <c r="I346" s="146"/>
      <c r="J346" s="146"/>
      <c r="K346" s="146"/>
      <c r="M346" s="146"/>
      <c r="N346" s="146"/>
      <c r="O346" s="146"/>
    </row>
    <row r="347" spans="1:15">
      <c r="B347" s="146"/>
      <c r="C347" s="146"/>
      <c r="D347" s="146"/>
      <c r="E347" s="146"/>
      <c r="F347" s="146"/>
      <c r="G347" s="146"/>
      <c r="H347" s="146"/>
      <c r="I347" s="146"/>
      <c r="J347" s="146"/>
      <c r="K347" s="146"/>
      <c r="M347" s="146"/>
      <c r="N347" s="146"/>
      <c r="O347" s="146"/>
    </row>
    <row r="348" spans="1:15">
      <c r="B348" s="146"/>
      <c r="C348" s="146"/>
      <c r="D348" s="146"/>
      <c r="E348" s="146"/>
      <c r="F348" s="146"/>
      <c r="G348" s="146"/>
      <c r="H348" s="146"/>
      <c r="I348" s="146"/>
      <c r="J348" s="146"/>
      <c r="K348" s="146"/>
      <c r="M348" s="146"/>
      <c r="N348" s="146"/>
      <c r="O348" s="146"/>
    </row>
    <row r="349" spans="1:15">
      <c r="B349" s="146"/>
      <c r="C349" s="146"/>
      <c r="D349" s="146"/>
      <c r="E349" s="146"/>
      <c r="F349" s="146"/>
      <c r="G349" s="146"/>
      <c r="H349" s="146"/>
      <c r="I349" s="146"/>
      <c r="J349" s="146"/>
      <c r="K349" s="146"/>
      <c r="M349" s="146"/>
      <c r="N349" s="146"/>
      <c r="O349" s="146"/>
    </row>
    <row r="350" spans="1:15">
      <c r="B350" s="146"/>
      <c r="C350" s="146"/>
      <c r="D350" s="146"/>
      <c r="E350" s="146"/>
      <c r="F350" s="146"/>
      <c r="G350" s="146"/>
      <c r="H350" s="146"/>
      <c r="I350" s="146"/>
      <c r="J350" s="146"/>
      <c r="K350" s="146"/>
      <c r="M350" s="146"/>
      <c r="N350" s="146"/>
      <c r="O350" s="146"/>
    </row>
    <row r="351" spans="1:15">
      <c r="B351" s="146"/>
      <c r="C351" s="146"/>
      <c r="D351" s="146"/>
      <c r="E351" s="146"/>
      <c r="F351" s="146"/>
      <c r="G351" s="146"/>
      <c r="H351" s="146"/>
      <c r="I351" s="146"/>
      <c r="J351" s="146"/>
      <c r="K351" s="146"/>
      <c r="M351" s="146"/>
      <c r="N351" s="146"/>
      <c r="O351" s="146"/>
    </row>
    <row r="352" spans="1:15">
      <c r="J352" s="146"/>
      <c r="K352" s="146"/>
      <c r="M352" s="146"/>
      <c r="N352" s="146"/>
      <c r="O352" s="146"/>
    </row>
    <row r="353" spans="13:15">
      <c r="M353" s="146"/>
      <c r="N353" s="146"/>
      <c r="O353" s="146"/>
    </row>
    <row r="354" spans="13:15">
      <c r="M354" s="146"/>
      <c r="N354" s="146"/>
      <c r="O354" s="146"/>
    </row>
  </sheetData>
  <mergeCells count="32">
    <mergeCell ref="B324:K324"/>
    <mergeCell ref="B327:K327"/>
    <mergeCell ref="B318:K318"/>
    <mergeCell ref="B319:K319"/>
    <mergeCell ref="B320:K320"/>
    <mergeCell ref="B321:K321"/>
    <mergeCell ref="B322:K322"/>
    <mergeCell ref="B323:K323"/>
    <mergeCell ref="B317:K317"/>
    <mergeCell ref="B305:K305"/>
    <mergeCell ref="B306:K306"/>
    <mergeCell ref="E308:K308"/>
    <mergeCell ref="E309:K309"/>
    <mergeCell ref="B310:K310"/>
    <mergeCell ref="B311:K311"/>
    <mergeCell ref="B312:K312"/>
    <mergeCell ref="B313:K313"/>
    <mergeCell ref="B314:K314"/>
    <mergeCell ref="B315:K315"/>
    <mergeCell ref="B316:K316"/>
    <mergeCell ref="B304:K304"/>
    <mergeCell ref="N31:O31"/>
    <mergeCell ref="L228:Q228"/>
    <mergeCell ref="C288:D288"/>
    <mergeCell ref="B296:K296"/>
    <mergeCell ref="B297:K297"/>
    <mergeCell ref="B298:K298"/>
    <mergeCell ref="B299:K299"/>
    <mergeCell ref="B300:K300"/>
    <mergeCell ref="B301:K301"/>
    <mergeCell ref="B302:K302"/>
    <mergeCell ref="B303:K303"/>
  </mergeCells>
  <pageMargins left="0.5" right="0.5" top="0.5" bottom="0.5" header="0.09" footer="0.5"/>
  <pageSetup scale="55" fitToHeight="5" orientation="portrait" horizontalDpi="300" verticalDpi="300" r:id="rId1"/>
  <headerFooter alignWithMargins="0"/>
  <rowBreaks count="4" manualBreakCount="4">
    <brk id="79" max="16383" man="1"/>
    <brk id="139" max="16383" man="1"/>
    <brk id="210" max="16383" man="1"/>
    <brk id="28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28"/>
  <sheetViews>
    <sheetView showGridLines="0" zoomScaleNormal="100" workbookViewId="0">
      <selection activeCell="E29" sqref="E29"/>
    </sheetView>
  </sheetViews>
  <sheetFormatPr defaultColWidth="9.140625" defaultRowHeight="15"/>
  <cols>
    <col min="1" max="2" width="9.140625" style="5"/>
    <col min="3" max="3" width="27.85546875" style="5" customWidth="1"/>
    <col min="4" max="4" width="8" style="5" customWidth="1"/>
    <col min="5" max="5" width="18.140625" style="5" customWidth="1"/>
    <col min="6" max="6" width="16" style="5" customWidth="1"/>
    <col min="7" max="7" width="18.7109375" style="5" customWidth="1"/>
    <col min="8" max="8" width="9.140625" style="5"/>
    <col min="9" max="9" width="45.140625" style="5" customWidth="1"/>
    <col min="10" max="16384" width="9.140625" style="5"/>
  </cols>
  <sheetData>
    <row r="3" spans="2:9" ht="15.75">
      <c r="B3" s="4" t="s">
        <v>4</v>
      </c>
      <c r="C3" s="4"/>
      <c r="D3" s="4"/>
      <c r="E3" s="4"/>
      <c r="F3" s="4"/>
      <c r="G3" s="4"/>
    </row>
    <row r="4" spans="2:9" ht="15.75">
      <c r="B4" s="6">
        <f>Coversheet!E5</f>
        <v>2015</v>
      </c>
      <c r="C4" s="4" t="s">
        <v>5</v>
      </c>
      <c r="D4" s="4"/>
      <c r="E4" s="4"/>
      <c r="F4" s="4"/>
      <c r="G4" s="4"/>
    </row>
    <row r="5" spans="2:9" ht="15.75">
      <c r="B5" s="4" t="s">
        <v>7</v>
      </c>
      <c r="C5" s="4"/>
      <c r="D5" s="4"/>
      <c r="E5" s="7">
        <f>Coversheet!E5</f>
        <v>2015</v>
      </c>
      <c r="G5" s="4"/>
    </row>
    <row r="6" spans="2:9" ht="15.75">
      <c r="B6" s="4"/>
      <c r="C6" s="4"/>
      <c r="D6" s="4"/>
      <c r="E6" s="7"/>
      <c r="G6" s="4"/>
    </row>
    <row r="7" spans="2:9" s="9" customFormat="1" ht="30">
      <c r="B7" s="8" t="s">
        <v>0</v>
      </c>
      <c r="C7" s="8" t="s">
        <v>1</v>
      </c>
      <c r="D7" s="8" t="s">
        <v>2</v>
      </c>
      <c r="E7" s="8" t="s">
        <v>3</v>
      </c>
      <c r="F7" s="8" t="s">
        <v>8</v>
      </c>
      <c r="G7" s="8" t="s">
        <v>9</v>
      </c>
    </row>
    <row r="8" spans="2:9" ht="34.5" customHeight="1">
      <c r="B8" s="13">
        <v>1</v>
      </c>
      <c r="C8" s="14" t="s">
        <v>10</v>
      </c>
      <c r="D8" s="13">
        <f>$E$5</f>
        <v>2015</v>
      </c>
      <c r="E8" s="23">
        <v>110972.86</v>
      </c>
      <c r="F8" s="23">
        <v>703136</v>
      </c>
      <c r="G8" s="24">
        <f>F8</f>
        <v>703136</v>
      </c>
      <c r="I8" s="32"/>
    </row>
    <row r="9" spans="2:9" ht="15.75">
      <c r="B9" s="13">
        <v>2</v>
      </c>
      <c r="C9" s="15" t="s">
        <v>11</v>
      </c>
      <c r="D9" s="13">
        <f t="shared" ref="D9:D19" si="0">$E$5</f>
        <v>2015</v>
      </c>
      <c r="E9" s="23">
        <v>95994.98</v>
      </c>
      <c r="F9" s="23">
        <v>692984</v>
      </c>
      <c r="G9" s="24">
        <f t="shared" ref="G9:G19" si="1">F9</f>
        <v>692984</v>
      </c>
    </row>
    <row r="10" spans="2:9" ht="15.75">
      <c r="B10" s="13">
        <v>3</v>
      </c>
      <c r="C10" s="15" t="s">
        <v>12</v>
      </c>
      <c r="D10" s="13">
        <f t="shared" si="0"/>
        <v>2015</v>
      </c>
      <c r="E10" s="23">
        <v>102999.12000000001</v>
      </c>
      <c r="F10" s="23">
        <v>647908</v>
      </c>
      <c r="G10" s="24">
        <f t="shared" si="1"/>
        <v>647908</v>
      </c>
    </row>
    <row r="11" spans="2:9" ht="15.75">
      <c r="B11" s="13">
        <v>4</v>
      </c>
      <c r="C11" s="15" t="s">
        <v>13</v>
      </c>
      <c r="D11" s="13">
        <f t="shared" si="0"/>
        <v>2015</v>
      </c>
      <c r="E11" s="23">
        <v>94991.25</v>
      </c>
      <c r="F11" s="23">
        <v>596312</v>
      </c>
      <c r="G11" s="24">
        <f t="shared" si="1"/>
        <v>596312</v>
      </c>
    </row>
    <row r="12" spans="2:9" ht="15.75">
      <c r="B12" s="13">
        <v>5</v>
      </c>
      <c r="C12" s="15" t="s">
        <v>14</v>
      </c>
      <c r="D12" s="13">
        <f t="shared" si="0"/>
        <v>2015</v>
      </c>
      <c r="E12" s="23">
        <v>83016.099999999991</v>
      </c>
      <c r="F12" s="23">
        <v>563265</v>
      </c>
      <c r="G12" s="24">
        <f t="shared" si="1"/>
        <v>563265</v>
      </c>
    </row>
    <row r="13" spans="2:9" ht="15.75">
      <c r="B13" s="13">
        <v>6</v>
      </c>
      <c r="C13" s="15" t="s">
        <v>15</v>
      </c>
      <c r="D13" s="13">
        <f t="shared" si="0"/>
        <v>2015</v>
      </c>
      <c r="E13" s="23">
        <v>108971.04000000001</v>
      </c>
      <c r="F13" s="23">
        <v>679886</v>
      </c>
      <c r="G13" s="24">
        <f t="shared" si="1"/>
        <v>679886</v>
      </c>
    </row>
    <row r="14" spans="2:9" ht="15.75">
      <c r="B14" s="13">
        <v>7</v>
      </c>
      <c r="C14" s="15" t="s">
        <v>16</v>
      </c>
      <c r="D14" s="13">
        <f t="shared" si="0"/>
        <v>2015</v>
      </c>
      <c r="E14" s="23">
        <v>119985.68000000001</v>
      </c>
      <c r="F14" s="23">
        <v>753744</v>
      </c>
      <c r="G14" s="24">
        <f t="shared" si="1"/>
        <v>753744</v>
      </c>
    </row>
    <row r="15" spans="2:9" ht="15.75">
      <c r="B15" s="13">
        <v>8</v>
      </c>
      <c r="C15" s="15" t="s">
        <v>17</v>
      </c>
      <c r="D15" s="13">
        <f t="shared" si="0"/>
        <v>2015</v>
      </c>
      <c r="E15" s="23">
        <v>128007.59999999999</v>
      </c>
      <c r="F15" s="23">
        <v>790809</v>
      </c>
      <c r="G15" s="24">
        <f t="shared" si="1"/>
        <v>790809</v>
      </c>
    </row>
    <row r="16" spans="2:9" ht="15.75">
      <c r="B16" s="13">
        <v>9</v>
      </c>
      <c r="C16" s="15" t="s">
        <v>18</v>
      </c>
      <c r="D16" s="13">
        <f t="shared" si="0"/>
        <v>2015</v>
      </c>
      <c r="E16" s="23">
        <v>97006.37999999999</v>
      </c>
      <c r="F16" s="23">
        <v>705382</v>
      </c>
      <c r="G16" s="24">
        <f t="shared" si="1"/>
        <v>705382</v>
      </c>
    </row>
    <row r="17" spans="2:7" ht="15.75">
      <c r="B17" s="13">
        <v>10</v>
      </c>
      <c r="C17" s="15" t="s">
        <v>19</v>
      </c>
      <c r="D17" s="13">
        <f t="shared" si="0"/>
        <v>2015</v>
      </c>
      <c r="E17" s="23">
        <v>87990.840000000011</v>
      </c>
      <c r="F17" s="23">
        <v>540556</v>
      </c>
      <c r="G17" s="24">
        <f t="shared" si="1"/>
        <v>540556</v>
      </c>
    </row>
    <row r="18" spans="2:7" ht="15.75">
      <c r="B18" s="13">
        <v>11</v>
      </c>
      <c r="C18" s="15" t="s">
        <v>20</v>
      </c>
      <c r="D18" s="13">
        <f t="shared" si="0"/>
        <v>2015</v>
      </c>
      <c r="E18" s="23">
        <v>89985.680000000008</v>
      </c>
      <c r="F18" s="23">
        <v>637650</v>
      </c>
      <c r="G18" s="24">
        <f t="shared" si="1"/>
        <v>637650</v>
      </c>
    </row>
    <row r="19" spans="2:7" ht="17.25">
      <c r="B19" s="13">
        <v>12</v>
      </c>
      <c r="C19" s="15" t="s">
        <v>21</v>
      </c>
      <c r="D19" s="13">
        <f t="shared" si="0"/>
        <v>2015</v>
      </c>
      <c r="E19" s="70">
        <v>102984.15</v>
      </c>
      <c r="F19" s="70">
        <v>702405</v>
      </c>
      <c r="G19" s="71">
        <f t="shared" si="1"/>
        <v>702405</v>
      </c>
    </row>
    <row r="20" spans="2:7">
      <c r="B20" s="13">
        <v>13</v>
      </c>
    </row>
    <row r="21" spans="2:7" ht="17.25">
      <c r="B21" s="13">
        <v>14</v>
      </c>
      <c r="C21" s="6" t="s">
        <v>22</v>
      </c>
      <c r="D21" s="18"/>
      <c r="E21" s="69">
        <f>SUM(E8:E19)/12</f>
        <v>101908.80666666666</v>
      </c>
      <c r="F21" s="69">
        <f t="shared" ref="F21:G21" si="2">SUM(F8:F19)/12</f>
        <v>667836.41666666663</v>
      </c>
      <c r="G21" s="69">
        <f t="shared" si="2"/>
        <v>667836.41666666663</v>
      </c>
    </row>
    <row r="23" spans="2:7">
      <c r="G23" s="44" t="s">
        <v>189</v>
      </c>
    </row>
    <row r="26" spans="2:7">
      <c r="C26" s="104"/>
    </row>
    <row r="28" spans="2:7">
      <c r="C28" s="5" t="s">
        <v>236</v>
      </c>
    </row>
  </sheetData>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0"/>
  <sheetViews>
    <sheetView showGridLines="0" topLeftCell="B73" zoomScaleNormal="100" workbookViewId="0">
      <pane xSplit="3" topLeftCell="E1" activePane="topRight" state="frozen"/>
      <selection activeCell="G22" sqref="G22"/>
      <selection pane="topRight" activeCell="M70" sqref="M70"/>
    </sheetView>
  </sheetViews>
  <sheetFormatPr defaultColWidth="9.140625" defaultRowHeight="15"/>
  <cols>
    <col min="1" max="2" width="9.140625" style="5"/>
    <col min="3" max="3" width="27.85546875" style="5" customWidth="1"/>
    <col min="4" max="4" width="8" style="5" customWidth="1"/>
    <col min="5" max="5" width="13.5703125" style="5" bestFit="1" customWidth="1"/>
    <col min="6" max="6" width="14.85546875" style="5" bestFit="1" customWidth="1"/>
    <col min="7" max="7" width="14.140625" style="5" bestFit="1" customWidth="1"/>
    <col min="8" max="8" width="14.85546875" style="5" bestFit="1" customWidth="1"/>
    <col min="9" max="9" width="13.140625" style="5" bestFit="1" customWidth="1"/>
    <col min="10" max="10" width="13.42578125" style="5" bestFit="1" customWidth="1"/>
    <col min="11" max="11" width="13.140625" style="5" bestFit="1" customWidth="1"/>
    <col min="12" max="12" width="17.28515625" style="5" bestFit="1" customWidth="1"/>
    <col min="13" max="13" width="13.42578125" style="5" bestFit="1" customWidth="1"/>
    <col min="14" max="14" width="12.42578125" style="5" bestFit="1" customWidth="1"/>
    <col min="15" max="15" width="13.42578125" style="5" bestFit="1" customWidth="1"/>
    <col min="16" max="16" width="13.140625" style="5" bestFit="1" customWidth="1"/>
    <col min="17" max="17" width="13.140625" style="5" customWidth="1"/>
    <col min="18" max="18" width="13.42578125" style="5" bestFit="1" customWidth="1"/>
    <col min="19" max="20" width="12.42578125" style="5" bestFit="1" customWidth="1"/>
    <col min="21" max="21" width="11.42578125" style="5" bestFit="1" customWidth="1"/>
    <col min="22" max="22" width="11" style="5" bestFit="1" customWidth="1"/>
    <col min="23" max="16384" width="9.140625" style="5"/>
  </cols>
  <sheetData>
    <row r="1" spans="2:20">
      <c r="G1" s="5" t="s">
        <v>236</v>
      </c>
    </row>
    <row r="3" spans="2:20" ht="15.75">
      <c r="B3" s="4" t="s">
        <v>4</v>
      </c>
      <c r="C3" s="4"/>
      <c r="D3" s="4"/>
      <c r="E3" s="4"/>
      <c r="F3" s="4"/>
      <c r="G3" s="4"/>
      <c r="H3" s="4"/>
      <c r="I3" s="4"/>
      <c r="J3" s="4"/>
      <c r="K3" s="4"/>
      <c r="L3" s="4"/>
    </row>
    <row r="4" spans="2:20" ht="15.75">
      <c r="B4" s="6">
        <f>Coversheet!E5</f>
        <v>2015</v>
      </c>
      <c r="C4" s="4" t="s">
        <v>35</v>
      </c>
      <c r="D4" s="4"/>
      <c r="E4" s="4"/>
      <c r="F4" s="4"/>
      <c r="G4" s="4"/>
      <c r="H4" s="4"/>
      <c r="I4" s="4"/>
      <c r="J4" s="4"/>
      <c r="K4" s="4"/>
      <c r="L4" s="4"/>
    </row>
    <row r="5" spans="2:20" ht="15.75">
      <c r="B5" s="4" t="s">
        <v>7</v>
      </c>
      <c r="C5" s="4"/>
      <c r="D5" s="4"/>
      <c r="E5" s="7">
        <f>Coversheet!E5</f>
        <v>2015</v>
      </c>
      <c r="L5" s="4"/>
    </row>
    <row r="6" spans="2:20" s="98" customFormat="1" ht="18" customHeight="1">
      <c r="B6" s="15"/>
      <c r="C6" s="96"/>
      <c r="D6" s="97"/>
      <c r="E6" s="100"/>
      <c r="F6" s="367" t="s">
        <v>24</v>
      </c>
      <c r="G6" s="367"/>
      <c r="H6" s="100"/>
      <c r="I6" s="100"/>
      <c r="J6" s="100"/>
      <c r="K6" s="100"/>
      <c r="L6" s="99"/>
      <c r="M6" s="363" t="s">
        <v>145</v>
      </c>
      <c r="N6" s="363"/>
      <c r="O6" s="363"/>
      <c r="P6" s="363" t="s">
        <v>233</v>
      </c>
      <c r="Q6" s="363"/>
      <c r="R6" s="363"/>
      <c r="S6" s="363"/>
      <c r="T6" s="363"/>
    </row>
    <row r="7" spans="2:20" s="9" customFormat="1" ht="30" customHeight="1">
      <c r="B7" s="8" t="s">
        <v>0</v>
      </c>
      <c r="C7" s="8" t="s">
        <v>29</v>
      </c>
      <c r="D7" s="8" t="s">
        <v>2</v>
      </c>
      <c r="E7" s="8" t="s">
        <v>23</v>
      </c>
      <c r="F7" s="8" t="s">
        <v>229</v>
      </c>
      <c r="G7" s="8" t="s">
        <v>230</v>
      </c>
      <c r="H7" s="8" t="s">
        <v>25</v>
      </c>
      <c r="I7" s="8" t="s">
        <v>221</v>
      </c>
      <c r="J7" s="8" t="s">
        <v>90</v>
      </c>
      <c r="K7" s="8" t="s">
        <v>26</v>
      </c>
      <c r="L7" s="8" t="s">
        <v>28</v>
      </c>
      <c r="M7" s="95" t="s">
        <v>146</v>
      </c>
      <c r="N7" s="95" t="s">
        <v>147</v>
      </c>
      <c r="O7" s="107" t="s">
        <v>223</v>
      </c>
      <c r="P7" s="107" t="s">
        <v>274</v>
      </c>
      <c r="Q7" s="107" t="s">
        <v>225</v>
      </c>
      <c r="R7" s="95" t="s">
        <v>38</v>
      </c>
      <c r="S7" s="107"/>
      <c r="T7" s="95"/>
    </row>
    <row r="8" spans="2:20" s="9" customFormat="1">
      <c r="B8" s="13">
        <v>1</v>
      </c>
      <c r="C8" s="10" t="s">
        <v>21</v>
      </c>
      <c r="D8" s="10">
        <f>D9-1</f>
        <v>2014</v>
      </c>
      <c r="E8" s="21">
        <f>O81</f>
        <v>303320548</v>
      </c>
      <c r="F8" s="21">
        <f>SUM(M8:O8)</f>
        <v>71951422</v>
      </c>
      <c r="G8" s="21">
        <f>SUM(P8:R8)</f>
        <v>53418691.862144664</v>
      </c>
      <c r="H8" s="21">
        <v>0</v>
      </c>
      <c r="I8" s="21">
        <f>O83</f>
        <v>15626469</v>
      </c>
      <c r="J8" s="21">
        <v>9294997</v>
      </c>
      <c r="K8" s="21">
        <v>0</v>
      </c>
      <c r="L8" s="12">
        <f>SUM(E8:K8)</f>
        <v>453612127.86214465</v>
      </c>
      <c r="M8" s="21">
        <f>O70</f>
        <v>33120204</v>
      </c>
      <c r="N8" s="21">
        <f>O68+O69</f>
        <v>33772985</v>
      </c>
      <c r="O8" s="21">
        <f>O71</f>
        <v>5058233</v>
      </c>
      <c r="P8" s="21">
        <f>O72</f>
        <v>27858691.862144664</v>
      </c>
      <c r="Q8" s="21">
        <f>O73</f>
        <v>0</v>
      </c>
      <c r="R8" s="21">
        <f>O74</f>
        <v>25560000</v>
      </c>
      <c r="S8" s="21">
        <f>F8+G8-SUM(M8:R8)</f>
        <v>0</v>
      </c>
      <c r="T8" s="21"/>
    </row>
    <row r="9" spans="2:20">
      <c r="B9" s="13">
        <v>2</v>
      </c>
      <c r="C9" s="14" t="s">
        <v>10</v>
      </c>
      <c r="D9" s="13">
        <f>$E$5</f>
        <v>2015</v>
      </c>
      <c r="E9" s="21">
        <f>E8+H$64+H$65+H$66+H$67</f>
        <v>303601910.91666669</v>
      </c>
      <c r="F9" s="21">
        <f t="shared" ref="F9:F20" si="0">SUM(M9:O9)</f>
        <v>71967548.916666657</v>
      </c>
      <c r="G9" s="21">
        <f t="shared" ref="G9:G20" si="1">SUM(P9:R9)</f>
        <v>53418691.862144664</v>
      </c>
      <c r="H9" s="21">
        <v>0</v>
      </c>
      <c r="I9" s="21">
        <f t="shared" ref="I9:I20" si="2">I8+H$75</f>
        <v>15653725.222222222</v>
      </c>
      <c r="J9" s="21">
        <f>J8</f>
        <v>9294997</v>
      </c>
      <c r="K9" s="21">
        <v>0</v>
      </c>
      <c r="L9" s="12">
        <f t="shared" ref="L9:L20" si="3">SUM(E9:K9)</f>
        <v>453936873.91770023</v>
      </c>
      <c r="M9" s="21">
        <f t="shared" ref="M9:M20" si="4">M8+$H$70</f>
        <v>33120204</v>
      </c>
      <c r="N9" s="21">
        <f>N8+$H$69+$H$68</f>
        <v>33789111.916666664</v>
      </c>
      <c r="O9" s="21">
        <f>O8</f>
        <v>5058233</v>
      </c>
      <c r="P9" s="21">
        <f>P8</f>
        <v>27858691.862144664</v>
      </c>
      <c r="Q9" s="21">
        <f>Q8</f>
        <v>0</v>
      </c>
      <c r="R9" s="21">
        <f>R8</f>
        <v>25560000</v>
      </c>
      <c r="S9" s="21">
        <f t="shared" ref="S9:S20" si="5">F9+G9-SUM(M9:R9)</f>
        <v>0</v>
      </c>
      <c r="T9" s="21"/>
    </row>
    <row r="10" spans="2:20" ht="15.75">
      <c r="B10" s="13">
        <v>3</v>
      </c>
      <c r="C10" s="15" t="s">
        <v>11</v>
      </c>
      <c r="D10" s="13">
        <f t="shared" ref="D10:D20" si="6">$E$5</f>
        <v>2015</v>
      </c>
      <c r="E10" s="21">
        <f t="shared" ref="E10:E20" si="7">E9+H$64+H$65+H$66+H$67</f>
        <v>303883273.83333337</v>
      </c>
      <c r="F10" s="21">
        <f t="shared" si="0"/>
        <v>71983675.833333328</v>
      </c>
      <c r="G10" s="21">
        <f t="shared" si="1"/>
        <v>63858691.862144664</v>
      </c>
      <c r="H10" s="21">
        <v>0</v>
      </c>
      <c r="I10" s="21">
        <f t="shared" si="2"/>
        <v>15680981.444444444</v>
      </c>
      <c r="J10" s="21">
        <f t="shared" ref="J10:J20" si="8">J9</f>
        <v>9294997</v>
      </c>
      <c r="K10" s="21">
        <v>0</v>
      </c>
      <c r="L10" s="12">
        <f t="shared" si="3"/>
        <v>464701619.97325575</v>
      </c>
      <c r="M10" s="21">
        <f t="shared" si="4"/>
        <v>33120204</v>
      </c>
      <c r="N10" s="21">
        <f t="shared" ref="N10:N20" si="9">N9+$H$69+$H$68</f>
        <v>33805238.833333328</v>
      </c>
      <c r="O10" s="21">
        <f t="shared" ref="O10:R19" si="10">O9</f>
        <v>5058233</v>
      </c>
      <c r="P10" s="21">
        <f t="shared" ref="P10:Q10" si="11">P9</f>
        <v>27858691.862144664</v>
      </c>
      <c r="Q10" s="21">
        <f t="shared" si="11"/>
        <v>0</v>
      </c>
      <c r="R10" s="21">
        <f>R9+F96</f>
        <v>36000000</v>
      </c>
      <c r="S10" s="21">
        <f t="shared" si="5"/>
        <v>0</v>
      </c>
      <c r="T10" s="21"/>
    </row>
    <row r="11" spans="2:20" ht="15.75">
      <c r="B11" s="13">
        <v>4</v>
      </c>
      <c r="C11" s="15" t="s">
        <v>12</v>
      </c>
      <c r="D11" s="13">
        <f t="shared" si="6"/>
        <v>2015</v>
      </c>
      <c r="E11" s="21">
        <f>E10+H$64+H$65+H$66+H$67</f>
        <v>304164636.75000006</v>
      </c>
      <c r="F11" s="21">
        <f t="shared" si="0"/>
        <v>71999802.75</v>
      </c>
      <c r="G11" s="21">
        <f t="shared" si="1"/>
        <v>63858691.862144664</v>
      </c>
      <c r="H11" s="21">
        <v>0</v>
      </c>
      <c r="I11" s="21">
        <f t="shared" si="2"/>
        <v>15708237.666666666</v>
      </c>
      <c r="J11" s="21">
        <f t="shared" si="8"/>
        <v>9294997</v>
      </c>
      <c r="K11" s="21">
        <v>0</v>
      </c>
      <c r="L11" s="12">
        <f t="shared" si="3"/>
        <v>465026366.0288114</v>
      </c>
      <c r="M11" s="21">
        <f t="shared" si="4"/>
        <v>33120204</v>
      </c>
      <c r="N11" s="21">
        <f t="shared" si="9"/>
        <v>33821365.749999993</v>
      </c>
      <c r="O11" s="21">
        <f t="shared" si="10"/>
        <v>5058233</v>
      </c>
      <c r="P11" s="21">
        <f t="shared" ref="P11:Q11" si="12">P10</f>
        <v>27858691.862144664</v>
      </c>
      <c r="Q11" s="21">
        <f t="shared" si="12"/>
        <v>0</v>
      </c>
      <c r="R11" s="21">
        <f t="shared" si="10"/>
        <v>36000000</v>
      </c>
      <c r="S11" s="21">
        <f t="shared" si="5"/>
        <v>0</v>
      </c>
      <c r="T11" s="21"/>
    </row>
    <row r="12" spans="2:20" ht="15.75">
      <c r="B12" s="13">
        <v>5</v>
      </c>
      <c r="C12" s="15" t="s">
        <v>13</v>
      </c>
      <c r="D12" s="13">
        <f t="shared" si="6"/>
        <v>2015</v>
      </c>
      <c r="E12" s="21">
        <f t="shared" si="7"/>
        <v>304445999.66666675</v>
      </c>
      <c r="F12" s="21">
        <f t="shared" si="0"/>
        <v>72015929.666666657</v>
      </c>
      <c r="G12" s="21">
        <f t="shared" si="1"/>
        <v>99941777</v>
      </c>
      <c r="H12" s="21">
        <v>0</v>
      </c>
      <c r="I12" s="21">
        <f t="shared" si="2"/>
        <v>15735493.888888888</v>
      </c>
      <c r="J12" s="21">
        <f t="shared" si="8"/>
        <v>9294997</v>
      </c>
      <c r="K12" s="21">
        <v>0</v>
      </c>
      <c r="L12" s="12">
        <f t="shared" si="3"/>
        <v>501434197.22222227</v>
      </c>
      <c r="M12" s="21">
        <f t="shared" si="4"/>
        <v>33120204</v>
      </c>
      <c r="N12" s="21">
        <f t="shared" si="9"/>
        <v>33837492.666666657</v>
      </c>
      <c r="O12" s="21">
        <f t="shared" si="10"/>
        <v>5058233</v>
      </c>
      <c r="P12" s="21">
        <f>P11</f>
        <v>27858691.862144664</v>
      </c>
      <c r="Q12" s="21">
        <f>Q11+CWIP!F11</f>
        <v>36083085.137855344</v>
      </c>
      <c r="R12" s="21">
        <f t="shared" si="10"/>
        <v>36000000</v>
      </c>
      <c r="S12" s="21">
        <f t="shared" si="5"/>
        <v>0</v>
      </c>
      <c r="T12" s="21"/>
    </row>
    <row r="13" spans="2:20" ht="15.75">
      <c r="B13" s="13">
        <v>6</v>
      </c>
      <c r="C13" s="15" t="s">
        <v>14</v>
      </c>
      <c r="D13" s="13">
        <f t="shared" si="6"/>
        <v>2015</v>
      </c>
      <c r="E13" s="21">
        <f t="shared" si="7"/>
        <v>304727362.58333343</v>
      </c>
      <c r="F13" s="21">
        <f t="shared" si="0"/>
        <v>72032056.583333313</v>
      </c>
      <c r="G13" s="21">
        <f t="shared" si="1"/>
        <v>99941777</v>
      </c>
      <c r="H13" s="21">
        <v>0</v>
      </c>
      <c r="I13" s="21">
        <f t="shared" si="2"/>
        <v>15762750.11111111</v>
      </c>
      <c r="J13" s="21">
        <f t="shared" si="8"/>
        <v>9294997</v>
      </c>
      <c r="K13" s="21">
        <v>0</v>
      </c>
      <c r="L13" s="12">
        <f t="shared" si="3"/>
        <v>501758943.27777785</v>
      </c>
      <c r="M13" s="21">
        <f t="shared" si="4"/>
        <v>33120204</v>
      </c>
      <c r="N13" s="21">
        <f t="shared" si="9"/>
        <v>33853619.583333321</v>
      </c>
      <c r="O13" s="21">
        <f t="shared" si="10"/>
        <v>5058233</v>
      </c>
      <c r="P13" s="21">
        <f t="shared" ref="P13:Q13" si="13">P12</f>
        <v>27858691.862144664</v>
      </c>
      <c r="Q13" s="21">
        <f t="shared" si="13"/>
        <v>36083085.137855344</v>
      </c>
      <c r="R13" s="21">
        <f t="shared" si="10"/>
        <v>36000000</v>
      </c>
      <c r="S13" s="21">
        <f t="shared" si="5"/>
        <v>0</v>
      </c>
      <c r="T13" s="21"/>
    </row>
    <row r="14" spans="2:20" ht="15.75">
      <c r="B14" s="13">
        <v>7</v>
      </c>
      <c r="C14" s="15" t="s">
        <v>15</v>
      </c>
      <c r="D14" s="13">
        <f t="shared" si="6"/>
        <v>2015</v>
      </c>
      <c r="E14" s="21">
        <f>E13+H$64+H$65+H$66+H$67</f>
        <v>305008725.50000012</v>
      </c>
      <c r="F14" s="21">
        <f t="shared" si="0"/>
        <v>72048183.499999985</v>
      </c>
      <c r="G14" s="21">
        <f t="shared" si="1"/>
        <v>99941777</v>
      </c>
      <c r="H14" s="21">
        <v>0</v>
      </c>
      <c r="I14" s="21">
        <f t="shared" si="2"/>
        <v>15790006.333333332</v>
      </c>
      <c r="J14" s="21">
        <f t="shared" si="8"/>
        <v>9294997</v>
      </c>
      <c r="K14" s="21">
        <v>0</v>
      </c>
      <c r="L14" s="12">
        <f t="shared" si="3"/>
        <v>502083689.33333343</v>
      </c>
      <c r="M14" s="21">
        <f t="shared" si="4"/>
        <v>33120204</v>
      </c>
      <c r="N14" s="21">
        <f t="shared" si="9"/>
        <v>33869746.499999985</v>
      </c>
      <c r="O14" s="21">
        <f t="shared" si="10"/>
        <v>5058233</v>
      </c>
      <c r="P14" s="21">
        <f t="shared" ref="P14:Q14" si="14">P13</f>
        <v>27858691.862144664</v>
      </c>
      <c r="Q14" s="21">
        <f t="shared" si="14"/>
        <v>36083085.137855344</v>
      </c>
      <c r="R14" s="21">
        <f t="shared" si="10"/>
        <v>36000000</v>
      </c>
      <c r="S14" s="21">
        <f t="shared" si="5"/>
        <v>0</v>
      </c>
      <c r="T14" s="21"/>
    </row>
    <row r="15" spans="2:20" ht="15.75">
      <c r="B15" s="13">
        <v>8</v>
      </c>
      <c r="C15" s="15" t="s">
        <v>16</v>
      </c>
      <c r="D15" s="13">
        <f t="shared" si="6"/>
        <v>2015</v>
      </c>
      <c r="E15" s="21">
        <f t="shared" si="7"/>
        <v>305290088.41666681</v>
      </c>
      <c r="F15" s="21">
        <f t="shared" si="0"/>
        <v>72064310.416666657</v>
      </c>
      <c r="G15" s="21">
        <f t="shared" si="1"/>
        <v>99941777</v>
      </c>
      <c r="H15" s="21">
        <v>0</v>
      </c>
      <c r="I15" s="21">
        <f t="shared" si="2"/>
        <v>15817262.555555554</v>
      </c>
      <c r="J15" s="21">
        <f t="shared" si="8"/>
        <v>9294997</v>
      </c>
      <c r="K15" s="21">
        <v>0</v>
      </c>
      <c r="L15" s="12">
        <f t="shared" si="3"/>
        <v>502408435.38888907</v>
      </c>
      <c r="M15" s="21">
        <f t="shared" si="4"/>
        <v>33120204</v>
      </c>
      <c r="N15" s="21">
        <f t="shared" si="9"/>
        <v>33885873.416666649</v>
      </c>
      <c r="O15" s="21">
        <f t="shared" si="10"/>
        <v>5058233</v>
      </c>
      <c r="P15" s="21">
        <f t="shared" ref="P15:Q15" si="15">P14</f>
        <v>27858691.862144664</v>
      </c>
      <c r="Q15" s="21">
        <f t="shared" si="15"/>
        <v>36083085.137855344</v>
      </c>
      <c r="R15" s="21">
        <f t="shared" si="10"/>
        <v>36000000</v>
      </c>
      <c r="S15" s="21">
        <f t="shared" si="5"/>
        <v>0</v>
      </c>
      <c r="T15" s="21"/>
    </row>
    <row r="16" spans="2:20" ht="15.75">
      <c r="B16" s="13">
        <v>9</v>
      </c>
      <c r="C16" s="15" t="s">
        <v>17</v>
      </c>
      <c r="D16" s="13">
        <f t="shared" si="6"/>
        <v>2015</v>
      </c>
      <c r="E16" s="21">
        <f t="shared" si="7"/>
        <v>305571451.33333349</v>
      </c>
      <c r="F16" s="21">
        <f t="shared" si="0"/>
        <v>72080437.333333313</v>
      </c>
      <c r="G16" s="21">
        <f t="shared" si="1"/>
        <v>99941777</v>
      </c>
      <c r="H16" s="21">
        <v>0</v>
      </c>
      <c r="I16" s="21">
        <f t="shared" si="2"/>
        <v>15844518.777777776</v>
      </c>
      <c r="J16" s="21">
        <f t="shared" si="8"/>
        <v>9294997</v>
      </c>
      <c r="K16" s="21">
        <v>0</v>
      </c>
      <c r="L16" s="12">
        <f t="shared" si="3"/>
        <v>502733181.4444446</v>
      </c>
      <c r="M16" s="21">
        <f t="shared" si="4"/>
        <v>33120204</v>
      </c>
      <c r="N16" s="21">
        <f t="shared" si="9"/>
        <v>33902000.333333313</v>
      </c>
      <c r="O16" s="21">
        <f t="shared" si="10"/>
        <v>5058233</v>
      </c>
      <c r="P16" s="21">
        <f t="shared" ref="P16:Q16" si="16">P15</f>
        <v>27858691.862144664</v>
      </c>
      <c r="Q16" s="21">
        <f t="shared" si="16"/>
        <v>36083085.137855344</v>
      </c>
      <c r="R16" s="21">
        <f t="shared" si="10"/>
        <v>36000000</v>
      </c>
      <c r="S16" s="21">
        <f t="shared" si="5"/>
        <v>0</v>
      </c>
      <c r="T16" s="21"/>
    </row>
    <row r="17" spans="2:20" ht="15.75">
      <c r="B17" s="13">
        <v>10</v>
      </c>
      <c r="C17" s="15" t="s">
        <v>18</v>
      </c>
      <c r="D17" s="13">
        <f t="shared" si="6"/>
        <v>2015</v>
      </c>
      <c r="E17" s="21">
        <f t="shared" si="7"/>
        <v>305852814.25000018</v>
      </c>
      <c r="F17" s="21">
        <f t="shared" si="0"/>
        <v>72096564.24999997</v>
      </c>
      <c r="G17" s="21">
        <f t="shared" si="1"/>
        <v>99941777</v>
      </c>
      <c r="H17" s="21">
        <v>0</v>
      </c>
      <c r="I17" s="21">
        <f t="shared" si="2"/>
        <v>15871774.999999998</v>
      </c>
      <c r="J17" s="21">
        <f t="shared" si="8"/>
        <v>9294997</v>
      </c>
      <c r="K17" s="21">
        <v>0</v>
      </c>
      <c r="L17" s="12">
        <f t="shared" si="3"/>
        <v>503057927.50000012</v>
      </c>
      <c r="M17" s="21">
        <f t="shared" si="4"/>
        <v>33120204</v>
      </c>
      <c r="N17" s="21">
        <f t="shared" si="9"/>
        <v>33918127.249999978</v>
      </c>
      <c r="O17" s="21">
        <f t="shared" si="10"/>
        <v>5058233</v>
      </c>
      <c r="P17" s="21">
        <f t="shared" ref="P17:Q17" si="17">P16</f>
        <v>27858691.862144664</v>
      </c>
      <c r="Q17" s="21">
        <f t="shared" si="17"/>
        <v>36083085.137855344</v>
      </c>
      <c r="R17" s="21">
        <f t="shared" si="10"/>
        <v>36000000</v>
      </c>
      <c r="S17" s="21">
        <f t="shared" si="5"/>
        <v>0</v>
      </c>
      <c r="T17" s="21"/>
    </row>
    <row r="18" spans="2:20" ht="15.75">
      <c r="B18" s="13">
        <v>11</v>
      </c>
      <c r="C18" s="15" t="s">
        <v>19</v>
      </c>
      <c r="D18" s="13">
        <f t="shared" si="6"/>
        <v>2015</v>
      </c>
      <c r="E18" s="21">
        <f t="shared" si="7"/>
        <v>306134177.16666687</v>
      </c>
      <c r="F18" s="21">
        <f t="shared" si="0"/>
        <v>72112691.166666642</v>
      </c>
      <c r="G18" s="21">
        <f t="shared" si="1"/>
        <v>99941777</v>
      </c>
      <c r="H18" s="21">
        <v>0</v>
      </c>
      <c r="I18" s="21">
        <f t="shared" si="2"/>
        <v>15899031.22222222</v>
      </c>
      <c r="J18" s="21">
        <f t="shared" si="8"/>
        <v>9294997</v>
      </c>
      <c r="K18" s="21">
        <v>0</v>
      </c>
      <c r="L18" s="12">
        <f t="shared" si="3"/>
        <v>503382673.5555557</v>
      </c>
      <c r="M18" s="21">
        <f t="shared" si="4"/>
        <v>33120204</v>
      </c>
      <c r="N18" s="21">
        <f t="shared" si="9"/>
        <v>33934254.166666642</v>
      </c>
      <c r="O18" s="21">
        <f t="shared" si="10"/>
        <v>5058233</v>
      </c>
      <c r="P18" s="21">
        <f t="shared" ref="P18:Q18" si="18">P17</f>
        <v>27858691.862144664</v>
      </c>
      <c r="Q18" s="21">
        <f t="shared" si="18"/>
        <v>36083085.137855344</v>
      </c>
      <c r="R18" s="21">
        <f t="shared" si="10"/>
        <v>36000000</v>
      </c>
      <c r="S18" s="21">
        <f t="shared" si="5"/>
        <v>0</v>
      </c>
      <c r="T18" s="21"/>
    </row>
    <row r="19" spans="2:20" ht="15.75">
      <c r="B19" s="13">
        <v>12</v>
      </c>
      <c r="C19" s="15" t="s">
        <v>20</v>
      </c>
      <c r="D19" s="13">
        <f t="shared" si="6"/>
        <v>2015</v>
      </c>
      <c r="E19" s="21">
        <f t="shared" si="7"/>
        <v>306415540.08333355</v>
      </c>
      <c r="F19" s="21">
        <f t="shared" si="0"/>
        <v>72128818.083333313</v>
      </c>
      <c r="G19" s="21">
        <f t="shared" si="1"/>
        <v>99941777</v>
      </c>
      <c r="H19" s="21">
        <v>0</v>
      </c>
      <c r="I19" s="21">
        <f t="shared" si="2"/>
        <v>15926287.444444442</v>
      </c>
      <c r="J19" s="21">
        <f t="shared" si="8"/>
        <v>9294997</v>
      </c>
      <c r="K19" s="21">
        <v>0</v>
      </c>
      <c r="L19" s="12">
        <f t="shared" si="3"/>
        <v>503707419.61111128</v>
      </c>
      <c r="M19" s="21">
        <f t="shared" si="4"/>
        <v>33120204</v>
      </c>
      <c r="N19" s="21">
        <f t="shared" si="9"/>
        <v>33950381.083333306</v>
      </c>
      <c r="O19" s="21">
        <f t="shared" si="10"/>
        <v>5058233</v>
      </c>
      <c r="P19" s="21">
        <f t="shared" ref="P19:Q19" si="19">P18</f>
        <v>27858691.862144664</v>
      </c>
      <c r="Q19" s="21">
        <f t="shared" si="19"/>
        <v>36083085.137855344</v>
      </c>
      <c r="R19" s="21">
        <f t="shared" si="10"/>
        <v>36000000</v>
      </c>
      <c r="S19" s="21">
        <f t="shared" si="5"/>
        <v>0</v>
      </c>
      <c r="T19" s="21"/>
    </row>
    <row r="20" spans="2:20" ht="17.25">
      <c r="B20" s="13">
        <v>13</v>
      </c>
      <c r="C20" s="15" t="s">
        <v>21</v>
      </c>
      <c r="D20" s="13">
        <f t="shared" si="6"/>
        <v>2015</v>
      </c>
      <c r="E20" s="34">
        <f t="shared" si="7"/>
        <v>306696903.00000024</v>
      </c>
      <c r="F20" s="34">
        <f t="shared" si="0"/>
        <v>72144944.99999997</v>
      </c>
      <c r="G20" s="34">
        <f t="shared" si="1"/>
        <v>99941777</v>
      </c>
      <c r="H20" s="22">
        <v>0</v>
      </c>
      <c r="I20" s="34">
        <f t="shared" si="2"/>
        <v>15953543.666666664</v>
      </c>
      <c r="J20" s="34">
        <f t="shared" si="8"/>
        <v>9294997</v>
      </c>
      <c r="K20" s="22">
        <v>0</v>
      </c>
      <c r="L20" s="17">
        <f t="shared" si="3"/>
        <v>504032165.66666692</v>
      </c>
      <c r="M20" s="34">
        <f t="shared" si="4"/>
        <v>33120204</v>
      </c>
      <c r="N20" s="34">
        <f t="shared" si="9"/>
        <v>33966507.99999997</v>
      </c>
      <c r="O20" s="34">
        <f>O19</f>
        <v>5058233</v>
      </c>
      <c r="P20" s="34">
        <f>P19</f>
        <v>27858691.862144664</v>
      </c>
      <c r="Q20" s="34">
        <f>Q19</f>
        <v>36083085.137855344</v>
      </c>
      <c r="R20" s="34">
        <f>R19</f>
        <v>36000000</v>
      </c>
      <c r="S20" s="21">
        <f t="shared" si="5"/>
        <v>0</v>
      </c>
      <c r="T20" s="34"/>
    </row>
    <row r="21" spans="2:20">
      <c r="B21" s="13">
        <v>14</v>
      </c>
    </row>
    <row r="22" spans="2:20" ht="17.25">
      <c r="B22" s="13">
        <v>15</v>
      </c>
      <c r="C22" s="6" t="s">
        <v>27</v>
      </c>
      <c r="D22" s="18"/>
      <c r="E22" s="30">
        <f>SUM(E8:E20)/13</f>
        <v>305008725.50000012</v>
      </c>
      <c r="F22" s="30">
        <f t="shared" ref="F22:L22" si="20">SUM(F8:F20)/13</f>
        <v>72048183.5</v>
      </c>
      <c r="G22" s="30">
        <f t="shared" ref="G22" si="21">SUM(G8:G20)/13</f>
        <v>87233135.419121429</v>
      </c>
      <c r="H22" s="30">
        <f t="shared" si="20"/>
        <v>0</v>
      </c>
      <c r="I22" s="30">
        <f t="shared" si="20"/>
        <v>15790006.333333332</v>
      </c>
      <c r="J22" s="30">
        <f t="shared" ref="J22" si="22">SUM(J8:J20)/13</f>
        <v>9294997</v>
      </c>
      <c r="K22" s="30">
        <f t="shared" si="20"/>
        <v>0</v>
      </c>
      <c r="L22" s="30">
        <f t="shared" si="20"/>
        <v>489375047.75245482</v>
      </c>
      <c r="M22" s="30">
        <f t="shared" ref="M22:O22" si="23">SUM(M8:M20)/13</f>
        <v>33120204</v>
      </c>
      <c r="N22" s="30">
        <f>SUM(N8:N20)/13</f>
        <v>33869746.499999985</v>
      </c>
      <c r="O22" s="30">
        <f t="shared" si="23"/>
        <v>5058233</v>
      </c>
      <c r="P22" s="30">
        <f t="shared" ref="P22:Q22" si="24">SUM(P8:P20)/13</f>
        <v>27858691.862144653</v>
      </c>
      <c r="Q22" s="30">
        <f t="shared" si="24"/>
        <v>24980597.403130624</v>
      </c>
      <c r="R22" s="30">
        <f t="shared" ref="R22" si="25">SUM(R8:R20)/13</f>
        <v>34393846.153846152</v>
      </c>
      <c r="S22" s="30"/>
      <c r="T22" s="30"/>
    </row>
    <row r="23" spans="2:20" ht="17.25">
      <c r="C23" s="92" t="s">
        <v>190</v>
      </c>
      <c r="D23" s="92"/>
      <c r="E23" s="92" t="s">
        <v>191</v>
      </c>
      <c r="F23" s="92" t="s">
        <v>192</v>
      </c>
      <c r="G23" s="92" t="s">
        <v>231</v>
      </c>
      <c r="H23" s="92" t="s">
        <v>193</v>
      </c>
      <c r="I23" s="92" t="s">
        <v>194</v>
      </c>
      <c r="J23" s="92" t="s">
        <v>194</v>
      </c>
      <c r="K23" s="92" t="s">
        <v>195</v>
      </c>
      <c r="L23" s="92"/>
      <c r="P23" s="101"/>
      <c r="Q23" s="101">
        <f>SUM(O22:Q22)+CWIP!F22</f>
        <v>68580459.076923072</v>
      </c>
      <c r="R23" s="113">
        <f>SUM(P22:R22)</f>
        <v>87233135.419121429</v>
      </c>
      <c r="T23" s="113"/>
    </row>
    <row r="24" spans="2:20" ht="17.25">
      <c r="B24" s="15"/>
      <c r="C24" s="96"/>
      <c r="D24" s="97"/>
      <c r="E24" s="100">
        <f>E38-E26</f>
        <v>4520163.3961269855</v>
      </c>
      <c r="F24" s="100">
        <f t="shared" ref="F24:J24" si="26">F38-F26</f>
        <v>1747492.8179421797</v>
      </c>
      <c r="G24" s="100"/>
      <c r="H24" s="100">
        <f t="shared" si="26"/>
        <v>0</v>
      </c>
      <c r="I24" s="100">
        <f t="shared" si="26"/>
        <v>714945.97418104205</v>
      </c>
      <c r="J24" s="100">
        <f t="shared" si="26"/>
        <v>92949.970000002533</v>
      </c>
      <c r="K24" s="100"/>
      <c r="L24" s="99"/>
      <c r="O24" s="364" t="s">
        <v>30</v>
      </c>
      <c r="P24" s="364"/>
      <c r="Q24" s="364"/>
      <c r="R24" s="364"/>
    </row>
    <row r="25" spans="2:20" ht="45">
      <c r="B25" s="8" t="s">
        <v>0</v>
      </c>
      <c r="C25" s="8" t="s">
        <v>30</v>
      </c>
      <c r="D25" s="8" t="s">
        <v>2</v>
      </c>
      <c r="E25" s="8" t="s">
        <v>23</v>
      </c>
      <c r="F25" s="8" t="s">
        <v>229</v>
      </c>
      <c r="G25" s="8" t="s">
        <v>230</v>
      </c>
      <c r="H25" s="8" t="s">
        <v>25</v>
      </c>
      <c r="I25" s="8" t="str">
        <f>I7</f>
        <v>General</v>
      </c>
      <c r="J25" s="8" t="str">
        <f>J7</f>
        <v>Intangible</v>
      </c>
      <c r="K25" s="8" t="s">
        <v>26</v>
      </c>
      <c r="L25" s="8" t="s">
        <v>31</v>
      </c>
      <c r="O25" s="8" t="str">
        <f>O7</f>
        <v>Fargo 1</v>
      </c>
      <c r="P25" s="8" t="str">
        <f>P7</f>
        <v xml:space="preserve">Fargo 2 </v>
      </c>
      <c r="Q25" s="8" t="str">
        <f>Q7</f>
        <v>Fargo 3</v>
      </c>
      <c r="R25" s="8" t="str">
        <f>R7</f>
        <v>Brookings</v>
      </c>
    </row>
    <row r="26" spans="2:20">
      <c r="B26" s="13">
        <v>16</v>
      </c>
      <c r="C26" s="10" t="s">
        <v>21</v>
      </c>
      <c r="D26" s="10">
        <f>$E$5-1</f>
        <v>2014</v>
      </c>
      <c r="E26" s="21">
        <f>P81</f>
        <v>180207711.18119767</v>
      </c>
      <c r="F26" s="21">
        <f>P82-G26</f>
        <v>34551654.07259246</v>
      </c>
      <c r="G26" s="21">
        <f>SUM(P26:R26)</f>
        <v>957798.64827680832</v>
      </c>
      <c r="H26" s="21">
        <v>0</v>
      </c>
      <c r="I26" s="21">
        <f>P83</f>
        <v>7910848.9238371225</v>
      </c>
      <c r="J26" s="21">
        <f>P84</f>
        <v>7705983.9850000003</v>
      </c>
      <c r="K26" s="21">
        <v>0</v>
      </c>
      <c r="L26" s="12">
        <f>SUM(E26:K26)</f>
        <v>231333996.81090409</v>
      </c>
      <c r="M26" s="31">
        <f>L26-P85</f>
        <v>0</v>
      </c>
      <c r="O26" s="21">
        <f>P71</f>
        <v>379367.91249999998</v>
      </c>
      <c r="P26" s="21">
        <f>P72</f>
        <v>638298.64827680832</v>
      </c>
      <c r="Q26" s="21">
        <f>P73</f>
        <v>0</v>
      </c>
      <c r="R26" s="21">
        <f>P74</f>
        <v>319500</v>
      </c>
    </row>
    <row r="27" spans="2:20">
      <c r="B27" s="13">
        <v>17</v>
      </c>
      <c r="C27" s="14" t="s">
        <v>10</v>
      </c>
      <c r="D27" s="13">
        <f>$E$5</f>
        <v>2015</v>
      </c>
      <c r="E27" s="21">
        <f t="shared" ref="E27:E38" si="27">E26+E8*R$81</f>
        <v>180582479.45257461</v>
      </c>
      <c r="F27" s="21">
        <f t="shared" ref="F27:F38" si="28">F26+F8*R$82</f>
        <v>34697099.176784635</v>
      </c>
      <c r="G27" s="21">
        <f t="shared" ref="G27:G38" si="29">SUM(P27:R27)</f>
        <v>1069087.5896562764</v>
      </c>
      <c r="H27" s="21">
        <v>0</v>
      </c>
      <c r="I27" s="21">
        <f t="shared" ref="I27:I38" si="30">I26+I8*R$83</f>
        <v>7969861.6291237203</v>
      </c>
      <c r="J27" s="21">
        <f t="shared" ref="J27:J38" si="31">J26+J8*R$84</f>
        <v>7713729.8158333339</v>
      </c>
      <c r="K27" s="21">
        <v>0</v>
      </c>
      <c r="L27" s="12">
        <f>SUM(E27:K27)</f>
        <v>232032257.66397256</v>
      </c>
      <c r="O27" s="21">
        <f t="shared" ref="O27:O38" si="32">O26+O8*R$72</f>
        <v>389905.89791666664</v>
      </c>
      <c r="P27" s="21">
        <f t="shared" ref="P27:P38" si="33">P26+P8*$R$72</f>
        <v>696337.5896562764</v>
      </c>
      <c r="Q27" s="21">
        <f t="shared" ref="Q27:Q38" si="34">Q26+Q8*$R$72</f>
        <v>0</v>
      </c>
      <c r="R27" s="21">
        <f t="shared" ref="R27:R38" si="35">R26+R8*$R$72</f>
        <v>372750</v>
      </c>
    </row>
    <row r="28" spans="2:20" ht="15.75">
      <c r="B28" s="13">
        <v>18</v>
      </c>
      <c r="C28" s="15" t="s">
        <v>11</v>
      </c>
      <c r="D28" s="13">
        <f t="shared" ref="D28:D38" si="36">$E$5</f>
        <v>2015</v>
      </c>
      <c r="E28" s="21">
        <f t="shared" si="27"/>
        <v>180957595.36243039</v>
      </c>
      <c r="F28" s="21">
        <f t="shared" si="28"/>
        <v>34842576.880486451</v>
      </c>
      <c r="G28" s="21">
        <f t="shared" si="29"/>
        <v>1180376.5310357446</v>
      </c>
      <c r="H28" s="21">
        <v>0</v>
      </c>
      <c r="I28" s="21">
        <f t="shared" si="30"/>
        <v>8028977.2663912559</v>
      </c>
      <c r="J28" s="21">
        <f t="shared" si="31"/>
        <v>7721475.6466666674</v>
      </c>
      <c r="K28" s="21">
        <v>0</v>
      </c>
      <c r="L28" s="12">
        <f t="shared" ref="L28:L38" si="37">SUM(E28:K28)</f>
        <v>232731001.68701053</v>
      </c>
      <c r="O28" s="21">
        <f t="shared" si="32"/>
        <v>400443.8833333333</v>
      </c>
      <c r="P28" s="21">
        <f t="shared" si="33"/>
        <v>754376.53103574447</v>
      </c>
      <c r="Q28" s="21">
        <f t="shared" si="34"/>
        <v>0</v>
      </c>
      <c r="R28" s="21">
        <f t="shared" si="35"/>
        <v>426000</v>
      </c>
    </row>
    <row r="29" spans="2:20" ht="15.75">
      <c r="B29" s="13">
        <v>19</v>
      </c>
      <c r="C29" s="15" t="s">
        <v>12</v>
      </c>
      <c r="D29" s="13">
        <f t="shared" si="36"/>
        <v>2015</v>
      </c>
      <c r="E29" s="21">
        <f t="shared" si="27"/>
        <v>181333058.91076502</v>
      </c>
      <c r="F29" s="21">
        <f t="shared" si="28"/>
        <v>34988087.183697902</v>
      </c>
      <c r="G29" s="21">
        <f t="shared" si="29"/>
        <v>1313415.4724152125</v>
      </c>
      <c r="H29" s="21">
        <v>0</v>
      </c>
      <c r="I29" s="21">
        <f t="shared" si="30"/>
        <v>8088195.8356397292</v>
      </c>
      <c r="J29" s="21">
        <f t="shared" si="31"/>
        <v>7729221.477500001</v>
      </c>
      <c r="K29" s="21">
        <v>0</v>
      </c>
      <c r="L29" s="12">
        <f t="shared" si="37"/>
        <v>233451978.88001785</v>
      </c>
      <c r="O29" s="21">
        <f t="shared" si="32"/>
        <v>410981.86874999997</v>
      </c>
      <c r="P29" s="21">
        <f t="shared" si="33"/>
        <v>812415.47241521254</v>
      </c>
      <c r="Q29" s="21">
        <f t="shared" si="34"/>
        <v>0</v>
      </c>
      <c r="R29" s="21">
        <f t="shared" si="35"/>
        <v>501000</v>
      </c>
    </row>
    <row r="30" spans="2:20" ht="15.75">
      <c r="B30" s="13">
        <v>20</v>
      </c>
      <c r="C30" s="15" t="s">
        <v>13</v>
      </c>
      <c r="D30" s="13">
        <f t="shared" si="36"/>
        <v>2015</v>
      </c>
      <c r="E30" s="21">
        <f t="shared" si="27"/>
        <v>181708870.0975785</v>
      </c>
      <c r="F30" s="21">
        <f t="shared" si="28"/>
        <v>35133630.086418994</v>
      </c>
      <c r="G30" s="21">
        <f t="shared" si="29"/>
        <v>1446454.4137946805</v>
      </c>
      <c r="H30" s="21">
        <v>0</v>
      </c>
      <c r="I30" s="21">
        <f t="shared" si="30"/>
        <v>8147517.3368691392</v>
      </c>
      <c r="J30" s="21">
        <f t="shared" si="31"/>
        <v>7736967.3083333345</v>
      </c>
      <c r="K30" s="21">
        <v>0</v>
      </c>
      <c r="L30" s="12">
        <f t="shared" si="37"/>
        <v>234173439.24299464</v>
      </c>
      <c r="O30" s="21">
        <f t="shared" si="32"/>
        <v>421519.85416666663</v>
      </c>
      <c r="P30" s="21">
        <f t="shared" si="33"/>
        <v>870454.41379468061</v>
      </c>
      <c r="Q30" s="21">
        <f t="shared" si="34"/>
        <v>0</v>
      </c>
      <c r="R30" s="21">
        <f t="shared" si="35"/>
        <v>576000</v>
      </c>
    </row>
    <row r="31" spans="2:20" ht="15.75">
      <c r="B31" s="13">
        <v>21</v>
      </c>
      <c r="C31" s="15" t="s">
        <v>14</v>
      </c>
      <c r="D31" s="13">
        <f t="shared" si="36"/>
        <v>2015</v>
      </c>
      <c r="E31" s="21">
        <f t="shared" si="27"/>
        <v>182085028.92287081</v>
      </c>
      <c r="F31" s="21">
        <f t="shared" si="28"/>
        <v>35279205.58864972</v>
      </c>
      <c r="G31" s="21">
        <f t="shared" si="29"/>
        <v>1654666.4492113474</v>
      </c>
      <c r="H31" s="21">
        <v>0</v>
      </c>
      <c r="I31" s="21">
        <f t="shared" si="30"/>
        <v>8206941.770079487</v>
      </c>
      <c r="J31" s="21">
        <f t="shared" si="31"/>
        <v>7744713.1391666681</v>
      </c>
      <c r="K31" s="21">
        <v>0</v>
      </c>
      <c r="L31" s="12">
        <f t="shared" si="37"/>
        <v>234970555.86997807</v>
      </c>
      <c r="O31" s="21">
        <f t="shared" si="32"/>
        <v>432057.83958333329</v>
      </c>
      <c r="P31" s="21">
        <f t="shared" si="33"/>
        <v>928493.35517414869</v>
      </c>
      <c r="Q31" s="21">
        <f t="shared" si="34"/>
        <v>75173.094037198636</v>
      </c>
      <c r="R31" s="21">
        <f t="shared" si="35"/>
        <v>651000</v>
      </c>
    </row>
    <row r="32" spans="2:20" ht="15.75">
      <c r="B32" s="13">
        <v>22</v>
      </c>
      <c r="C32" s="15" t="s">
        <v>15</v>
      </c>
      <c r="D32" s="13">
        <f t="shared" si="36"/>
        <v>2015</v>
      </c>
      <c r="E32" s="21">
        <f t="shared" si="27"/>
        <v>182461535.38664198</v>
      </c>
      <c r="F32" s="21">
        <f t="shared" si="28"/>
        <v>35424813.69039008</v>
      </c>
      <c r="G32" s="21">
        <f t="shared" si="29"/>
        <v>1862878.484628014</v>
      </c>
      <c r="H32" s="21">
        <v>0</v>
      </c>
      <c r="I32" s="21">
        <f t="shared" si="30"/>
        <v>8266469.1352707716</v>
      </c>
      <c r="J32" s="21">
        <f t="shared" si="31"/>
        <v>7752458.9700000016</v>
      </c>
      <c r="K32" s="21">
        <v>0</v>
      </c>
      <c r="L32" s="12">
        <f t="shared" si="37"/>
        <v>235768155.66693085</v>
      </c>
      <c r="O32" s="21">
        <f t="shared" si="32"/>
        <v>442595.82499999995</v>
      </c>
      <c r="P32" s="21">
        <f t="shared" si="33"/>
        <v>986532.29655361676</v>
      </c>
      <c r="Q32" s="21">
        <f t="shared" si="34"/>
        <v>150346.18807439727</v>
      </c>
      <c r="R32" s="21">
        <f t="shared" si="35"/>
        <v>726000</v>
      </c>
    </row>
    <row r="33" spans="2:18" ht="15.75">
      <c r="B33" s="13">
        <v>23</v>
      </c>
      <c r="C33" s="15" t="s">
        <v>16</v>
      </c>
      <c r="D33" s="13">
        <f t="shared" si="36"/>
        <v>2015</v>
      </c>
      <c r="E33" s="21">
        <f t="shared" si="27"/>
        <v>182838389.48889199</v>
      </c>
      <c r="F33" s="21">
        <f t="shared" si="28"/>
        <v>35570454.391640082</v>
      </c>
      <c r="G33" s="21">
        <f t="shared" si="29"/>
        <v>2071090.5200446807</v>
      </c>
      <c r="H33" s="21">
        <v>0</v>
      </c>
      <c r="I33" s="21">
        <f t="shared" si="30"/>
        <v>8326099.4324429939</v>
      </c>
      <c r="J33" s="21">
        <f t="shared" si="31"/>
        <v>7760204.8008333351</v>
      </c>
      <c r="K33" s="21">
        <v>0</v>
      </c>
      <c r="L33" s="12">
        <f t="shared" si="37"/>
        <v>236566238.63385311</v>
      </c>
      <c r="O33" s="21">
        <f t="shared" si="32"/>
        <v>453133.81041666662</v>
      </c>
      <c r="P33" s="21">
        <f t="shared" si="33"/>
        <v>1044571.2379330848</v>
      </c>
      <c r="Q33" s="21">
        <f t="shared" si="34"/>
        <v>225519.28211159591</v>
      </c>
      <c r="R33" s="21">
        <f t="shared" si="35"/>
        <v>801000</v>
      </c>
    </row>
    <row r="34" spans="2:18" ht="15.75">
      <c r="B34" s="13">
        <v>24</v>
      </c>
      <c r="C34" s="15" t="s">
        <v>17</v>
      </c>
      <c r="D34" s="13">
        <f t="shared" si="36"/>
        <v>2015</v>
      </c>
      <c r="E34" s="21">
        <f t="shared" si="27"/>
        <v>183215591.22962084</v>
      </c>
      <c r="F34" s="21">
        <f t="shared" si="28"/>
        <v>35716127.692399718</v>
      </c>
      <c r="G34" s="21">
        <f t="shared" si="29"/>
        <v>2279302.5554613471</v>
      </c>
      <c r="H34" s="21">
        <v>0</v>
      </c>
      <c r="I34" s="21">
        <f t="shared" si="30"/>
        <v>8385832.6615961539</v>
      </c>
      <c r="J34" s="21">
        <f t="shared" si="31"/>
        <v>7767950.6316666687</v>
      </c>
      <c r="K34" s="21">
        <v>0</v>
      </c>
      <c r="L34" s="12">
        <f t="shared" si="37"/>
        <v>237364804.77074471</v>
      </c>
      <c r="O34" s="21">
        <f t="shared" si="32"/>
        <v>463671.79583333328</v>
      </c>
      <c r="P34" s="21">
        <f t="shared" si="33"/>
        <v>1102610.1793125528</v>
      </c>
      <c r="Q34" s="21">
        <f t="shared" si="34"/>
        <v>300692.37614879454</v>
      </c>
      <c r="R34" s="21">
        <f t="shared" si="35"/>
        <v>876000</v>
      </c>
    </row>
    <row r="35" spans="2:18" ht="15.75">
      <c r="B35" s="13">
        <v>25</v>
      </c>
      <c r="C35" s="15" t="s">
        <v>18</v>
      </c>
      <c r="D35" s="13">
        <f t="shared" si="36"/>
        <v>2015</v>
      </c>
      <c r="E35" s="21">
        <f t="shared" si="27"/>
        <v>183593140.60882854</v>
      </c>
      <c r="F35" s="21">
        <f t="shared" si="28"/>
        <v>35861833.592668995</v>
      </c>
      <c r="G35" s="21">
        <f t="shared" si="29"/>
        <v>2487514.590878014</v>
      </c>
      <c r="H35" s="21">
        <v>0</v>
      </c>
      <c r="I35" s="21">
        <f t="shared" si="30"/>
        <v>8445668.8227302507</v>
      </c>
      <c r="J35" s="21">
        <f t="shared" si="31"/>
        <v>7775696.4625000022</v>
      </c>
      <c r="K35" s="21">
        <v>0</v>
      </c>
      <c r="L35" s="12">
        <f t="shared" si="37"/>
        <v>238163854.07760581</v>
      </c>
      <c r="O35" s="21">
        <f t="shared" si="32"/>
        <v>474209.78124999994</v>
      </c>
      <c r="P35" s="21">
        <f t="shared" si="33"/>
        <v>1160649.1206920207</v>
      </c>
      <c r="Q35" s="21">
        <f t="shared" si="34"/>
        <v>375865.47018599318</v>
      </c>
      <c r="R35" s="21">
        <f t="shared" si="35"/>
        <v>951000</v>
      </c>
    </row>
    <row r="36" spans="2:18" ht="15.75">
      <c r="B36" s="13">
        <v>26</v>
      </c>
      <c r="C36" s="15" t="s">
        <v>19</v>
      </c>
      <c r="D36" s="13">
        <f t="shared" si="36"/>
        <v>2015</v>
      </c>
      <c r="E36" s="21">
        <f t="shared" si="27"/>
        <v>183971037.62651509</v>
      </c>
      <c r="F36" s="21">
        <f t="shared" si="28"/>
        <v>36007572.092447907</v>
      </c>
      <c r="G36" s="21">
        <f t="shared" si="29"/>
        <v>2695726.6262946804</v>
      </c>
      <c r="H36" s="21">
        <v>0</v>
      </c>
      <c r="I36" s="21">
        <f t="shared" si="30"/>
        <v>8505607.9158452842</v>
      </c>
      <c r="J36" s="21">
        <f t="shared" si="31"/>
        <v>7783442.2933333358</v>
      </c>
      <c r="K36" s="21">
        <v>0</v>
      </c>
      <c r="L36" s="12">
        <f t="shared" si="37"/>
        <v>238963386.55443627</v>
      </c>
      <c r="O36" s="21">
        <f t="shared" si="32"/>
        <v>484747.7666666666</v>
      </c>
      <c r="P36" s="21">
        <f t="shared" si="33"/>
        <v>1218688.0620714887</v>
      </c>
      <c r="Q36" s="21">
        <f t="shared" si="34"/>
        <v>451038.56422319182</v>
      </c>
      <c r="R36" s="21">
        <f t="shared" si="35"/>
        <v>1026000</v>
      </c>
    </row>
    <row r="37" spans="2:18" ht="15.75">
      <c r="B37" s="13">
        <v>27</v>
      </c>
      <c r="C37" s="15" t="s">
        <v>20</v>
      </c>
      <c r="D37" s="13">
        <f t="shared" si="36"/>
        <v>2015</v>
      </c>
      <c r="E37" s="21">
        <f t="shared" si="27"/>
        <v>184349282.28268045</v>
      </c>
      <c r="F37" s="21">
        <f t="shared" si="28"/>
        <v>36153343.191736452</v>
      </c>
      <c r="G37" s="21">
        <f t="shared" si="29"/>
        <v>2903938.6617113473</v>
      </c>
      <c r="H37" s="21">
        <v>0</v>
      </c>
      <c r="I37" s="21">
        <f t="shared" si="30"/>
        <v>8565649.9409412555</v>
      </c>
      <c r="J37" s="21">
        <f t="shared" si="31"/>
        <v>7791188.1241666693</v>
      </c>
      <c r="K37" s="21">
        <v>0</v>
      </c>
      <c r="L37" s="12">
        <f t="shared" si="37"/>
        <v>239763402.20123616</v>
      </c>
      <c r="O37" s="21">
        <f t="shared" si="32"/>
        <v>495285.75208333327</v>
      </c>
      <c r="P37" s="21">
        <f t="shared" si="33"/>
        <v>1276727.0034509567</v>
      </c>
      <c r="Q37" s="21">
        <f t="shared" si="34"/>
        <v>526211.6582603904</v>
      </c>
      <c r="R37" s="21">
        <f t="shared" si="35"/>
        <v>1101000</v>
      </c>
    </row>
    <row r="38" spans="2:18" ht="17.25">
      <c r="B38" s="13">
        <v>28</v>
      </c>
      <c r="C38" s="15" t="s">
        <v>21</v>
      </c>
      <c r="D38" s="13">
        <f t="shared" si="36"/>
        <v>2015</v>
      </c>
      <c r="E38" s="34">
        <f t="shared" si="27"/>
        <v>184727874.57732466</v>
      </c>
      <c r="F38" s="34">
        <f t="shared" si="28"/>
        <v>36299146.890534639</v>
      </c>
      <c r="G38" s="34">
        <f t="shared" si="29"/>
        <v>3112150.6971280137</v>
      </c>
      <c r="H38" s="22">
        <v>0</v>
      </c>
      <c r="I38" s="34">
        <f t="shared" si="30"/>
        <v>8625794.8980181646</v>
      </c>
      <c r="J38" s="34">
        <f t="shared" si="31"/>
        <v>7798933.9550000029</v>
      </c>
      <c r="K38" s="22">
        <v>0</v>
      </c>
      <c r="L38" s="17">
        <f t="shared" si="37"/>
        <v>240563901.01800549</v>
      </c>
      <c r="O38" s="34">
        <f t="shared" si="32"/>
        <v>505823.73749999993</v>
      </c>
      <c r="P38" s="34">
        <f t="shared" si="33"/>
        <v>1334765.9448304246</v>
      </c>
      <c r="Q38" s="34">
        <f t="shared" si="34"/>
        <v>601384.75229758909</v>
      </c>
      <c r="R38" s="34">
        <f t="shared" si="35"/>
        <v>1176000</v>
      </c>
    </row>
    <row r="39" spans="2:18">
      <c r="B39" s="13">
        <v>29</v>
      </c>
    </row>
    <row r="40" spans="2:18" ht="17.25">
      <c r="B40" s="13">
        <v>30</v>
      </c>
      <c r="C40" s="6" t="s">
        <v>27</v>
      </c>
      <c r="D40" s="18"/>
      <c r="E40" s="30">
        <f>SUM(E26:E38)/13</f>
        <v>182463968.85599393</v>
      </c>
      <c r="F40" s="30">
        <f t="shared" ref="F40:L40" si="38">SUM(F26:F38)/13</f>
        <v>35425041.886957541</v>
      </c>
      <c r="G40" s="30">
        <f t="shared" ref="G40" si="39">SUM(G26:G38)/13</f>
        <v>1925723.1723489356</v>
      </c>
      <c r="H40" s="30">
        <f t="shared" si="38"/>
        <v>0</v>
      </c>
      <c r="I40" s="30">
        <f t="shared" si="38"/>
        <v>8267189.6591373347</v>
      </c>
      <c r="J40" s="30">
        <f t="shared" ref="J40" si="40">SUM(J26:J38)/13</f>
        <v>7752458.9700000025</v>
      </c>
      <c r="K40" s="30">
        <f t="shared" si="38"/>
        <v>0</v>
      </c>
      <c r="L40" s="30">
        <f t="shared" si="38"/>
        <v>235834382.54443771</v>
      </c>
      <c r="O40" s="30">
        <f t="shared" ref="O40:R40" si="41">SUM(O26:O38)/13</f>
        <v>442595.82499999995</v>
      </c>
      <c r="P40" s="30">
        <f t="shared" si="41"/>
        <v>986532.29655361664</v>
      </c>
      <c r="Q40" s="30">
        <f t="shared" ref="Q40" si="42">SUM(Q26:Q38)/13</f>
        <v>208171.64502608852</v>
      </c>
      <c r="R40" s="30">
        <f t="shared" si="41"/>
        <v>731019.23076923075</v>
      </c>
    </row>
    <row r="41" spans="2:18">
      <c r="C41" s="92" t="s">
        <v>190</v>
      </c>
      <c r="D41" s="92"/>
      <c r="E41" s="92" t="s">
        <v>196</v>
      </c>
      <c r="F41" s="92" t="s">
        <v>197</v>
      </c>
      <c r="G41" s="92" t="s">
        <v>232</v>
      </c>
      <c r="H41" s="92" t="s">
        <v>198</v>
      </c>
      <c r="I41" s="92" t="s">
        <v>199</v>
      </c>
      <c r="J41" s="92" t="s">
        <v>199</v>
      </c>
      <c r="K41" s="92" t="s">
        <v>200</v>
      </c>
      <c r="O41" s="92" t="s">
        <v>197</v>
      </c>
      <c r="P41" s="92" t="s">
        <v>232</v>
      </c>
      <c r="Q41" s="92" t="s">
        <v>232</v>
      </c>
      <c r="R41" s="92" t="s">
        <v>232</v>
      </c>
    </row>
    <row r="42" spans="2:18" ht="30">
      <c r="B42" s="8" t="s">
        <v>0</v>
      </c>
      <c r="C42" s="8" t="s">
        <v>32</v>
      </c>
      <c r="D42" s="8" t="s">
        <v>2</v>
      </c>
      <c r="E42" s="8" t="s">
        <v>23</v>
      </c>
      <c r="F42" s="8" t="s">
        <v>229</v>
      </c>
      <c r="G42" s="8" t="s">
        <v>230</v>
      </c>
      <c r="H42" s="8" t="s">
        <v>25</v>
      </c>
      <c r="I42" s="8" t="str">
        <f>I25</f>
        <v>General</v>
      </c>
      <c r="J42" s="8" t="str">
        <f>J25</f>
        <v>Intangible</v>
      </c>
      <c r="K42" s="8" t="s">
        <v>26</v>
      </c>
      <c r="L42" s="8" t="s">
        <v>33</v>
      </c>
      <c r="O42" s="8" t="s">
        <v>209</v>
      </c>
      <c r="P42" s="8" t="str">
        <f>P25</f>
        <v xml:space="preserve">Fargo 2 </v>
      </c>
      <c r="Q42" s="8" t="str">
        <f>Q25</f>
        <v>Fargo 3</v>
      </c>
      <c r="R42" s="8" t="str">
        <f>R25</f>
        <v>Brookings</v>
      </c>
    </row>
    <row r="43" spans="2:18">
      <c r="B43" s="13">
        <v>31</v>
      </c>
      <c r="C43" s="10" t="s">
        <v>21</v>
      </c>
      <c r="D43" s="10">
        <f>$E$5-1</f>
        <v>2014</v>
      </c>
      <c r="E43" s="21">
        <f>E8-E26</f>
        <v>123112836.81880233</v>
      </c>
      <c r="F43" s="21">
        <f t="shared" ref="F43:L43" si="43">F8-F26</f>
        <v>37399767.92740754</v>
      </c>
      <c r="G43" s="21">
        <f t="shared" ref="G43" si="44">G8-G26</f>
        <v>52460893.213867858</v>
      </c>
      <c r="H43" s="21">
        <f t="shared" si="43"/>
        <v>0</v>
      </c>
      <c r="I43" s="21">
        <f t="shared" si="43"/>
        <v>7715620.0761628775</v>
      </c>
      <c r="J43" s="21">
        <f t="shared" ref="J43" si="45">J8-J26</f>
        <v>1589013.0149999997</v>
      </c>
      <c r="K43" s="21">
        <f t="shared" si="43"/>
        <v>0</v>
      </c>
      <c r="L43" s="21">
        <f t="shared" si="43"/>
        <v>222278131.05124056</v>
      </c>
      <c r="O43" s="21">
        <f t="shared" ref="O43:R43" si="46">O8-O26</f>
        <v>4678865.0875000004</v>
      </c>
      <c r="P43" s="21">
        <f t="shared" si="46"/>
        <v>27220393.213867854</v>
      </c>
      <c r="Q43" s="21">
        <f t="shared" ref="Q43" si="47">Q8-Q26</f>
        <v>0</v>
      </c>
      <c r="R43" s="21">
        <f t="shared" si="46"/>
        <v>25240500</v>
      </c>
    </row>
    <row r="44" spans="2:18">
      <c r="B44" s="13">
        <v>32</v>
      </c>
      <c r="C44" s="14" t="s">
        <v>10</v>
      </c>
      <c r="D44" s="13">
        <f>$E$5</f>
        <v>2015</v>
      </c>
      <c r="E44" s="21">
        <f t="shared" ref="E44:L55" si="48">E9-E27</f>
        <v>123019431.46409208</v>
      </c>
      <c r="F44" s="21">
        <f t="shared" si="48"/>
        <v>37270449.739882022</v>
      </c>
      <c r="G44" s="21">
        <f t="shared" ref="G44" si="49">G9-G27</f>
        <v>52349604.272488385</v>
      </c>
      <c r="H44" s="21">
        <f t="shared" si="48"/>
        <v>0</v>
      </c>
      <c r="I44" s="21">
        <f t="shared" si="48"/>
        <v>7683863.5930985017</v>
      </c>
      <c r="J44" s="21">
        <f t="shared" ref="J44" si="50">J9-J27</f>
        <v>1581267.1841666661</v>
      </c>
      <c r="K44" s="21">
        <f t="shared" si="48"/>
        <v>0</v>
      </c>
      <c r="L44" s="21">
        <f t="shared" si="48"/>
        <v>221904616.25372767</v>
      </c>
      <c r="O44" s="21">
        <f t="shared" ref="O44:R44" si="51">O9-O27</f>
        <v>4668327.1020833338</v>
      </c>
      <c r="P44" s="21">
        <f t="shared" si="51"/>
        <v>27162354.272488389</v>
      </c>
      <c r="Q44" s="21">
        <f t="shared" ref="Q44" si="52">Q9-Q27</f>
        <v>0</v>
      </c>
      <c r="R44" s="21">
        <f t="shared" si="51"/>
        <v>25187250</v>
      </c>
    </row>
    <row r="45" spans="2:18" ht="15.75">
      <c r="B45" s="13">
        <v>33</v>
      </c>
      <c r="C45" s="15" t="s">
        <v>11</v>
      </c>
      <c r="D45" s="13">
        <f t="shared" ref="D45:D55" si="53">$E$5</f>
        <v>2015</v>
      </c>
      <c r="E45" s="21">
        <f t="shared" si="48"/>
        <v>122925678.47090298</v>
      </c>
      <c r="F45" s="21">
        <f t="shared" si="48"/>
        <v>37141098.952846877</v>
      </c>
      <c r="G45" s="21">
        <f t="shared" ref="G45" si="54">G10-G28</f>
        <v>62678315.33110892</v>
      </c>
      <c r="H45" s="21">
        <f t="shared" si="48"/>
        <v>0</v>
      </c>
      <c r="I45" s="21">
        <f t="shared" si="48"/>
        <v>7652004.1780531881</v>
      </c>
      <c r="J45" s="21">
        <f t="shared" ref="J45" si="55">J10-J28</f>
        <v>1573521.3533333326</v>
      </c>
      <c r="K45" s="21">
        <f t="shared" si="48"/>
        <v>0</v>
      </c>
      <c r="L45" s="21">
        <f t="shared" si="48"/>
        <v>231970618.28624523</v>
      </c>
      <c r="O45" s="21">
        <f t="shared" ref="O45:R45" si="56">O10-O28</f>
        <v>4657789.1166666672</v>
      </c>
      <c r="P45" s="21">
        <f t="shared" si="56"/>
        <v>27104315.33110892</v>
      </c>
      <c r="Q45" s="21">
        <f t="shared" ref="Q45" si="57">Q10-Q28</f>
        <v>0</v>
      </c>
      <c r="R45" s="21">
        <f t="shared" si="56"/>
        <v>35574000</v>
      </c>
    </row>
    <row r="46" spans="2:18" ht="15.75">
      <c r="B46" s="13">
        <v>34</v>
      </c>
      <c r="C46" s="15" t="s">
        <v>12</v>
      </c>
      <c r="D46" s="13">
        <f t="shared" si="53"/>
        <v>2015</v>
      </c>
      <c r="E46" s="21">
        <f t="shared" si="48"/>
        <v>122831577.83923504</v>
      </c>
      <c r="F46" s="21">
        <f t="shared" si="48"/>
        <v>37011715.566302098</v>
      </c>
      <c r="G46" s="21">
        <f t="shared" ref="G46" si="58">G11-G29</f>
        <v>62545276.389729455</v>
      </c>
      <c r="H46" s="21">
        <f t="shared" si="48"/>
        <v>0</v>
      </c>
      <c r="I46" s="21">
        <f t="shared" si="48"/>
        <v>7620041.8310269369</v>
      </c>
      <c r="J46" s="21">
        <f t="shared" ref="J46" si="59">J11-J29</f>
        <v>1565775.522499999</v>
      </c>
      <c r="K46" s="21">
        <f t="shared" si="48"/>
        <v>0</v>
      </c>
      <c r="L46" s="21">
        <f t="shared" si="48"/>
        <v>231574387.14879355</v>
      </c>
      <c r="O46" s="21">
        <f t="shared" ref="O46:R46" si="60">O11-O29</f>
        <v>4647251.1312499996</v>
      </c>
      <c r="P46" s="21">
        <f t="shared" si="60"/>
        <v>27046276.389729451</v>
      </c>
      <c r="Q46" s="21">
        <f t="shared" ref="Q46" si="61">Q11-Q29</f>
        <v>0</v>
      </c>
      <c r="R46" s="21">
        <f t="shared" si="60"/>
        <v>35499000</v>
      </c>
    </row>
    <row r="47" spans="2:18" ht="15.75">
      <c r="B47" s="13">
        <v>35</v>
      </c>
      <c r="C47" s="15" t="s">
        <v>13</v>
      </c>
      <c r="D47" s="13">
        <f t="shared" si="53"/>
        <v>2015</v>
      </c>
      <c r="E47" s="21">
        <f t="shared" si="48"/>
        <v>122737129.56908825</v>
      </c>
      <c r="F47" s="21">
        <f t="shared" si="48"/>
        <v>36882299.580247663</v>
      </c>
      <c r="G47" s="21">
        <f t="shared" ref="G47" si="62">G12-G30</f>
        <v>98495322.586205319</v>
      </c>
      <c r="H47" s="21">
        <f t="shared" si="48"/>
        <v>0</v>
      </c>
      <c r="I47" s="21">
        <f t="shared" si="48"/>
        <v>7587976.5520197488</v>
      </c>
      <c r="J47" s="21">
        <f t="shared" ref="J47" si="63">J12-J30</f>
        <v>1558029.6916666655</v>
      </c>
      <c r="K47" s="21">
        <f t="shared" si="48"/>
        <v>0</v>
      </c>
      <c r="L47" s="21">
        <f t="shared" si="48"/>
        <v>267260757.97922763</v>
      </c>
      <c r="O47" s="21">
        <f t="shared" ref="O47:R47" si="64">O12-O30</f>
        <v>4636713.145833333</v>
      </c>
      <c r="P47" s="21">
        <f t="shared" si="64"/>
        <v>26988237.448349983</v>
      </c>
      <c r="Q47" s="21">
        <f t="shared" ref="Q47" si="65">Q12-Q30</f>
        <v>36083085.137855344</v>
      </c>
      <c r="R47" s="21">
        <f t="shared" si="64"/>
        <v>35424000</v>
      </c>
    </row>
    <row r="48" spans="2:18" ht="15.75">
      <c r="B48" s="13">
        <v>36</v>
      </c>
      <c r="C48" s="15" t="s">
        <v>14</v>
      </c>
      <c r="D48" s="13">
        <f t="shared" si="53"/>
        <v>2015</v>
      </c>
      <c r="E48" s="21">
        <f t="shared" si="48"/>
        <v>122642333.66046262</v>
      </c>
      <c r="F48" s="21">
        <f t="shared" si="48"/>
        <v>36752850.994683594</v>
      </c>
      <c r="G48" s="21">
        <f t="shared" ref="G48" si="66">G13-G31</f>
        <v>98287110.550788656</v>
      </c>
      <c r="H48" s="21">
        <f t="shared" si="48"/>
        <v>0</v>
      </c>
      <c r="I48" s="21">
        <f t="shared" si="48"/>
        <v>7555808.3410316231</v>
      </c>
      <c r="J48" s="21">
        <f t="shared" ref="J48" si="67">J13-J31</f>
        <v>1550283.8608333319</v>
      </c>
      <c r="K48" s="21">
        <f t="shared" si="48"/>
        <v>0</v>
      </c>
      <c r="L48" s="21">
        <f t="shared" si="48"/>
        <v>266788387.40779978</v>
      </c>
      <c r="O48" s="21">
        <f t="shared" ref="O48:R48" si="68">O13-O31</f>
        <v>4626175.1604166664</v>
      </c>
      <c r="P48" s="21">
        <f t="shared" si="68"/>
        <v>26930198.506970514</v>
      </c>
      <c r="Q48" s="21">
        <f t="shared" ref="Q48" si="69">Q13-Q31</f>
        <v>36007912.043818146</v>
      </c>
      <c r="R48" s="21">
        <f t="shared" si="68"/>
        <v>35349000</v>
      </c>
    </row>
    <row r="49" spans="2:21" ht="15.75">
      <c r="B49" s="13">
        <v>37</v>
      </c>
      <c r="C49" s="15" t="s">
        <v>15</v>
      </c>
      <c r="D49" s="13">
        <f t="shared" si="53"/>
        <v>2015</v>
      </c>
      <c r="E49" s="21">
        <f t="shared" si="48"/>
        <v>122547190.11335814</v>
      </c>
      <c r="F49" s="21">
        <f t="shared" si="48"/>
        <v>36623369.809609905</v>
      </c>
      <c r="G49" s="21">
        <f t="shared" ref="G49" si="70">G14-G32</f>
        <v>98078898.515371993</v>
      </c>
      <c r="H49" s="21">
        <f t="shared" si="48"/>
        <v>0</v>
      </c>
      <c r="I49" s="21">
        <f t="shared" si="48"/>
        <v>7523537.1980625605</v>
      </c>
      <c r="J49" s="21">
        <f t="shared" ref="J49" si="71">J14-J32</f>
        <v>1542538.0299999984</v>
      </c>
      <c r="K49" s="21">
        <f t="shared" si="48"/>
        <v>0</v>
      </c>
      <c r="L49" s="21">
        <f t="shared" si="48"/>
        <v>266315533.66640258</v>
      </c>
      <c r="O49" s="21">
        <f t="shared" ref="O49:R49" si="72">O14-O32</f>
        <v>4615637.1749999998</v>
      </c>
      <c r="P49" s="21">
        <f t="shared" si="72"/>
        <v>26872159.565591048</v>
      </c>
      <c r="Q49" s="21">
        <f t="shared" ref="Q49" si="73">Q14-Q32</f>
        <v>35932738.949780948</v>
      </c>
      <c r="R49" s="21">
        <f t="shared" si="72"/>
        <v>35274000</v>
      </c>
    </row>
    <row r="50" spans="2:21" ht="15.75">
      <c r="B50" s="13">
        <v>38</v>
      </c>
      <c r="C50" s="15" t="s">
        <v>16</v>
      </c>
      <c r="D50" s="13">
        <f t="shared" si="53"/>
        <v>2015</v>
      </c>
      <c r="E50" s="21">
        <f t="shared" si="48"/>
        <v>122451698.92777482</v>
      </c>
      <c r="F50" s="21">
        <f t="shared" si="48"/>
        <v>36493856.025026575</v>
      </c>
      <c r="G50" s="21">
        <f t="shared" ref="G50" si="74">G15-G33</f>
        <v>97870686.479955316</v>
      </c>
      <c r="H50" s="21">
        <f t="shared" si="48"/>
        <v>0</v>
      </c>
      <c r="I50" s="21">
        <f t="shared" si="48"/>
        <v>7491163.1231125602</v>
      </c>
      <c r="J50" s="21">
        <f t="shared" ref="J50" si="75">J15-J33</f>
        <v>1534792.1991666649</v>
      </c>
      <c r="K50" s="21">
        <f t="shared" si="48"/>
        <v>0</v>
      </c>
      <c r="L50" s="21">
        <f t="shared" si="48"/>
        <v>265842196.75503597</v>
      </c>
      <c r="O50" s="21">
        <f t="shared" ref="O50:R50" si="76">O15-O33</f>
        <v>4605099.1895833332</v>
      </c>
      <c r="P50" s="21">
        <f t="shared" si="76"/>
        <v>26814120.62421158</v>
      </c>
      <c r="Q50" s="21">
        <f t="shared" ref="Q50" si="77">Q15-Q33</f>
        <v>35857565.855743751</v>
      </c>
      <c r="R50" s="21">
        <f t="shared" si="76"/>
        <v>35199000</v>
      </c>
    </row>
    <row r="51" spans="2:21" ht="15.75">
      <c r="B51" s="13">
        <v>39</v>
      </c>
      <c r="C51" s="15" t="s">
        <v>17</v>
      </c>
      <c r="D51" s="13">
        <f t="shared" si="53"/>
        <v>2015</v>
      </c>
      <c r="E51" s="21">
        <f t="shared" si="48"/>
        <v>122355860.10371265</v>
      </c>
      <c r="F51" s="21">
        <f t="shared" si="48"/>
        <v>36364309.640933596</v>
      </c>
      <c r="G51" s="21">
        <f t="shared" ref="G51" si="78">G16-G34</f>
        <v>97662474.444538653</v>
      </c>
      <c r="H51" s="21">
        <f t="shared" si="48"/>
        <v>0</v>
      </c>
      <c r="I51" s="21">
        <f t="shared" si="48"/>
        <v>7458686.1161816223</v>
      </c>
      <c r="J51" s="21">
        <f t="shared" ref="J51" si="79">J16-J34</f>
        <v>1527046.3683333313</v>
      </c>
      <c r="K51" s="21">
        <f t="shared" si="48"/>
        <v>0</v>
      </c>
      <c r="L51" s="21">
        <f t="shared" si="48"/>
        <v>265368376.67369989</v>
      </c>
      <c r="O51" s="21">
        <f t="shared" ref="O51:R51" si="80">O16-O34</f>
        <v>4594561.2041666666</v>
      </c>
      <c r="P51" s="21">
        <f t="shared" si="80"/>
        <v>26756081.682832111</v>
      </c>
      <c r="Q51" s="21">
        <f t="shared" ref="Q51" si="81">Q16-Q34</f>
        <v>35782392.761706546</v>
      </c>
      <c r="R51" s="21">
        <f t="shared" si="80"/>
        <v>35124000</v>
      </c>
    </row>
    <row r="52" spans="2:21" ht="15.75">
      <c r="B52" s="13">
        <v>40</v>
      </c>
      <c r="C52" s="15" t="s">
        <v>18</v>
      </c>
      <c r="D52" s="13">
        <f t="shared" si="53"/>
        <v>2015</v>
      </c>
      <c r="E52" s="21">
        <f t="shared" si="48"/>
        <v>122259673.64117163</v>
      </c>
      <c r="F52" s="21">
        <f t="shared" si="48"/>
        <v>36234730.657330975</v>
      </c>
      <c r="G52" s="21">
        <f t="shared" ref="G52" si="82">G17-G35</f>
        <v>97454262.40912199</v>
      </c>
      <c r="H52" s="21">
        <f t="shared" si="48"/>
        <v>0</v>
      </c>
      <c r="I52" s="21">
        <f t="shared" si="48"/>
        <v>7426106.1772697475</v>
      </c>
      <c r="J52" s="21">
        <f t="shared" ref="J52" si="83">J17-J35</f>
        <v>1519300.5374999978</v>
      </c>
      <c r="K52" s="21">
        <f t="shared" si="48"/>
        <v>0</v>
      </c>
      <c r="L52" s="21">
        <f t="shared" si="48"/>
        <v>264894073.42239431</v>
      </c>
      <c r="O52" s="21">
        <f t="shared" ref="O52:R52" si="84">O17-O35</f>
        <v>4584023.21875</v>
      </c>
      <c r="P52" s="21">
        <f t="shared" si="84"/>
        <v>26698042.741452642</v>
      </c>
      <c r="Q52" s="21">
        <f t="shared" ref="Q52" si="85">Q17-Q35</f>
        <v>35707219.667669348</v>
      </c>
      <c r="R52" s="21">
        <f t="shared" si="84"/>
        <v>35049000</v>
      </c>
    </row>
    <row r="53" spans="2:21" ht="15.75">
      <c r="B53" s="13">
        <v>41</v>
      </c>
      <c r="C53" s="15" t="s">
        <v>19</v>
      </c>
      <c r="D53" s="13">
        <f t="shared" si="53"/>
        <v>2015</v>
      </c>
      <c r="E53" s="21">
        <f t="shared" si="48"/>
        <v>122163139.54015177</v>
      </c>
      <c r="F53" s="21">
        <f t="shared" si="48"/>
        <v>36105119.074218735</v>
      </c>
      <c r="G53" s="21">
        <f t="shared" ref="G53" si="86">G18-G36</f>
        <v>97246050.373705313</v>
      </c>
      <c r="H53" s="21">
        <f t="shared" si="48"/>
        <v>0</v>
      </c>
      <c r="I53" s="21">
        <f t="shared" si="48"/>
        <v>7393423.3063769359</v>
      </c>
      <c r="J53" s="21">
        <f t="shared" ref="J53" si="87">J18-J36</f>
        <v>1511554.7066666642</v>
      </c>
      <c r="K53" s="21">
        <f t="shared" si="48"/>
        <v>0</v>
      </c>
      <c r="L53" s="21">
        <f t="shared" si="48"/>
        <v>264419287.00111943</v>
      </c>
      <c r="O53" s="21">
        <f t="shared" ref="O53:R53" si="88">O18-O36</f>
        <v>4573485.2333333334</v>
      </c>
      <c r="P53" s="21">
        <f t="shared" si="88"/>
        <v>26640003.800073177</v>
      </c>
      <c r="Q53" s="21">
        <f t="shared" ref="Q53" si="89">Q18-Q36</f>
        <v>35632046.573632151</v>
      </c>
      <c r="R53" s="21">
        <f t="shared" si="88"/>
        <v>34974000</v>
      </c>
    </row>
    <row r="54" spans="2:21" ht="15.75">
      <c r="B54" s="13">
        <v>42</v>
      </c>
      <c r="C54" s="15" t="s">
        <v>20</v>
      </c>
      <c r="D54" s="13">
        <f t="shared" si="53"/>
        <v>2015</v>
      </c>
      <c r="E54" s="21">
        <f t="shared" si="48"/>
        <v>122066257.8006531</v>
      </c>
      <c r="F54" s="21">
        <f t="shared" si="48"/>
        <v>35975474.891596861</v>
      </c>
      <c r="G54" s="21">
        <f t="shared" ref="G54" si="90">G19-G37</f>
        <v>97037838.33828865</v>
      </c>
      <c r="H54" s="21">
        <f t="shared" si="48"/>
        <v>0</v>
      </c>
      <c r="I54" s="21">
        <f t="shared" si="48"/>
        <v>7360637.5035031866</v>
      </c>
      <c r="J54" s="21">
        <f t="shared" ref="J54" si="91">J19-J37</f>
        <v>1503808.8758333307</v>
      </c>
      <c r="K54" s="21">
        <f t="shared" si="48"/>
        <v>0</v>
      </c>
      <c r="L54" s="21">
        <f t="shared" si="48"/>
        <v>263944017.40987512</v>
      </c>
      <c r="O54" s="21">
        <f t="shared" ref="O54:R54" si="92">O19-O37</f>
        <v>4562947.2479166668</v>
      </c>
      <c r="P54" s="21">
        <f t="shared" si="92"/>
        <v>26581964.858693708</v>
      </c>
      <c r="Q54" s="21">
        <f t="shared" ref="Q54" si="93">Q19-Q37</f>
        <v>35556873.479594953</v>
      </c>
      <c r="R54" s="21">
        <f t="shared" si="92"/>
        <v>34899000</v>
      </c>
    </row>
    <row r="55" spans="2:21" ht="15.75">
      <c r="B55" s="13">
        <v>43</v>
      </c>
      <c r="C55" s="15" t="s">
        <v>21</v>
      </c>
      <c r="D55" s="13">
        <f t="shared" si="53"/>
        <v>2015</v>
      </c>
      <c r="E55" s="22">
        <f t="shared" si="48"/>
        <v>121969028.42267558</v>
      </c>
      <c r="F55" s="22">
        <f t="shared" si="48"/>
        <v>35845798.109465331</v>
      </c>
      <c r="G55" s="22">
        <f>G20-G38</f>
        <v>96829626.302871987</v>
      </c>
      <c r="H55" s="22">
        <f t="shared" si="48"/>
        <v>0</v>
      </c>
      <c r="I55" s="22">
        <f t="shared" si="48"/>
        <v>7327748.7686484996</v>
      </c>
      <c r="J55" s="22">
        <f t="shared" ref="J55" si="94">J20-J38</f>
        <v>1496063.0449999971</v>
      </c>
      <c r="K55" s="22">
        <f t="shared" si="48"/>
        <v>0</v>
      </c>
      <c r="L55" s="22">
        <f t="shared" si="48"/>
        <v>263468264.64866143</v>
      </c>
      <c r="O55" s="22">
        <f t="shared" ref="O55:R55" si="95">O20-O38</f>
        <v>4552409.2625000002</v>
      </c>
      <c r="P55" s="22">
        <f>P20-P38</f>
        <v>26523925.917314239</v>
      </c>
      <c r="Q55" s="22">
        <f>Q20-Q38</f>
        <v>35481700.385557756</v>
      </c>
      <c r="R55" s="22">
        <f t="shared" si="95"/>
        <v>34824000</v>
      </c>
    </row>
    <row r="56" spans="2:21">
      <c r="B56" s="13">
        <v>44</v>
      </c>
    </row>
    <row r="57" spans="2:21" ht="17.25">
      <c r="B57" s="13">
        <v>45</v>
      </c>
      <c r="C57" s="6" t="s">
        <v>27</v>
      </c>
      <c r="D57" s="18"/>
      <c r="E57" s="30">
        <f>SUM(E43:E55)/13</f>
        <v>122544756.64400625</v>
      </c>
      <c r="F57" s="30">
        <f t="shared" ref="F57:L57" si="96">SUM(F43:F55)/13</f>
        <v>36623141.613042444</v>
      </c>
      <c r="G57" s="30">
        <f t="shared" ref="G57" si="97">SUM(G43:G55)/13</f>
        <v>85307412.246772498</v>
      </c>
      <c r="H57" s="30">
        <f t="shared" si="96"/>
        <v>0</v>
      </c>
      <c r="I57" s="30">
        <f t="shared" si="96"/>
        <v>7522816.6741959993</v>
      </c>
      <c r="J57" s="30">
        <f t="shared" ref="J57" si="98">SUM(J43:J55)/13</f>
        <v>1542538.0299999979</v>
      </c>
      <c r="K57" s="30">
        <f t="shared" si="96"/>
        <v>0</v>
      </c>
      <c r="L57" s="30">
        <f t="shared" si="96"/>
        <v>253540665.20801717</v>
      </c>
      <c r="O57" s="30">
        <f t="shared" ref="O57:R57" si="99">SUM(O43:O55)/13</f>
        <v>4615637.1750000007</v>
      </c>
      <c r="P57" s="30">
        <f t="shared" si="99"/>
        <v>26872159.565591045</v>
      </c>
      <c r="Q57" s="30">
        <f t="shared" ref="Q57" si="100">SUM(Q43:Q55)/13</f>
        <v>24772425.758104537</v>
      </c>
      <c r="R57" s="30">
        <f t="shared" si="99"/>
        <v>33662826.92307692</v>
      </c>
    </row>
    <row r="58" spans="2:21">
      <c r="P58" s="31"/>
      <c r="Q58" s="31"/>
    </row>
    <row r="59" spans="2:21" ht="26.45" customHeight="1">
      <c r="C59" s="5" t="s">
        <v>88</v>
      </c>
      <c r="E59" s="37">
        <v>1.2613872531811931E-3</v>
      </c>
      <c r="F59" s="37">
        <f>((254572+222168+16967+5058000/40/12*8)/8)/F8</f>
        <v>1.0041618774400316E-3</v>
      </c>
      <c r="G59" s="37"/>
      <c r="H59" s="38"/>
      <c r="I59" s="37"/>
      <c r="J59" s="37"/>
      <c r="O59" s="37"/>
    </row>
    <row r="60" spans="2:21">
      <c r="C60" s="5" t="s">
        <v>89</v>
      </c>
      <c r="E60" s="37">
        <f>E59*12</f>
        <v>1.5136647038174317E-2</v>
      </c>
      <c r="F60" s="37">
        <f>F59*12</f>
        <v>1.2049942529280379E-2</v>
      </c>
      <c r="G60" s="37"/>
      <c r="H60" s="38"/>
      <c r="I60" s="37"/>
      <c r="J60" s="37"/>
      <c r="P60" s="31"/>
    </row>
    <row r="61" spans="2:21" ht="17.25">
      <c r="E61" s="39">
        <f t="shared" ref="E61:K61" si="101">E60*E22</f>
        <v>4616809.4214569004</v>
      </c>
      <c r="F61" s="39">
        <f t="shared" si="101"/>
        <v>868176.47051404684</v>
      </c>
      <c r="G61" s="39"/>
      <c r="H61" s="39">
        <f t="shared" si="101"/>
        <v>0</v>
      </c>
      <c r="I61" s="39">
        <f t="shared" si="101"/>
        <v>0</v>
      </c>
      <c r="J61" s="39">
        <f t="shared" si="101"/>
        <v>0</v>
      </c>
      <c r="K61" s="39">
        <f t="shared" si="101"/>
        <v>0</v>
      </c>
      <c r="L61" s="39">
        <f>SUM(E61:K61)</f>
        <v>5484985.8919709474</v>
      </c>
      <c r="O61" s="140" t="s">
        <v>273</v>
      </c>
      <c r="P61" s="139">
        <v>6</v>
      </c>
      <c r="S61" s="135" t="s">
        <v>272</v>
      </c>
      <c r="T61" s="132">
        <f>S62-1</f>
        <v>2014</v>
      </c>
    </row>
    <row r="62" spans="2:21" ht="17.25">
      <c r="E62" s="365" t="s">
        <v>252</v>
      </c>
      <c r="F62" s="365"/>
      <c r="G62" s="366" t="s">
        <v>271</v>
      </c>
      <c r="H62" s="366"/>
      <c r="I62" s="365" t="s">
        <v>244</v>
      </c>
      <c r="J62" s="365"/>
      <c r="K62" s="365" t="s">
        <v>243</v>
      </c>
      <c r="L62" s="365"/>
      <c r="M62" s="365" t="s">
        <v>109</v>
      </c>
      <c r="N62" s="365"/>
      <c r="O62" s="365" t="s">
        <v>245</v>
      </c>
      <c r="P62" s="365"/>
      <c r="Q62" s="365" t="s">
        <v>227</v>
      </c>
      <c r="R62" s="365"/>
      <c r="S62" s="108">
        <f>Coversheet!E5</f>
        <v>2015</v>
      </c>
      <c r="T62" s="132" t="s">
        <v>276</v>
      </c>
    </row>
    <row r="63" spans="2:21" ht="17.25">
      <c r="E63" s="35" t="s">
        <v>85</v>
      </c>
      <c r="F63" s="36" t="s">
        <v>86</v>
      </c>
      <c r="G63" s="35" t="s">
        <v>85</v>
      </c>
      <c r="H63" s="36" t="s">
        <v>86</v>
      </c>
      <c r="I63" s="35" t="s">
        <v>213</v>
      </c>
      <c r="J63" s="36" t="s">
        <v>214</v>
      </c>
      <c r="K63" s="35" t="s">
        <v>213</v>
      </c>
      <c r="L63" s="36" t="s">
        <v>214</v>
      </c>
      <c r="M63" s="35" t="s">
        <v>213</v>
      </c>
      <c r="N63" s="36" t="s">
        <v>214</v>
      </c>
      <c r="O63" s="35" t="s">
        <v>213</v>
      </c>
      <c r="P63" s="36" t="s">
        <v>214</v>
      </c>
      <c r="Q63" s="108" t="s">
        <v>222</v>
      </c>
      <c r="R63" s="108" t="s">
        <v>228</v>
      </c>
      <c r="S63" s="108" t="s">
        <v>226</v>
      </c>
      <c r="T63" s="132" t="s">
        <v>275</v>
      </c>
    </row>
    <row r="64" spans="2:21">
      <c r="C64" s="5" t="s">
        <v>78</v>
      </c>
      <c r="E64" s="21">
        <f>8372119+1539945-M64</f>
        <v>9254334</v>
      </c>
      <c r="F64" s="31">
        <f>E64/7</f>
        <v>1322047.7142857143</v>
      </c>
      <c r="G64" s="21">
        <f>2009340+1272015</f>
        <v>3281355</v>
      </c>
      <c r="H64" s="31">
        <f>G64/12</f>
        <v>273446.25</v>
      </c>
      <c r="I64" s="123">
        <v>189999643</v>
      </c>
      <c r="J64" s="123">
        <v>139413317</v>
      </c>
      <c r="K64" s="21">
        <v>189341913</v>
      </c>
      <c r="L64" s="21">
        <v>138469395</v>
      </c>
      <c r="M64" s="31">
        <f>I64-K64</f>
        <v>657730</v>
      </c>
      <c r="N64" s="31">
        <f>J64-L64</f>
        <v>943922</v>
      </c>
      <c r="O64" s="21">
        <f>I64+E64</f>
        <v>199253977</v>
      </c>
      <c r="P64" s="21">
        <f t="shared" ref="P64:P71" si="102">J64+(I64*Q64*P$61/12)</f>
        <v>140363315.215</v>
      </c>
      <c r="Q64" s="110">
        <v>0.01</v>
      </c>
      <c r="R64" s="110">
        <f>Q64/12</f>
        <v>8.3333333333333339E-4</v>
      </c>
      <c r="S64" s="111">
        <f t="shared" ref="S64:S77" si="103">Q64*O64+Q64*G64/2</f>
        <v>2008946.5449999999</v>
      </c>
      <c r="T64" s="31">
        <f t="shared" ref="T64:T79" si="104">P64-L64</f>
        <v>1893920.2150000036</v>
      </c>
      <c r="U64" s="110">
        <f>S64/T64-1</f>
        <v>6.073451726687229E-2</v>
      </c>
    </row>
    <row r="65" spans="3:21">
      <c r="C65" s="5" t="s">
        <v>79</v>
      </c>
      <c r="E65" s="21">
        <v>0</v>
      </c>
      <c r="F65" s="31">
        <f t="shared" ref="F65:F71" si="105">E65/7</f>
        <v>0</v>
      </c>
      <c r="G65" s="21">
        <v>0</v>
      </c>
      <c r="H65" s="31">
        <f t="shared" ref="H65:H70" si="106">G65/12</f>
        <v>0</v>
      </c>
      <c r="I65" s="123">
        <v>3548807</v>
      </c>
      <c r="J65" s="123">
        <v>1713273</v>
      </c>
      <c r="K65" s="21">
        <v>3548807</v>
      </c>
      <c r="L65" s="21">
        <v>1617455</v>
      </c>
      <c r="M65" s="31">
        <f t="shared" ref="M65:M78" si="107">I65-K65</f>
        <v>0</v>
      </c>
      <c r="N65" s="31">
        <f t="shared" ref="N65:N78" si="108">J65-L65</f>
        <v>95818</v>
      </c>
      <c r="O65" s="21">
        <f t="shared" ref="O65:O79" si="109">I65+E65</f>
        <v>3548807</v>
      </c>
      <c r="P65" s="21">
        <f t="shared" si="102"/>
        <v>1809090.7890000001</v>
      </c>
      <c r="Q65" s="110">
        <v>5.3999999999999999E-2</v>
      </c>
      <c r="R65" s="110">
        <f t="shared" ref="R65:R84" si="110">Q65/12</f>
        <v>4.4999999999999997E-3</v>
      </c>
      <c r="S65" s="111">
        <f t="shared" si="103"/>
        <v>191635.57800000001</v>
      </c>
      <c r="T65" s="31">
        <f t="shared" si="104"/>
        <v>191635.78900000011</v>
      </c>
      <c r="U65" s="110">
        <f t="shared" ref="U65:U84" si="111">S65/T65-1</f>
        <v>-1.1010469453953675E-6</v>
      </c>
    </row>
    <row r="66" spans="3:21">
      <c r="C66" s="5" t="s">
        <v>80</v>
      </c>
      <c r="E66" s="21">
        <f>0-M66</f>
        <v>0</v>
      </c>
      <c r="F66" s="31">
        <f t="shared" si="105"/>
        <v>0</v>
      </c>
      <c r="G66" s="21">
        <v>15000</v>
      </c>
      <c r="H66" s="31">
        <f t="shared" si="106"/>
        <v>1250</v>
      </c>
      <c r="I66" s="123">
        <v>17835630</v>
      </c>
      <c r="J66" s="123">
        <v>16170932</v>
      </c>
      <c r="K66" s="21">
        <f>17635630+200000</f>
        <v>17835630</v>
      </c>
      <c r="L66" s="21">
        <v>16100389</v>
      </c>
      <c r="M66" s="31">
        <f t="shared" si="107"/>
        <v>0</v>
      </c>
      <c r="N66" s="31">
        <f t="shared" si="108"/>
        <v>70543</v>
      </c>
      <c r="O66" s="21">
        <f t="shared" si="109"/>
        <v>17835630</v>
      </c>
      <c r="P66" s="21">
        <f t="shared" si="102"/>
        <v>16242274.52</v>
      </c>
      <c r="Q66" s="110">
        <v>8.0000000000000002E-3</v>
      </c>
      <c r="R66" s="110">
        <f t="shared" si="110"/>
        <v>6.6666666666666664E-4</v>
      </c>
      <c r="S66" s="111">
        <f t="shared" si="103"/>
        <v>142745.04</v>
      </c>
      <c r="T66" s="31">
        <f t="shared" si="104"/>
        <v>141885.51999999955</v>
      </c>
      <c r="U66" s="110">
        <f t="shared" si="111"/>
        <v>6.0578415612844161E-3</v>
      </c>
    </row>
    <row r="67" spans="3:21">
      <c r="C67" s="5" t="s">
        <v>81</v>
      </c>
      <c r="E67" s="21">
        <f>1000000+111000-M67</f>
        <v>1111000</v>
      </c>
      <c r="F67" s="31">
        <f t="shared" si="105"/>
        <v>158714.28571428571</v>
      </c>
      <c r="G67" s="21">
        <v>80000</v>
      </c>
      <c r="H67" s="31">
        <f t="shared" si="106"/>
        <v>6666.666666666667</v>
      </c>
      <c r="I67" s="123">
        <v>79560664</v>
      </c>
      <c r="J67" s="123">
        <v>20216223</v>
      </c>
      <c r="K67" s="21">
        <f>79552107+8557</f>
        <v>79560664</v>
      </c>
      <c r="L67" s="21">
        <v>19181934</v>
      </c>
      <c r="M67" s="31">
        <f t="shared" si="107"/>
        <v>0</v>
      </c>
      <c r="N67" s="31">
        <f t="shared" si="108"/>
        <v>1034289</v>
      </c>
      <c r="O67" s="21">
        <f t="shared" si="109"/>
        <v>80671664</v>
      </c>
      <c r="P67" s="21">
        <f t="shared" si="102"/>
        <v>21250511.631999999</v>
      </c>
      <c r="Q67" s="110">
        <v>2.5999999999999999E-2</v>
      </c>
      <c r="R67" s="110">
        <f t="shared" si="110"/>
        <v>2.1666666666666666E-3</v>
      </c>
      <c r="S67" s="111">
        <f t="shared" si="103"/>
        <v>2098503.264</v>
      </c>
      <c r="T67" s="31">
        <f t="shared" si="104"/>
        <v>2068577.6319999993</v>
      </c>
      <c r="U67" s="110">
        <f t="shared" si="111"/>
        <v>1.4466767665406444E-2</v>
      </c>
    </row>
    <row r="68" spans="3:21">
      <c r="C68" s="5" t="s">
        <v>82</v>
      </c>
      <c r="E68" s="21">
        <f>100000-M68</f>
        <v>100000</v>
      </c>
      <c r="F68" s="31">
        <f t="shared" si="105"/>
        <v>14285.714285714286</v>
      </c>
      <c r="G68" s="21">
        <v>0</v>
      </c>
      <c r="H68" s="31">
        <f t="shared" si="106"/>
        <v>0</v>
      </c>
      <c r="I68" s="123">
        <v>2590558</v>
      </c>
      <c r="J68" s="123">
        <v>1104084</v>
      </c>
      <c r="K68" s="21">
        <v>2590558</v>
      </c>
      <c r="L68" s="21">
        <v>1087246</v>
      </c>
      <c r="M68" s="31">
        <f t="shared" si="107"/>
        <v>0</v>
      </c>
      <c r="N68" s="31">
        <f t="shared" si="108"/>
        <v>16838</v>
      </c>
      <c r="O68" s="21">
        <f t="shared" si="109"/>
        <v>2690558</v>
      </c>
      <c r="P68" s="21">
        <f t="shared" si="102"/>
        <v>1120922.6270000001</v>
      </c>
      <c r="Q68" s="110">
        <v>1.2999999999999999E-2</v>
      </c>
      <c r="R68" s="110">
        <f t="shared" si="110"/>
        <v>1.0833333333333333E-3</v>
      </c>
      <c r="S68" s="111">
        <f t="shared" si="103"/>
        <v>34977.254000000001</v>
      </c>
      <c r="T68" s="31">
        <f t="shared" si="104"/>
        <v>33676.627000000095</v>
      </c>
      <c r="U68" s="110">
        <f t="shared" si="111"/>
        <v>3.8621059050833795E-2</v>
      </c>
    </row>
    <row r="69" spans="3:21">
      <c r="C69" s="5" t="s">
        <v>83</v>
      </c>
      <c r="E69" s="21">
        <f>1405158+222345-M69</f>
        <v>1626025</v>
      </c>
      <c r="F69" s="31">
        <f t="shared" si="105"/>
        <v>232289.28571428571</v>
      </c>
      <c r="G69" s="21">
        <f>193523</f>
        <v>193523</v>
      </c>
      <c r="H69" s="31">
        <f t="shared" si="106"/>
        <v>16126.916666666666</v>
      </c>
      <c r="I69" s="123">
        <v>29456402</v>
      </c>
      <c r="J69" s="123">
        <v>16094277</v>
      </c>
      <c r="K69" s="21">
        <f>29425196+29728</f>
        <v>29454924</v>
      </c>
      <c r="L69" s="21">
        <v>15903013</v>
      </c>
      <c r="M69" s="31">
        <f t="shared" si="107"/>
        <v>1478</v>
      </c>
      <c r="N69" s="31">
        <f t="shared" si="108"/>
        <v>191264</v>
      </c>
      <c r="O69" s="21">
        <f t="shared" si="109"/>
        <v>31082427</v>
      </c>
      <c r="P69" s="21">
        <f t="shared" si="102"/>
        <v>16285743.613</v>
      </c>
      <c r="Q69" s="110">
        <v>1.2999999999999999E-2</v>
      </c>
      <c r="R69" s="110">
        <f t="shared" si="110"/>
        <v>1.0833333333333333E-3</v>
      </c>
      <c r="S69" s="111">
        <f t="shared" si="103"/>
        <v>405329.45049999998</v>
      </c>
      <c r="T69" s="31">
        <f t="shared" si="104"/>
        <v>382730.6129999999</v>
      </c>
      <c r="U69" s="110">
        <f t="shared" si="111"/>
        <v>5.904632849424063E-2</v>
      </c>
    </row>
    <row r="70" spans="3:21">
      <c r="C70" s="5" t="s">
        <v>84</v>
      </c>
      <c r="E70" s="21">
        <f>4350000-M70</f>
        <v>4312037</v>
      </c>
      <c r="F70" s="31">
        <f t="shared" si="105"/>
        <v>616005.28571428568</v>
      </c>
      <c r="G70" s="21">
        <v>0</v>
      </c>
      <c r="H70" s="31">
        <f t="shared" si="106"/>
        <v>0</v>
      </c>
      <c r="I70" s="123">
        <v>28808167</v>
      </c>
      <c r="J70" s="123">
        <v>16721486</v>
      </c>
      <c r="K70" s="21">
        <f>534000+134966+184832+1549955+26366451</f>
        <v>28770204</v>
      </c>
      <c r="L70" s="21">
        <v>16548704</v>
      </c>
      <c r="M70" s="31">
        <f t="shared" si="107"/>
        <v>37963</v>
      </c>
      <c r="N70" s="31">
        <f t="shared" si="108"/>
        <v>172782</v>
      </c>
      <c r="O70" s="21">
        <f>I70+E70</f>
        <v>33120204</v>
      </c>
      <c r="P70" s="21">
        <f t="shared" si="102"/>
        <v>16894335.002</v>
      </c>
      <c r="Q70" s="110">
        <v>1.2E-2</v>
      </c>
      <c r="R70" s="110">
        <f t="shared" si="110"/>
        <v>1E-3</v>
      </c>
      <c r="S70" s="111">
        <f t="shared" si="103"/>
        <v>397442.44800000003</v>
      </c>
      <c r="T70" s="31">
        <f t="shared" si="104"/>
        <v>345631.00200000033</v>
      </c>
      <c r="U70" s="110">
        <f t="shared" si="111"/>
        <v>0.14990393136087854</v>
      </c>
    </row>
    <row r="71" spans="3:21">
      <c r="C71" s="5" t="s">
        <v>223</v>
      </c>
      <c r="E71" s="21"/>
      <c r="F71" s="31">
        <f t="shared" si="105"/>
        <v>0</v>
      </c>
      <c r="G71" s="21">
        <v>0</v>
      </c>
      <c r="H71" s="31">
        <f t="shared" ref="H71" si="112">G71/12</f>
        <v>0</v>
      </c>
      <c r="I71" s="123">
        <v>5058233</v>
      </c>
      <c r="J71" s="123">
        <v>316140</v>
      </c>
      <c r="K71" s="21">
        <v>5058233</v>
      </c>
      <c r="L71" s="21">
        <v>252912</v>
      </c>
      <c r="M71" s="31">
        <f t="shared" si="107"/>
        <v>0</v>
      </c>
      <c r="N71" s="31">
        <f t="shared" si="108"/>
        <v>63228</v>
      </c>
      <c r="O71" s="21">
        <f t="shared" si="109"/>
        <v>5058233</v>
      </c>
      <c r="P71" s="21">
        <f t="shared" si="102"/>
        <v>379367.91249999998</v>
      </c>
      <c r="Q71" s="110">
        <v>2.5000000000000001E-2</v>
      </c>
      <c r="R71" s="110">
        <f t="shared" si="110"/>
        <v>2.0833333333333333E-3</v>
      </c>
      <c r="S71" s="111">
        <f t="shared" si="103"/>
        <v>126455.82500000001</v>
      </c>
      <c r="T71" s="31">
        <f t="shared" si="104"/>
        <v>126455.91249999998</v>
      </c>
      <c r="U71" s="110">
        <f t="shared" si="111"/>
        <v>-6.9194075813516775E-7</v>
      </c>
    </row>
    <row r="72" spans="3:21">
      <c r="C72" s="5" t="s">
        <v>224</v>
      </c>
      <c r="E72" s="21">
        <f>CWIP!E29</f>
        <v>12690967.862144664</v>
      </c>
      <c r="F72" s="31"/>
      <c r="G72" s="21"/>
      <c r="H72" s="31">
        <f t="shared" ref="H72" si="113">G72/12</f>
        <v>0</v>
      </c>
      <c r="I72" s="123">
        <v>15167724</v>
      </c>
      <c r="J72" s="123">
        <v>290065</v>
      </c>
      <c r="K72" s="21">
        <v>6844335</v>
      </c>
      <c r="L72" s="21">
        <v>171108</v>
      </c>
      <c r="M72" s="31">
        <f t="shared" si="107"/>
        <v>8323389</v>
      </c>
      <c r="N72" s="31">
        <f t="shared" si="108"/>
        <v>118957</v>
      </c>
      <c r="O72" s="21">
        <f t="shared" si="109"/>
        <v>27858691.862144664</v>
      </c>
      <c r="P72" s="21">
        <f>J72+((I72+E72)*Q72*P$61/12)</f>
        <v>638298.64827680832</v>
      </c>
      <c r="Q72" s="110">
        <v>2.5000000000000001E-2</v>
      </c>
      <c r="R72" s="110">
        <f t="shared" si="110"/>
        <v>2.0833333333333333E-3</v>
      </c>
      <c r="S72" s="111">
        <f t="shared" si="103"/>
        <v>696467.29655361664</v>
      </c>
      <c r="T72" s="31">
        <f t="shared" si="104"/>
        <v>467190.64827680832</v>
      </c>
      <c r="U72" s="110"/>
    </row>
    <row r="73" spans="3:21">
      <c r="C73" s="5" t="s">
        <v>225</v>
      </c>
      <c r="E73" s="21"/>
      <c r="F73" s="31"/>
      <c r="G73" s="21">
        <f>CWIP!F30</f>
        <v>36083085.137855344</v>
      </c>
      <c r="H73" s="31">
        <f t="shared" ref="H73:H74" si="114">G73/12</f>
        <v>3006923.7614879454</v>
      </c>
      <c r="I73" s="123"/>
      <c r="J73" s="123"/>
      <c r="K73" s="21"/>
      <c r="L73" s="21"/>
      <c r="M73" s="31"/>
      <c r="N73" s="31"/>
      <c r="O73" s="21">
        <f t="shared" si="109"/>
        <v>0</v>
      </c>
      <c r="P73" s="21">
        <f>J73+((I73+E73)*Q73*P$61/12)</f>
        <v>0</v>
      </c>
      <c r="Q73" s="110">
        <v>2.5000000000000001E-2</v>
      </c>
      <c r="R73" s="110">
        <f t="shared" si="110"/>
        <v>2.0833333333333333E-3</v>
      </c>
      <c r="S73" s="111">
        <f t="shared" si="103"/>
        <v>451038.56422319182</v>
      </c>
      <c r="T73" s="31">
        <f t="shared" si="104"/>
        <v>0</v>
      </c>
      <c r="U73" s="110"/>
    </row>
    <row r="74" spans="3:21">
      <c r="C74" s="5" t="s">
        <v>38</v>
      </c>
      <c r="E74" s="21">
        <f>CWIP!G29</f>
        <v>25560000</v>
      </c>
      <c r="F74" s="31"/>
      <c r="G74" s="21">
        <f>CWIP!G30</f>
        <v>11558675</v>
      </c>
      <c r="H74" s="31">
        <f t="shared" si="114"/>
        <v>963222.91666666663</v>
      </c>
      <c r="I74" s="123"/>
      <c r="J74" s="119"/>
      <c r="K74" s="21"/>
      <c r="M74" s="31">
        <f t="shared" si="107"/>
        <v>0</v>
      </c>
      <c r="N74" s="31">
        <f t="shared" si="108"/>
        <v>0</v>
      </c>
      <c r="O74" s="21">
        <f>I74+E74</f>
        <v>25560000</v>
      </c>
      <c r="P74" s="21">
        <f>J74+((I74+E74)*Q74*P$61/12)</f>
        <v>319500</v>
      </c>
      <c r="Q74" s="110">
        <v>2.5000000000000001E-2</v>
      </c>
      <c r="R74" s="110">
        <f t="shared" si="110"/>
        <v>2.0833333333333333E-3</v>
      </c>
      <c r="S74" s="111">
        <f t="shared" si="103"/>
        <v>783483.4375</v>
      </c>
      <c r="T74" s="31">
        <f t="shared" si="104"/>
        <v>319500</v>
      </c>
      <c r="U74" s="110"/>
    </row>
    <row r="75" spans="3:21">
      <c r="C75" s="5" t="s">
        <v>87</v>
      </c>
      <c r="E75" s="21">
        <f>1170700-M75</f>
        <v>981224</v>
      </c>
      <c r="F75" s="31">
        <f>E75/7</f>
        <v>140174.85714285713</v>
      </c>
      <c r="G75" s="21">
        <f>E75/3</f>
        <v>327074.66666666669</v>
      </c>
      <c r="H75" s="31">
        <f>G75/12</f>
        <v>27256.222222222223</v>
      </c>
      <c r="I75" s="123">
        <v>4496465</v>
      </c>
      <c r="J75" s="123">
        <v>3536279</v>
      </c>
      <c r="K75" s="21">
        <v>4306989</v>
      </c>
      <c r="L75" s="21">
        <v>3422560</v>
      </c>
      <c r="M75" s="31">
        <f>I75-K75</f>
        <v>189476</v>
      </c>
      <c r="N75" s="31">
        <f>J75-L75</f>
        <v>113719</v>
      </c>
      <c r="O75" s="21">
        <f>I75+E75</f>
        <v>5477689</v>
      </c>
      <c r="P75" s="21">
        <f>J75+(I75*Q75*P$61/12)</f>
        <v>3682414.1124999998</v>
      </c>
      <c r="Q75" s="110">
        <v>6.5000000000000002E-2</v>
      </c>
      <c r="R75" s="110">
        <f>Q75/12</f>
        <v>5.4166666666666669E-3</v>
      </c>
      <c r="S75" s="111">
        <f t="shared" si="103"/>
        <v>366679.71166666673</v>
      </c>
      <c r="T75" s="31">
        <f t="shared" si="104"/>
        <v>259854.11249999981</v>
      </c>
      <c r="U75" s="110">
        <f>S75/T75-1</f>
        <v>0.41109835876338874</v>
      </c>
    </row>
    <row r="76" spans="3:21">
      <c r="C76" s="5" t="s">
        <v>212</v>
      </c>
      <c r="I76" s="123">
        <v>4306922</v>
      </c>
      <c r="J76" s="123">
        <v>3424911</v>
      </c>
      <c r="K76" s="21">
        <v>4359572</v>
      </c>
      <c r="L76" s="21">
        <v>3380052</v>
      </c>
      <c r="M76" s="31">
        <f t="shared" si="107"/>
        <v>-52650</v>
      </c>
      <c r="N76" s="31">
        <f t="shared" si="108"/>
        <v>44859</v>
      </c>
      <c r="O76" s="21">
        <f t="shared" si="109"/>
        <v>4306922</v>
      </c>
      <c r="P76" s="21">
        <f>J76+(I76*Q76*P$61/12)</f>
        <v>3564885.9649999999</v>
      </c>
      <c r="Q76" s="110">
        <v>6.5000000000000002E-2</v>
      </c>
      <c r="R76" s="110">
        <f t="shared" si="110"/>
        <v>5.4166666666666669E-3</v>
      </c>
      <c r="S76" s="111">
        <f t="shared" si="103"/>
        <v>279949.93</v>
      </c>
      <c r="T76" s="31">
        <f t="shared" si="104"/>
        <v>184833.96499999985</v>
      </c>
      <c r="U76" s="110">
        <f t="shared" si="111"/>
        <v>0.51460219987165345</v>
      </c>
    </row>
    <row r="77" spans="3:21">
      <c r="C77" s="5" t="s">
        <v>215</v>
      </c>
      <c r="I77" s="123">
        <v>2010470</v>
      </c>
      <c r="J77" s="123">
        <v>522198</v>
      </c>
      <c r="K77" s="21">
        <v>2010470</v>
      </c>
      <c r="L77" s="21">
        <v>481988</v>
      </c>
      <c r="M77" s="31">
        <f t="shared" si="107"/>
        <v>0</v>
      </c>
      <c r="N77" s="31">
        <f t="shared" si="108"/>
        <v>40210</v>
      </c>
      <c r="O77" s="21">
        <f t="shared" si="109"/>
        <v>2010470</v>
      </c>
      <c r="P77" s="21">
        <f>J77+(I77*Q77*P$61/12)</f>
        <v>562407.4</v>
      </c>
      <c r="Q77" s="110">
        <v>0.04</v>
      </c>
      <c r="R77" s="110">
        <f t="shared" si="110"/>
        <v>3.3333333333333335E-3</v>
      </c>
      <c r="S77" s="111">
        <f t="shared" si="103"/>
        <v>80418.8</v>
      </c>
      <c r="T77" s="31">
        <f t="shared" si="104"/>
        <v>80419.400000000023</v>
      </c>
      <c r="U77" s="110">
        <f t="shared" si="111"/>
        <v>-7.460886303767289E-6</v>
      </c>
    </row>
    <row r="78" spans="3:21">
      <c r="C78" s="5" t="s">
        <v>218</v>
      </c>
      <c r="E78" s="21"/>
      <c r="F78" s="31"/>
      <c r="G78" s="21"/>
      <c r="H78" s="31"/>
      <c r="I78" s="123">
        <f>2387140+3454718</f>
        <v>5841858</v>
      </c>
      <c r="J78" s="123">
        <f>7223+610593</f>
        <v>617816</v>
      </c>
      <c r="K78" s="21">
        <f>3454718+2387140+36263</f>
        <v>5878121</v>
      </c>
      <c r="L78" s="21">
        <f>576046+3596</f>
        <v>579642</v>
      </c>
      <c r="M78" s="31">
        <f t="shared" si="107"/>
        <v>-36263</v>
      </c>
      <c r="N78" s="31">
        <f t="shared" si="108"/>
        <v>38174</v>
      </c>
      <c r="O78" s="21">
        <f t="shared" si="109"/>
        <v>5841858</v>
      </c>
      <c r="P78" s="21">
        <f>J78+(I78*Q78*P$61/12)</f>
        <v>676234.58</v>
      </c>
      <c r="Q78" s="110">
        <v>0.02</v>
      </c>
      <c r="R78" s="110">
        <f t="shared" si="110"/>
        <v>1.6666666666666668E-3</v>
      </c>
      <c r="S78" s="111">
        <f>Q78*O78*0.59+Q78*G78/2</f>
        <v>68933.924400000004</v>
      </c>
      <c r="T78" s="31">
        <f t="shared" si="104"/>
        <v>96592.579999999958</v>
      </c>
      <c r="U78" s="110">
        <f t="shared" si="111"/>
        <v>-0.28634348104171115</v>
      </c>
    </row>
    <row r="79" spans="3:21">
      <c r="C79" s="5" t="s">
        <v>219</v>
      </c>
      <c r="I79" s="118">
        <v>9294997</v>
      </c>
      <c r="J79" s="123">
        <v>7659509</v>
      </c>
      <c r="K79" s="31">
        <v>9273751</v>
      </c>
      <c r="L79" s="21">
        <f>7613034-21246</f>
        <v>7591788</v>
      </c>
      <c r="M79" s="31">
        <f>I79-K79</f>
        <v>21246</v>
      </c>
      <c r="N79" s="31">
        <f>J79-L79</f>
        <v>67721</v>
      </c>
      <c r="O79" s="21">
        <f t="shared" si="109"/>
        <v>9294997</v>
      </c>
      <c r="P79" s="21">
        <f>J79+(I79*Q79*P$61/12)</f>
        <v>7705983.9850000003</v>
      </c>
      <c r="Q79" s="110">
        <v>0.01</v>
      </c>
      <c r="R79" s="110">
        <f t="shared" si="110"/>
        <v>8.3333333333333339E-4</v>
      </c>
      <c r="S79" s="111">
        <f>Q79*O79+Q79*G79/2</f>
        <v>92949.97</v>
      </c>
      <c r="T79" s="31">
        <f t="shared" si="104"/>
        <v>114195.98500000034</v>
      </c>
      <c r="U79" s="110">
        <f t="shared" si="111"/>
        <v>-0.18604870390145745</v>
      </c>
    </row>
    <row r="80" spans="3:21">
      <c r="E80" s="21"/>
      <c r="F80" s="31"/>
      <c r="G80" s="21"/>
      <c r="H80" s="31"/>
      <c r="I80" s="21"/>
      <c r="J80" s="21"/>
      <c r="K80" s="21"/>
      <c r="L80" s="21"/>
      <c r="O80" s="21"/>
      <c r="P80" s="21"/>
      <c r="R80" s="110"/>
      <c r="U80" s="110"/>
    </row>
    <row r="81" spans="3:21">
      <c r="C81" s="5" t="s">
        <v>216</v>
      </c>
      <c r="I81" s="31">
        <f t="shared" ref="I81:O81" si="115">I64+I65+I66+I67+I77</f>
        <v>292955214</v>
      </c>
      <c r="J81" s="31">
        <f t="shared" si="115"/>
        <v>178035943</v>
      </c>
      <c r="K81" s="31">
        <f t="shared" si="115"/>
        <v>292297484</v>
      </c>
      <c r="L81" s="31">
        <f t="shared" si="115"/>
        <v>175851161</v>
      </c>
      <c r="M81" s="31">
        <f t="shared" si="115"/>
        <v>657730</v>
      </c>
      <c r="N81" s="31">
        <f t="shared" si="115"/>
        <v>2184782</v>
      </c>
      <c r="O81" s="31">
        <f t="shared" si="115"/>
        <v>303320548</v>
      </c>
      <c r="P81" s="21">
        <f>J81+(I81*Q81*P$61/12)</f>
        <v>180207711.18119767</v>
      </c>
      <c r="Q81" s="110">
        <f>S81/E22</f>
        <v>1.4826622482968928E-2</v>
      </c>
      <c r="R81" s="110">
        <f t="shared" si="110"/>
        <v>1.2355518735807441E-3</v>
      </c>
      <c r="S81" s="31">
        <f>S64+S65+S66+S67+S77</f>
        <v>4522249.227</v>
      </c>
      <c r="T81" s="31">
        <f>T64+T65+T66+T67+T77</f>
        <v>4376438.5560000027</v>
      </c>
      <c r="U81" s="110">
        <f t="shared" si="111"/>
        <v>3.33171982501832E-2</v>
      </c>
    </row>
    <row r="82" spans="3:21">
      <c r="C82" s="5" t="s">
        <v>24</v>
      </c>
      <c r="I82" s="31">
        <f>I68+I69+I70+I71+I74+I72+I73</f>
        <v>81081084</v>
      </c>
      <c r="J82" s="31">
        <f>J68+J69+J70+J71+J74+J72+J73</f>
        <v>34526052</v>
      </c>
      <c r="K82" s="31">
        <f>K68+K69+K70+K71+K74+K72+K73</f>
        <v>72718254</v>
      </c>
      <c r="L82" s="31">
        <f>L68+L69+L70+L71+L74+L72+L73</f>
        <v>33962983</v>
      </c>
      <c r="M82" s="31">
        <f>M68+M69+M70+M71+M74</f>
        <v>39441</v>
      </c>
      <c r="N82" s="31">
        <f>N68+N69+N70+N71+N74</f>
        <v>444112</v>
      </c>
      <c r="O82" s="31">
        <f>SUM(O68:O74)</f>
        <v>125370113.86214466</v>
      </c>
      <c r="P82" s="21">
        <f>J82+(I82*Q82*P$61/12)</f>
        <v>35509452.720869265</v>
      </c>
      <c r="Q82" s="110">
        <f>S82/F22</f>
        <v>2.425721690818201E-2</v>
      </c>
      <c r="R82" s="110">
        <f t="shared" si="110"/>
        <v>2.0214347423485007E-3</v>
      </c>
      <c r="S82" s="31">
        <f>S68+S69+S70+S71+S74</f>
        <v>1747688.415</v>
      </c>
      <c r="T82" s="31">
        <f>T68+T69+T70+T71+T74</f>
        <v>1207994.1545000002</v>
      </c>
      <c r="U82" s="110">
        <f t="shared" si="111"/>
        <v>0.4467689338475187</v>
      </c>
    </row>
    <row r="83" spans="3:21">
      <c r="C83" s="5" t="s">
        <v>217</v>
      </c>
      <c r="I83" s="31">
        <f t="shared" ref="I83:O83" si="116">I75+I76+I78</f>
        <v>14645245</v>
      </c>
      <c r="J83" s="31">
        <f t="shared" si="116"/>
        <v>7579006</v>
      </c>
      <c r="K83" s="31">
        <f t="shared" si="116"/>
        <v>14544682</v>
      </c>
      <c r="L83" s="31">
        <f t="shared" si="116"/>
        <v>7382254</v>
      </c>
      <c r="M83" s="31">
        <f t="shared" si="116"/>
        <v>100563</v>
      </c>
      <c r="N83" s="31">
        <f t="shared" si="116"/>
        <v>196752</v>
      </c>
      <c r="O83" s="31">
        <f t="shared" si="116"/>
        <v>15626469</v>
      </c>
      <c r="P83" s="21">
        <f>J83+(I83*Q83*P$61/12)</f>
        <v>7910848.9238371225</v>
      </c>
      <c r="Q83" s="110">
        <f>S83/I22</f>
        <v>4.5317497090300946E-2</v>
      </c>
      <c r="R83" s="110">
        <f t="shared" si="110"/>
        <v>3.7764580908584123E-3</v>
      </c>
      <c r="S83" s="31">
        <f>S75+S76+S78</f>
        <v>715563.56606666674</v>
      </c>
      <c r="T83" s="31">
        <f>T75+T76+T78</f>
        <v>541280.65749999962</v>
      </c>
      <c r="U83" s="110">
        <f t="shared" si="111"/>
        <v>0.32198251711343895</v>
      </c>
    </row>
    <row r="84" spans="3:21" ht="17.25">
      <c r="C84" s="5" t="s">
        <v>90</v>
      </c>
      <c r="I84" s="105">
        <f t="shared" ref="I84:O84" si="117">I79</f>
        <v>9294997</v>
      </c>
      <c r="J84" s="105">
        <f t="shared" si="117"/>
        <v>7659509</v>
      </c>
      <c r="K84" s="105">
        <f t="shared" si="117"/>
        <v>9273751</v>
      </c>
      <c r="L84" s="105">
        <f t="shared" si="117"/>
        <v>7591788</v>
      </c>
      <c r="M84" s="105">
        <f t="shared" si="117"/>
        <v>21246</v>
      </c>
      <c r="N84" s="105">
        <f t="shared" si="117"/>
        <v>67721</v>
      </c>
      <c r="O84" s="105">
        <f t="shared" si="117"/>
        <v>9294997</v>
      </c>
      <c r="P84" s="34">
        <f>J84+(I84*Q84*P$61/12)</f>
        <v>7705983.9850000003</v>
      </c>
      <c r="Q84" s="110">
        <f>S84/J22</f>
        <v>0.01</v>
      </c>
      <c r="R84" s="110">
        <f t="shared" si="110"/>
        <v>8.3333333333333339E-4</v>
      </c>
      <c r="S84" s="105">
        <f>S79</f>
        <v>92949.97</v>
      </c>
      <c r="T84" s="105">
        <f>T79</f>
        <v>114195.98500000034</v>
      </c>
      <c r="U84" s="110">
        <f t="shared" si="111"/>
        <v>-0.18604870390145745</v>
      </c>
    </row>
    <row r="85" spans="3:21">
      <c r="I85" s="100">
        <f>SUM(I81:I84)</f>
        <v>397976540</v>
      </c>
      <c r="J85" s="100">
        <f t="shared" ref="J85:P85" si="118">SUM(J81:J84)</f>
        <v>227800510</v>
      </c>
      <c r="K85" s="100">
        <f t="shared" si="118"/>
        <v>388834171</v>
      </c>
      <c r="L85" s="100">
        <f t="shared" si="118"/>
        <v>224788186</v>
      </c>
      <c r="M85" s="100">
        <f t="shared" si="118"/>
        <v>818980</v>
      </c>
      <c r="N85" s="100">
        <f t="shared" si="118"/>
        <v>2893367</v>
      </c>
      <c r="O85" s="100">
        <f t="shared" si="118"/>
        <v>453612127.86214465</v>
      </c>
      <c r="P85" s="100">
        <f t="shared" si="118"/>
        <v>231333996.81090409</v>
      </c>
      <c r="S85" s="100">
        <f t="shared" ref="S85:T85" si="119">SUM(S81:S84)</f>
        <v>7078451.1780666662</v>
      </c>
      <c r="T85" s="100">
        <f t="shared" si="119"/>
        <v>6239909.3530000029</v>
      </c>
    </row>
    <row r="86" spans="3:21">
      <c r="C86" s="130" t="s">
        <v>254</v>
      </c>
      <c r="I86" s="102">
        <f>379584826+4306193</f>
        <v>383891019</v>
      </c>
      <c r="J86" s="102">
        <f>3221613+221264448</f>
        <v>224486061</v>
      </c>
      <c r="K86" s="102">
        <v>388834171</v>
      </c>
      <c r="L86" s="102">
        <v>224788189</v>
      </c>
      <c r="M86" s="102"/>
      <c r="N86" s="102"/>
      <c r="O86" s="102"/>
      <c r="P86" s="102"/>
      <c r="S86" s="102"/>
      <c r="T86" s="102"/>
    </row>
    <row r="87" spans="3:21">
      <c r="I87" s="100">
        <f t="shared" ref="I87:P87" si="120">I85-I86</f>
        <v>14085521</v>
      </c>
      <c r="J87" s="100">
        <f t="shared" si="120"/>
        <v>3314449</v>
      </c>
      <c r="K87" s="100">
        <f t="shared" si="120"/>
        <v>0</v>
      </c>
      <c r="L87" s="100">
        <f t="shared" si="120"/>
        <v>-3</v>
      </c>
      <c r="M87" s="100">
        <f t="shared" si="120"/>
        <v>818980</v>
      </c>
      <c r="N87" s="100">
        <f t="shared" si="120"/>
        <v>2893367</v>
      </c>
      <c r="O87" s="100">
        <f t="shared" si="120"/>
        <v>453612127.86214465</v>
      </c>
      <c r="P87" s="100">
        <f t="shared" si="120"/>
        <v>231333996.81090409</v>
      </c>
      <c r="S87" s="100">
        <f t="shared" ref="S87:T87" si="121">S85-S86</f>
        <v>7078451.1780666662</v>
      </c>
      <c r="T87" s="100">
        <f t="shared" si="121"/>
        <v>6239909.3530000029</v>
      </c>
    </row>
    <row r="88" spans="3:21">
      <c r="D88" s="112"/>
      <c r="K88" s="31"/>
      <c r="L88" s="31"/>
    </row>
    <row r="89" spans="3:21">
      <c r="C89" s="119" t="s">
        <v>269</v>
      </c>
      <c r="K89" s="31"/>
      <c r="L89" s="31"/>
    </row>
    <row r="90" spans="3:21" ht="17.25">
      <c r="C90" s="119" t="s">
        <v>270</v>
      </c>
      <c r="F90" s="40">
        <f>CWIP!F46</f>
        <v>27858691.862144664</v>
      </c>
      <c r="G90" s="40">
        <v>0</v>
      </c>
      <c r="K90" s="31"/>
      <c r="L90" s="31"/>
    </row>
    <row r="91" spans="3:21">
      <c r="C91" s="119" t="s">
        <v>253</v>
      </c>
    </row>
    <row r="92" spans="3:21" s="119" customFormat="1">
      <c r="C92" s="119" t="s">
        <v>241</v>
      </c>
      <c r="F92" s="121">
        <f>36000000*0.71</f>
        <v>25560000</v>
      </c>
      <c r="G92" s="121">
        <v>0</v>
      </c>
    </row>
    <row r="93" spans="3:21" s="119" customFormat="1"/>
    <row r="94" spans="3:21">
      <c r="C94" s="5" t="s">
        <v>257</v>
      </c>
    </row>
    <row r="95" spans="3:21">
      <c r="C95" s="5" t="s">
        <v>242</v>
      </c>
      <c r="F95" s="100">
        <f>F98-F90-SUM(I71:I73)</f>
        <v>20915351.137855336</v>
      </c>
      <c r="G95" s="128"/>
    </row>
    <row r="96" spans="3:21">
      <c r="C96" s="5" t="s">
        <v>38</v>
      </c>
      <c r="F96" s="100">
        <f>F99-F92-I74</f>
        <v>10440000</v>
      </c>
      <c r="G96" s="128"/>
    </row>
    <row r="97" spans="3:8">
      <c r="C97" s="5" t="s">
        <v>255</v>
      </c>
    </row>
    <row r="98" spans="3:8" ht="17.25">
      <c r="C98" s="5" t="s">
        <v>242</v>
      </c>
      <c r="E98" s="21"/>
      <c r="F98" s="127">
        <v>69000000</v>
      </c>
      <c r="G98" s="21"/>
      <c r="H98" s="21"/>
    </row>
    <row r="99" spans="3:8" ht="17.25">
      <c r="C99" s="5" t="s">
        <v>38</v>
      </c>
      <c r="E99" s="34"/>
      <c r="F99" s="127">
        <v>36000000</v>
      </c>
      <c r="G99" s="21"/>
      <c r="H99" s="21"/>
    </row>
    <row r="100" spans="3:8">
      <c r="E100" s="21"/>
      <c r="F100" s="21"/>
      <c r="G100" s="21"/>
      <c r="H100" s="21"/>
    </row>
  </sheetData>
  <mergeCells count="12">
    <mergeCell ref="S6:T6"/>
    <mergeCell ref="O24:R24"/>
    <mergeCell ref="Q62:R62"/>
    <mergeCell ref="M6:O6"/>
    <mergeCell ref="E62:F62"/>
    <mergeCell ref="G62:H62"/>
    <mergeCell ref="I62:J62"/>
    <mergeCell ref="K62:L62"/>
    <mergeCell ref="O62:P62"/>
    <mergeCell ref="M62:N62"/>
    <mergeCell ref="F6:G6"/>
    <mergeCell ref="P6:R6"/>
  </mergeCells>
  <printOptions horizontalCentered="1" verticalCentered="1"/>
  <pageMargins left="0.2" right="0.2" top="0.25" bottom="0.25" header="0.3" footer="0.3"/>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60"/>
  <sheetViews>
    <sheetView showGridLines="0" topLeftCell="A28" zoomScaleNormal="100" workbookViewId="0">
      <selection activeCell="F22" sqref="F22"/>
    </sheetView>
  </sheetViews>
  <sheetFormatPr defaultColWidth="9.140625" defaultRowHeight="15"/>
  <cols>
    <col min="1" max="2" width="9.140625" style="5"/>
    <col min="3" max="3" width="27.85546875" style="5" customWidth="1"/>
    <col min="4" max="4" width="8" style="5" customWidth="1"/>
    <col min="5" max="8" width="19.85546875" style="5" customWidth="1"/>
    <col min="9" max="9" width="17.140625" style="5" customWidth="1"/>
    <col min="10" max="10" width="12.5703125" style="5" bestFit="1" customWidth="1"/>
    <col min="11" max="16384" width="9.140625" style="5"/>
  </cols>
  <sheetData>
    <row r="2" spans="2:9">
      <c r="F2" s="5" t="s">
        <v>236</v>
      </c>
    </row>
    <row r="3" spans="2:9" ht="15.75">
      <c r="B3" s="4" t="s">
        <v>4</v>
      </c>
      <c r="C3" s="4"/>
      <c r="D3" s="4"/>
      <c r="E3" s="4"/>
      <c r="F3" s="4"/>
      <c r="G3" s="4"/>
      <c r="H3" s="4"/>
    </row>
    <row r="4" spans="2:9" ht="15.75">
      <c r="B4" s="6">
        <f>Coversheet!E5</f>
        <v>2015</v>
      </c>
      <c r="C4" s="4" t="s">
        <v>34</v>
      </c>
      <c r="D4" s="4"/>
      <c r="E4" s="4"/>
      <c r="F4" s="4"/>
      <c r="G4" s="4"/>
      <c r="H4" s="4"/>
    </row>
    <row r="5" spans="2:9" ht="15.75">
      <c r="B5" s="4" t="s">
        <v>7</v>
      </c>
      <c r="C5" s="4"/>
      <c r="D5" s="4"/>
      <c r="E5" s="7">
        <f>Coversheet!E5</f>
        <v>2015</v>
      </c>
      <c r="H5" s="4"/>
    </row>
    <row r="6" spans="2:9" ht="15.75">
      <c r="B6" s="4"/>
      <c r="C6" s="4"/>
      <c r="D6" s="4"/>
      <c r="E6" s="7"/>
      <c r="H6" s="4"/>
    </row>
    <row r="7" spans="2:9" s="9" customFormat="1" ht="20.25" customHeight="1">
      <c r="B7" s="8" t="s">
        <v>0</v>
      </c>
      <c r="C7" s="8" t="s">
        <v>1</v>
      </c>
      <c r="D7" s="8" t="s">
        <v>2</v>
      </c>
      <c r="E7" s="8" t="s">
        <v>224</v>
      </c>
      <c r="F7" s="8" t="s">
        <v>225</v>
      </c>
      <c r="G7" s="8" t="s">
        <v>38</v>
      </c>
      <c r="H7" s="8" t="s">
        <v>39</v>
      </c>
    </row>
    <row r="8" spans="2:9" s="9" customFormat="1">
      <c r="B8" s="10">
        <v>1</v>
      </c>
      <c r="C8" s="10" t="s">
        <v>21</v>
      </c>
      <c r="D8" s="10">
        <f>$E$5-1</f>
        <v>2014</v>
      </c>
      <c r="E8" s="11">
        <f>E26+E27-E29</f>
        <v>0.27571067214012146</v>
      </c>
      <c r="F8" s="11">
        <f>F26+F27</f>
        <v>33356004.137855344</v>
      </c>
      <c r="G8" s="11">
        <f>G26+G27-G29</f>
        <v>10485196</v>
      </c>
      <c r="H8" s="12">
        <f>SUM(E8:G8)</f>
        <v>43841200.413566016</v>
      </c>
    </row>
    <row r="9" spans="2:9">
      <c r="B9" s="13">
        <v>2</v>
      </c>
      <c r="C9" s="14" t="s">
        <v>10</v>
      </c>
      <c r="D9" s="13">
        <f>$E$5</f>
        <v>2015</v>
      </c>
      <c r="E9" s="11">
        <f t="shared" ref="E9:E19" si="0">E8+E$40/11</f>
        <v>0.27571067214012146</v>
      </c>
      <c r="F9" s="11">
        <f>F8+F$40/3</f>
        <v>34265031.137855344</v>
      </c>
      <c r="G9" s="11">
        <f>G8+G$40</f>
        <v>11558675</v>
      </c>
      <c r="H9" s="12">
        <f t="shared" ref="H9:H20" si="1">SUM(E9:G9)</f>
        <v>45823706.413566016</v>
      </c>
    </row>
    <row r="10" spans="2:9" ht="15.75">
      <c r="B10" s="13">
        <v>3</v>
      </c>
      <c r="C10" s="15" t="s">
        <v>11</v>
      </c>
      <c r="D10" s="13">
        <f t="shared" ref="D10:D20" si="2">$E$5</f>
        <v>2015</v>
      </c>
      <c r="E10" s="11">
        <f t="shared" si="0"/>
        <v>0.27571067214012146</v>
      </c>
      <c r="F10" s="11">
        <f t="shared" ref="F10:F11" si="3">F9+F$40/3</f>
        <v>35174058.137855344</v>
      </c>
      <c r="G10" s="11">
        <f>G9-G30</f>
        <v>0</v>
      </c>
      <c r="H10" s="12">
        <f t="shared" si="1"/>
        <v>35174058.413566016</v>
      </c>
    </row>
    <row r="11" spans="2:9" ht="15.75">
      <c r="B11" s="13">
        <v>4</v>
      </c>
      <c r="C11" s="15" t="s">
        <v>12</v>
      </c>
      <c r="D11" s="13">
        <f t="shared" si="2"/>
        <v>2015</v>
      </c>
      <c r="E11" s="11">
        <f t="shared" si="0"/>
        <v>0.27571067214012146</v>
      </c>
      <c r="F11" s="11">
        <f t="shared" si="3"/>
        <v>36083085.137855344</v>
      </c>
      <c r="G11" s="11"/>
      <c r="H11" s="12">
        <f t="shared" si="1"/>
        <v>36083085.413566016</v>
      </c>
    </row>
    <row r="12" spans="2:9" ht="15.75">
      <c r="B12" s="13">
        <v>5</v>
      </c>
      <c r="C12" s="15" t="s">
        <v>13</v>
      </c>
      <c r="D12" s="13">
        <f t="shared" si="2"/>
        <v>2015</v>
      </c>
      <c r="E12" s="11">
        <f t="shared" si="0"/>
        <v>0.27571067214012146</v>
      </c>
      <c r="F12" s="11">
        <f>F11-F30</f>
        <v>0</v>
      </c>
      <c r="G12" s="11"/>
      <c r="H12" s="12">
        <f t="shared" si="1"/>
        <v>0.27571067214012146</v>
      </c>
      <c r="I12" s="5" t="s">
        <v>263</v>
      </c>
    </row>
    <row r="13" spans="2:9" ht="15.75">
      <c r="B13" s="13">
        <v>6</v>
      </c>
      <c r="C13" s="15" t="s">
        <v>14</v>
      </c>
      <c r="D13" s="13">
        <f t="shared" si="2"/>
        <v>2015</v>
      </c>
      <c r="E13" s="11">
        <f t="shared" si="0"/>
        <v>0.27571067214012146</v>
      </c>
      <c r="F13" s="11">
        <f>F12</f>
        <v>0</v>
      </c>
      <c r="G13" s="11"/>
      <c r="H13" s="12">
        <f t="shared" si="1"/>
        <v>0.27571067214012146</v>
      </c>
    </row>
    <row r="14" spans="2:9" ht="15.75">
      <c r="B14" s="13">
        <v>7</v>
      </c>
      <c r="C14" s="15" t="s">
        <v>15</v>
      </c>
      <c r="D14" s="13">
        <f t="shared" si="2"/>
        <v>2015</v>
      </c>
      <c r="E14" s="11">
        <f t="shared" si="0"/>
        <v>0.27571067214012146</v>
      </c>
      <c r="F14" s="11">
        <f t="shared" ref="F14:F20" si="4">F13</f>
        <v>0</v>
      </c>
      <c r="G14" s="11"/>
      <c r="H14" s="12">
        <f t="shared" si="1"/>
        <v>0.27571067214012146</v>
      </c>
    </row>
    <row r="15" spans="2:9" ht="15.75">
      <c r="B15" s="13">
        <v>8</v>
      </c>
      <c r="C15" s="15" t="s">
        <v>16</v>
      </c>
      <c r="D15" s="13">
        <f t="shared" si="2"/>
        <v>2015</v>
      </c>
      <c r="E15" s="11">
        <f t="shared" si="0"/>
        <v>0.27571067214012146</v>
      </c>
      <c r="F15" s="11">
        <f t="shared" si="4"/>
        <v>0</v>
      </c>
      <c r="G15" s="11"/>
      <c r="H15" s="12">
        <f t="shared" si="1"/>
        <v>0.27571067214012146</v>
      </c>
    </row>
    <row r="16" spans="2:9" ht="15.75">
      <c r="B16" s="13">
        <v>9</v>
      </c>
      <c r="C16" s="15" t="s">
        <v>17</v>
      </c>
      <c r="D16" s="13">
        <f t="shared" si="2"/>
        <v>2015</v>
      </c>
      <c r="E16" s="11">
        <f t="shared" si="0"/>
        <v>0.27571067214012146</v>
      </c>
      <c r="F16" s="11">
        <f t="shared" si="4"/>
        <v>0</v>
      </c>
      <c r="G16" s="11"/>
      <c r="H16" s="12">
        <f t="shared" si="1"/>
        <v>0.27571067214012146</v>
      </c>
    </row>
    <row r="17" spans="2:16" ht="15.75">
      <c r="B17" s="13">
        <v>10</v>
      </c>
      <c r="C17" s="15" t="s">
        <v>18</v>
      </c>
      <c r="D17" s="13">
        <f t="shared" si="2"/>
        <v>2015</v>
      </c>
      <c r="E17" s="11">
        <f t="shared" si="0"/>
        <v>0.27571067214012146</v>
      </c>
      <c r="F17" s="11">
        <f t="shared" si="4"/>
        <v>0</v>
      </c>
      <c r="G17" s="11"/>
      <c r="H17" s="12">
        <f t="shared" si="1"/>
        <v>0.27571067214012146</v>
      </c>
    </row>
    <row r="18" spans="2:16" ht="15.75">
      <c r="B18" s="13">
        <v>11</v>
      </c>
      <c r="C18" s="15" t="s">
        <v>19</v>
      </c>
      <c r="D18" s="13">
        <f t="shared" si="2"/>
        <v>2015</v>
      </c>
      <c r="E18" s="11">
        <f t="shared" si="0"/>
        <v>0.27571067214012146</v>
      </c>
      <c r="F18" s="11">
        <f t="shared" si="4"/>
        <v>0</v>
      </c>
      <c r="G18" s="11"/>
      <c r="H18" s="12">
        <f t="shared" si="1"/>
        <v>0.27571067214012146</v>
      </c>
    </row>
    <row r="19" spans="2:16" ht="15.75">
      <c r="B19" s="13">
        <v>12</v>
      </c>
      <c r="C19" s="15" t="s">
        <v>20</v>
      </c>
      <c r="D19" s="13">
        <f t="shared" si="2"/>
        <v>2015</v>
      </c>
      <c r="E19" s="11">
        <f t="shared" si="0"/>
        <v>0.27571067214012146</v>
      </c>
      <c r="F19" s="11">
        <f t="shared" si="4"/>
        <v>0</v>
      </c>
      <c r="G19" s="11"/>
      <c r="H19" s="12">
        <f t="shared" si="1"/>
        <v>0.27571067214012146</v>
      </c>
    </row>
    <row r="20" spans="2:16" ht="17.25">
      <c r="B20" s="13">
        <v>13</v>
      </c>
      <c r="C20" s="15" t="s">
        <v>21</v>
      </c>
      <c r="D20" s="13">
        <f t="shared" si="2"/>
        <v>2015</v>
      </c>
      <c r="E20" s="29">
        <f>E19</f>
        <v>0.27571067214012146</v>
      </c>
      <c r="F20" s="29">
        <f t="shared" si="4"/>
        <v>0</v>
      </c>
      <c r="G20" s="29">
        <v>0</v>
      </c>
      <c r="H20" s="17">
        <f t="shared" si="1"/>
        <v>0.27571067214012146</v>
      </c>
    </row>
    <row r="21" spans="2:16">
      <c r="B21" s="13">
        <v>14</v>
      </c>
    </row>
    <row r="22" spans="2:16" ht="17.25">
      <c r="B22" s="13">
        <v>15</v>
      </c>
      <c r="C22" s="6" t="s">
        <v>27</v>
      </c>
      <c r="D22" s="18"/>
      <c r="E22" s="30">
        <f>SUM(E8:E20)/13</f>
        <v>0.27571067214012146</v>
      </c>
      <c r="F22" s="30">
        <f t="shared" ref="F22:G22" si="5">SUM(F8:F20)/13</f>
        <v>10682936.811647799</v>
      </c>
      <c r="G22" s="30">
        <f t="shared" si="5"/>
        <v>1695682.3846153845</v>
      </c>
      <c r="H22" s="69">
        <f>SUM(H8:H20)/13</f>
        <v>12378619.471973855</v>
      </c>
    </row>
    <row r="23" spans="2:16">
      <c r="C23" s="92" t="s">
        <v>190</v>
      </c>
      <c r="D23" s="92"/>
      <c r="H23" s="92" t="s">
        <v>202</v>
      </c>
      <c r="P23" s="31"/>
    </row>
    <row r="25" spans="2:16" ht="17.25">
      <c r="C25" s="5" t="s">
        <v>201</v>
      </c>
      <c r="E25" s="40"/>
      <c r="F25" s="40"/>
      <c r="G25" s="40"/>
      <c r="I25" s="134" t="s">
        <v>262</v>
      </c>
      <c r="J25" s="134" t="s">
        <v>109</v>
      </c>
    </row>
    <row r="26" spans="2:16" ht="17.25">
      <c r="B26" s="15" t="s">
        <v>210</v>
      </c>
      <c r="C26" s="125">
        <v>41820</v>
      </c>
      <c r="D26" s="97"/>
      <c r="E26" s="40">
        <f>F53-Plant!I72</f>
        <v>12690967.862144664</v>
      </c>
      <c r="F26" s="40">
        <f>2005106+33919275-11430122</f>
        <v>24494259</v>
      </c>
      <c r="G26" s="40">
        <v>30266308</v>
      </c>
      <c r="H26" s="99">
        <f>SUM(E26:G26)</f>
        <v>67451534.862144664</v>
      </c>
      <c r="I26" s="100">
        <v>67451535</v>
      </c>
      <c r="J26" s="100">
        <f>I26-H26</f>
        <v>0.13785533607006073</v>
      </c>
      <c r="K26" s="99"/>
    </row>
    <row r="27" spans="2:16" ht="17.25">
      <c r="B27" s="15" t="s">
        <v>211</v>
      </c>
      <c r="C27" s="125" t="s">
        <v>256</v>
      </c>
      <c r="D27" s="97"/>
      <c r="E27" s="124">
        <f>E32+E39-E26-E29</f>
        <v>0.27571067214012146</v>
      </c>
      <c r="F27" s="124">
        <f>F32+F39-F26</f>
        <v>8861745.1378553435</v>
      </c>
      <c r="G27" s="124">
        <f>G32+G39-G26</f>
        <v>5778888</v>
      </c>
      <c r="H27" s="99">
        <f t="shared" ref="H27:H28" si="6">SUM(E27:G27)</f>
        <v>14640633.413566016</v>
      </c>
      <c r="I27" s="369" t="s">
        <v>260</v>
      </c>
      <c r="J27" s="369"/>
    </row>
    <row r="28" spans="2:16" ht="17.25">
      <c r="B28" s="15" t="s">
        <v>211</v>
      </c>
      <c r="C28" s="125" t="s">
        <v>246</v>
      </c>
      <c r="D28" s="97"/>
      <c r="E28" s="124">
        <f>E40</f>
        <v>0</v>
      </c>
      <c r="F28" s="124">
        <f>F40</f>
        <v>2727081</v>
      </c>
      <c r="G28" s="124">
        <f>G40</f>
        <v>1073479</v>
      </c>
      <c r="H28" s="99">
        <f t="shared" si="6"/>
        <v>3800560</v>
      </c>
    </row>
    <row r="29" spans="2:16" ht="17.25">
      <c r="B29" s="15" t="s">
        <v>211</v>
      </c>
      <c r="C29" s="125" t="s">
        <v>234</v>
      </c>
      <c r="D29" s="97"/>
      <c r="E29" s="124">
        <f>E26</f>
        <v>12690967.862144664</v>
      </c>
      <c r="F29" s="124">
        <v>0</v>
      </c>
      <c r="G29" s="121">
        <f>36000000*0.71</f>
        <v>25560000</v>
      </c>
      <c r="H29" s="99">
        <f t="shared" ref="H29" si="7">SUM(E29:G29)</f>
        <v>38250967.862144664</v>
      </c>
    </row>
    <row r="30" spans="2:16" ht="17.25">
      <c r="B30" s="15" t="s">
        <v>211</v>
      </c>
      <c r="C30" s="125" t="s">
        <v>247</v>
      </c>
      <c r="D30" s="97"/>
      <c r="E30" s="124">
        <v>0</v>
      </c>
      <c r="F30" s="124">
        <f>G45</f>
        <v>36083085.137855344</v>
      </c>
      <c r="G30" s="124">
        <f>H45-G29</f>
        <v>11558675</v>
      </c>
      <c r="H30" s="99">
        <f t="shared" ref="H30" si="8">SUM(E30:G30)</f>
        <v>47641760.137855344</v>
      </c>
    </row>
    <row r="31" spans="2:16" ht="17.25">
      <c r="B31" s="15"/>
      <c r="C31" s="125"/>
      <c r="D31" s="97"/>
      <c r="E31" s="124"/>
      <c r="F31" s="124"/>
      <c r="G31" s="124"/>
      <c r="H31" s="99"/>
    </row>
    <row r="32" spans="2:16" ht="17.25">
      <c r="B32" s="15" t="s">
        <v>210</v>
      </c>
      <c r="C32" s="125">
        <v>41639</v>
      </c>
      <c r="D32" s="97"/>
      <c r="E32" s="101">
        <f>7426165+288148+213+994+5553+18688+129609+126336+17386230</f>
        <v>25381936</v>
      </c>
      <c r="F32" s="101">
        <f>2005106+716321+28181469-17386231</f>
        <v>13516665</v>
      </c>
      <c r="G32" s="101">
        <v>24002493</v>
      </c>
      <c r="H32" s="99">
        <f>SUM(E32:G32)</f>
        <v>62901094</v>
      </c>
      <c r="I32" s="100">
        <f>62901094-H32</f>
        <v>0</v>
      </c>
    </row>
    <row r="34" spans="3:10">
      <c r="E34" s="21"/>
      <c r="G34" s="21"/>
    </row>
    <row r="35" spans="3:10">
      <c r="E35" s="106"/>
      <c r="G35" s="106"/>
    </row>
    <row r="36" spans="3:10">
      <c r="C36" s="5" t="s">
        <v>220</v>
      </c>
    </row>
    <row r="37" spans="3:10">
      <c r="C37" s="5" t="s">
        <v>261</v>
      </c>
      <c r="E37" s="8" t="s">
        <v>224</v>
      </c>
      <c r="F37" s="8" t="s">
        <v>225</v>
      </c>
      <c r="G37" s="8" t="s">
        <v>38</v>
      </c>
    </row>
    <row r="38" spans="3:10">
      <c r="C38" s="120">
        <v>2013</v>
      </c>
      <c r="D38" s="119"/>
      <c r="E38" s="131"/>
      <c r="F38" s="131"/>
      <c r="G38" s="131"/>
      <c r="H38" s="119"/>
      <c r="I38" s="119"/>
    </row>
    <row r="39" spans="3:10">
      <c r="C39" s="120">
        <v>2014</v>
      </c>
      <c r="D39" s="119"/>
      <c r="E39" s="131">
        <f>F47</f>
        <v>0</v>
      </c>
      <c r="F39" s="131">
        <f>G53-F32-F40</f>
        <v>19839339.137855344</v>
      </c>
      <c r="G39" s="131">
        <v>12042703</v>
      </c>
      <c r="H39" s="119"/>
      <c r="I39" s="119"/>
    </row>
    <row r="40" spans="3:10">
      <c r="C40" s="120">
        <v>2015</v>
      </c>
      <c r="D40" s="119"/>
      <c r="E40" s="131">
        <v>0</v>
      </c>
      <c r="F40" s="131">
        <v>2727081</v>
      </c>
      <c r="G40" s="131">
        <v>1073479</v>
      </c>
      <c r="H40" s="119"/>
      <c r="I40" s="119"/>
    </row>
    <row r="41" spans="3:10">
      <c r="C41" s="119"/>
      <c r="D41" s="119"/>
      <c r="E41" s="368"/>
      <c r="F41" s="368"/>
      <c r="G41" s="126"/>
      <c r="H41" s="119"/>
      <c r="I41" s="119"/>
    </row>
    <row r="42" spans="3:10">
      <c r="E42" s="119"/>
      <c r="F42" s="119"/>
      <c r="G42" s="119"/>
      <c r="H42" s="119"/>
      <c r="I42" s="119"/>
    </row>
    <row r="43" spans="3:10">
      <c r="E43" s="119"/>
      <c r="F43" s="119"/>
      <c r="G43" s="119"/>
      <c r="H43" s="119"/>
      <c r="I43" s="119"/>
    </row>
    <row r="44" spans="3:10" ht="17.25">
      <c r="E44" s="138" t="s">
        <v>223</v>
      </c>
      <c r="F44" s="138" t="s">
        <v>224</v>
      </c>
      <c r="G44" s="138" t="s">
        <v>225</v>
      </c>
      <c r="H44" s="138" t="s">
        <v>38</v>
      </c>
      <c r="I44" s="138" t="s">
        <v>85</v>
      </c>
    </row>
    <row r="45" spans="3:10">
      <c r="C45" s="5" t="s">
        <v>239</v>
      </c>
      <c r="E45" s="123">
        <f>E53</f>
        <v>5058223</v>
      </c>
      <c r="F45" s="123">
        <f>F53</f>
        <v>27858691.862144664</v>
      </c>
      <c r="G45" s="123">
        <f>G53</f>
        <v>36083085.137855344</v>
      </c>
      <c r="H45" s="123">
        <f>SUM(G38:G40)+G32</f>
        <v>37118675</v>
      </c>
      <c r="I45" s="123">
        <f>SUM(F45:H45)</f>
        <v>101060452</v>
      </c>
    </row>
    <row r="46" spans="3:10" ht="17.25">
      <c r="C46" s="5" t="s">
        <v>258</v>
      </c>
      <c r="E46" s="133">
        <v>5058223</v>
      </c>
      <c r="F46" s="133">
        <f>E26+Plant!I72</f>
        <v>27858691.862144664</v>
      </c>
      <c r="G46" s="133">
        <f>F26</f>
        <v>24494259</v>
      </c>
      <c r="H46" s="133">
        <f>G26</f>
        <v>30266308</v>
      </c>
      <c r="I46" s="133">
        <f>SUM(F46:H46)</f>
        <v>82619258.862144664</v>
      </c>
    </row>
    <row r="47" spans="3:10" ht="17.25">
      <c r="C47" s="5" t="s">
        <v>240</v>
      </c>
      <c r="E47" s="133">
        <f>E45-E46</f>
        <v>0</v>
      </c>
      <c r="F47" s="133">
        <f>F45-F46</f>
        <v>0</v>
      </c>
      <c r="G47" s="133">
        <f>G45-G46</f>
        <v>11588826.137855344</v>
      </c>
      <c r="H47" s="133">
        <f>H45-H46</f>
        <v>6852367</v>
      </c>
      <c r="I47" s="133">
        <f>I45-I46</f>
        <v>18441193.137855336</v>
      </c>
    </row>
    <row r="48" spans="3:10">
      <c r="E48" s="119"/>
      <c r="F48" s="119"/>
      <c r="G48" s="119"/>
      <c r="H48" s="119"/>
      <c r="I48" s="119"/>
      <c r="J48" s="119"/>
    </row>
    <row r="49" spans="2:16" ht="17.25">
      <c r="B49" s="5" t="s">
        <v>264</v>
      </c>
      <c r="E49" s="127">
        <v>90742954</v>
      </c>
      <c r="F49" s="127">
        <v>198399957</v>
      </c>
      <c r="G49" s="127">
        <v>316954621</v>
      </c>
      <c r="H49" s="127"/>
      <c r="I49" s="127">
        <f>SUM(E49:G49)</f>
        <v>606097532</v>
      </c>
      <c r="J49" s="119"/>
    </row>
    <row r="50" spans="2:16">
      <c r="C50" s="5" t="s">
        <v>265</v>
      </c>
      <c r="E50" s="136">
        <v>0.11</v>
      </c>
      <c r="F50" s="136">
        <f>E50</f>
        <v>0.11</v>
      </c>
      <c r="G50" s="136">
        <f>F50</f>
        <v>0.11</v>
      </c>
      <c r="H50" s="136"/>
      <c r="I50" s="136"/>
    </row>
    <row r="51" spans="2:16" ht="17.25">
      <c r="C51" s="5" t="s">
        <v>266</v>
      </c>
      <c r="E51" s="137">
        <f>E50*E49</f>
        <v>9981724.9399999995</v>
      </c>
      <c r="F51" s="137">
        <f t="shared" ref="F51:G51" si="9">F50*F49</f>
        <v>21823995.27</v>
      </c>
      <c r="G51" s="137">
        <f t="shared" si="9"/>
        <v>34865008.310000002</v>
      </c>
      <c r="H51" s="40"/>
      <c r="I51" s="127">
        <f>SUM(E51:G51)</f>
        <v>66670728.520000003</v>
      </c>
    </row>
    <row r="52" spans="2:16" ht="17.25">
      <c r="C52" s="5" t="s">
        <v>267</v>
      </c>
      <c r="E52" s="40">
        <f t="shared" ref="E52:F52" si="10">E51/$I$51*$I$52</f>
        <v>10330455.900948958</v>
      </c>
      <c r="F52" s="40">
        <f t="shared" si="10"/>
        <v>22586458.961195704</v>
      </c>
      <c r="G52" s="40">
        <f>G51/$I$51*$I$52</f>
        <v>36083085.137855344</v>
      </c>
      <c r="H52" s="40"/>
      <c r="I52" s="127">
        <v>69000000</v>
      </c>
      <c r="J52" s="127">
        <f>I52-SUM(E52:G52)</f>
        <v>0</v>
      </c>
    </row>
    <row r="53" spans="2:16" ht="17.25">
      <c r="C53" s="5" t="s">
        <v>268</v>
      </c>
      <c r="E53" s="40">
        <v>5058223</v>
      </c>
      <c r="F53" s="40">
        <f>F52+E52-E53</f>
        <v>27858691.862144664</v>
      </c>
      <c r="G53" s="40">
        <f>G52</f>
        <v>36083085.137855344</v>
      </c>
      <c r="H53" s="40"/>
      <c r="I53" s="127">
        <f>I52</f>
        <v>69000000</v>
      </c>
      <c r="J53" s="127">
        <f>I53-SUM(E53:G53)</f>
        <v>0</v>
      </c>
    </row>
    <row r="58" spans="2:16">
      <c r="P58" s="31"/>
    </row>
    <row r="60" spans="2:16">
      <c r="P60" s="31"/>
    </row>
  </sheetData>
  <mergeCells count="2">
    <mergeCell ref="E41:F41"/>
    <mergeCell ref="I27:J27"/>
  </mergeCells>
  <pageMargins left="0.7" right="0.7" top="0.75" bottom="0.75" header="0.3" footer="0.3"/>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5"/>
  <sheetViews>
    <sheetView showGridLines="0" workbookViewId="0">
      <selection activeCell="E28" sqref="E28"/>
    </sheetView>
  </sheetViews>
  <sheetFormatPr defaultColWidth="9.140625" defaultRowHeight="15"/>
  <cols>
    <col min="1" max="3" width="9.140625" style="5"/>
    <col min="4" max="4" width="34.5703125" style="5" customWidth="1"/>
    <col min="5" max="5" width="19.5703125" style="5" customWidth="1"/>
    <col min="6" max="16384" width="9.140625" style="5"/>
  </cols>
  <sheetData>
    <row r="3" spans="3:6" ht="15.75">
      <c r="C3" s="4" t="s">
        <v>4</v>
      </c>
      <c r="D3" s="4"/>
      <c r="E3" s="4"/>
      <c r="F3" s="4"/>
    </row>
    <row r="4" spans="3:6" ht="15.75">
      <c r="C4" s="6">
        <f>Coversheet!E5</f>
        <v>2015</v>
      </c>
      <c r="D4" s="4" t="s">
        <v>42</v>
      </c>
      <c r="E4" s="4"/>
      <c r="F4" s="4"/>
    </row>
    <row r="5" spans="3:6" ht="15.75">
      <c r="C5" s="4" t="s">
        <v>7</v>
      </c>
      <c r="D5" s="4"/>
      <c r="E5" s="7">
        <f>Coversheet!E5</f>
        <v>2015</v>
      </c>
      <c r="F5" s="7"/>
    </row>
    <row r="8" spans="3:6" ht="18.75" customHeight="1">
      <c r="D8" s="26" t="s">
        <v>43</v>
      </c>
    </row>
    <row r="9" spans="3:6">
      <c r="D9" s="25" t="s">
        <v>44</v>
      </c>
      <c r="E9" s="21">
        <v>0</v>
      </c>
    </row>
    <row r="10" spans="3:6">
      <c r="D10" s="25" t="s">
        <v>45</v>
      </c>
      <c r="E10" s="21">
        <v>0</v>
      </c>
    </row>
    <row r="11" spans="3:6">
      <c r="D11" s="25" t="s">
        <v>46</v>
      </c>
      <c r="E11" s="21">
        <v>0</v>
      </c>
    </row>
    <row r="12" spans="3:6">
      <c r="D12" s="25" t="s">
        <v>40</v>
      </c>
      <c r="E12" s="21">
        <v>0</v>
      </c>
    </row>
    <row r="13" spans="3:6">
      <c r="D13" s="25" t="s">
        <v>47</v>
      </c>
      <c r="E13" s="22">
        <v>0</v>
      </c>
    </row>
    <row r="14" spans="3:6">
      <c r="E14" s="21"/>
    </row>
    <row r="15" spans="3:6">
      <c r="D15" s="25" t="s">
        <v>41</v>
      </c>
      <c r="E15" s="21">
        <f>SUM(E9:E13)</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2"/>
  <sheetViews>
    <sheetView showGridLines="0" zoomScaleNormal="100" workbookViewId="0">
      <selection activeCell="A25" sqref="A25"/>
    </sheetView>
  </sheetViews>
  <sheetFormatPr defaultColWidth="9.140625" defaultRowHeight="15"/>
  <cols>
    <col min="1" max="2" width="9.140625" style="5"/>
    <col min="3" max="3" width="27.85546875" style="5" customWidth="1"/>
    <col min="4" max="4" width="8" style="5" customWidth="1"/>
    <col min="5" max="8" width="19.85546875" style="5" customWidth="1"/>
    <col min="9" max="16384" width="9.140625" style="5"/>
  </cols>
  <sheetData>
    <row r="3" spans="2:8" ht="15.75">
      <c r="B3" s="4" t="s">
        <v>4</v>
      </c>
      <c r="C3" s="4"/>
      <c r="D3" s="4"/>
      <c r="E3" s="4"/>
      <c r="F3" s="4"/>
      <c r="G3" s="4"/>
      <c r="H3" s="4"/>
    </row>
    <row r="4" spans="2:8" ht="15.75">
      <c r="B4" s="6">
        <f>Coversheet!E5</f>
        <v>2015</v>
      </c>
      <c r="C4" s="4" t="s">
        <v>49</v>
      </c>
      <c r="D4" s="4"/>
      <c r="E4" s="4"/>
      <c r="F4" s="4"/>
      <c r="G4" s="4"/>
      <c r="H4" s="4"/>
    </row>
    <row r="5" spans="2:8" ht="15.75">
      <c r="B5" s="4" t="s">
        <v>7</v>
      </c>
      <c r="C5" s="4"/>
      <c r="D5" s="4"/>
      <c r="E5" s="7">
        <f>Coversheet!E5</f>
        <v>2015</v>
      </c>
      <c r="H5" s="4"/>
    </row>
    <row r="6" spans="2:8" ht="15.75">
      <c r="B6" s="4"/>
      <c r="C6" s="4"/>
      <c r="D6" s="4"/>
      <c r="E6" s="7"/>
      <c r="H6" s="4"/>
    </row>
    <row r="7" spans="2:8" s="9" customFormat="1" ht="35.25" customHeight="1">
      <c r="B7" s="8" t="s">
        <v>0</v>
      </c>
      <c r="C7" s="8" t="s">
        <v>1</v>
      </c>
      <c r="D7" s="8" t="s">
        <v>2</v>
      </c>
      <c r="E7" s="8" t="s">
        <v>36</v>
      </c>
      <c r="F7" s="8" t="s">
        <v>37</v>
      </c>
      <c r="G7" s="8" t="s">
        <v>38</v>
      </c>
      <c r="H7" s="8" t="s">
        <v>48</v>
      </c>
    </row>
    <row r="8" spans="2:8" s="9" customFormat="1">
      <c r="B8" s="10">
        <v>1</v>
      </c>
      <c r="C8" s="10" t="s">
        <v>21</v>
      </c>
      <c r="D8" s="10">
        <f>$E$5-1</f>
        <v>2014</v>
      </c>
      <c r="E8" s="11">
        <v>0</v>
      </c>
      <c r="F8" s="11">
        <v>0</v>
      </c>
      <c r="G8" s="11">
        <v>0</v>
      </c>
      <c r="H8" s="12">
        <f>SUM(E8:G8)</f>
        <v>0</v>
      </c>
    </row>
    <row r="9" spans="2:8">
      <c r="B9" s="13">
        <v>2</v>
      </c>
      <c r="C9" s="14" t="s">
        <v>10</v>
      </c>
      <c r="D9" s="13">
        <f>$E$5</f>
        <v>2015</v>
      </c>
      <c r="E9" s="11">
        <v>0</v>
      </c>
      <c r="F9" s="11">
        <v>0</v>
      </c>
      <c r="G9" s="11">
        <v>0</v>
      </c>
      <c r="H9" s="12">
        <f t="shared" ref="H9:H20" si="0">SUM(E9:G9)</f>
        <v>0</v>
      </c>
    </row>
    <row r="10" spans="2:8" ht="15.75">
      <c r="B10" s="13">
        <v>3</v>
      </c>
      <c r="C10" s="15" t="s">
        <v>11</v>
      </c>
      <c r="D10" s="13">
        <f t="shared" ref="D10:D20" si="1">$E$5</f>
        <v>2015</v>
      </c>
      <c r="E10" s="11">
        <v>0</v>
      </c>
      <c r="F10" s="11">
        <v>0</v>
      </c>
      <c r="G10" s="11">
        <v>0</v>
      </c>
      <c r="H10" s="12">
        <f t="shared" si="0"/>
        <v>0</v>
      </c>
    </row>
    <row r="11" spans="2:8" ht="15.75">
      <c r="B11" s="13">
        <v>4</v>
      </c>
      <c r="C11" s="15" t="s">
        <v>12</v>
      </c>
      <c r="D11" s="13">
        <f t="shared" si="1"/>
        <v>2015</v>
      </c>
      <c r="E11" s="11">
        <v>0</v>
      </c>
      <c r="F11" s="11">
        <v>0</v>
      </c>
      <c r="G11" s="11">
        <v>0</v>
      </c>
      <c r="H11" s="12">
        <f t="shared" si="0"/>
        <v>0</v>
      </c>
    </row>
    <row r="12" spans="2:8" ht="15.75">
      <c r="B12" s="13">
        <v>5</v>
      </c>
      <c r="C12" s="15" t="s">
        <v>13</v>
      </c>
      <c r="D12" s="13">
        <f t="shared" si="1"/>
        <v>2015</v>
      </c>
      <c r="E12" s="11">
        <v>0</v>
      </c>
      <c r="F12" s="11">
        <v>0</v>
      </c>
      <c r="G12" s="11">
        <v>0</v>
      </c>
      <c r="H12" s="12">
        <f t="shared" si="0"/>
        <v>0</v>
      </c>
    </row>
    <row r="13" spans="2:8" ht="15.75">
      <c r="B13" s="13">
        <v>6</v>
      </c>
      <c r="C13" s="15" t="s">
        <v>14</v>
      </c>
      <c r="D13" s="13">
        <f t="shared" si="1"/>
        <v>2015</v>
      </c>
      <c r="E13" s="11">
        <v>0</v>
      </c>
      <c r="F13" s="11">
        <v>0</v>
      </c>
      <c r="G13" s="11">
        <v>0</v>
      </c>
      <c r="H13" s="12">
        <f t="shared" si="0"/>
        <v>0</v>
      </c>
    </row>
    <row r="14" spans="2:8" ht="15.75">
      <c r="B14" s="13">
        <v>7</v>
      </c>
      <c r="C14" s="15" t="s">
        <v>15</v>
      </c>
      <c r="D14" s="13">
        <f t="shared" si="1"/>
        <v>2015</v>
      </c>
      <c r="E14" s="11">
        <v>0</v>
      </c>
      <c r="F14" s="11">
        <v>0</v>
      </c>
      <c r="G14" s="11">
        <v>0</v>
      </c>
      <c r="H14" s="12">
        <f t="shared" si="0"/>
        <v>0</v>
      </c>
    </row>
    <row r="15" spans="2:8" ht="15.75">
      <c r="B15" s="13">
        <v>8</v>
      </c>
      <c r="C15" s="15" t="s">
        <v>16</v>
      </c>
      <c r="D15" s="13">
        <f t="shared" si="1"/>
        <v>2015</v>
      </c>
      <c r="E15" s="11">
        <v>0</v>
      </c>
      <c r="F15" s="11">
        <v>0</v>
      </c>
      <c r="G15" s="11">
        <v>0</v>
      </c>
      <c r="H15" s="12">
        <f t="shared" si="0"/>
        <v>0</v>
      </c>
    </row>
    <row r="16" spans="2:8" ht="15.75">
      <c r="B16" s="13">
        <v>9</v>
      </c>
      <c r="C16" s="15" t="s">
        <v>17</v>
      </c>
      <c r="D16" s="13">
        <f t="shared" si="1"/>
        <v>2015</v>
      </c>
      <c r="E16" s="11">
        <v>0</v>
      </c>
      <c r="F16" s="11">
        <v>0</v>
      </c>
      <c r="G16" s="11">
        <v>0</v>
      </c>
      <c r="H16" s="12">
        <f t="shared" si="0"/>
        <v>0</v>
      </c>
    </row>
    <row r="17" spans="2:8" ht="15.75">
      <c r="B17" s="13">
        <v>10</v>
      </c>
      <c r="C17" s="15" t="s">
        <v>18</v>
      </c>
      <c r="D17" s="13">
        <f t="shared" si="1"/>
        <v>2015</v>
      </c>
      <c r="E17" s="11">
        <v>0</v>
      </c>
      <c r="F17" s="11">
        <v>0</v>
      </c>
      <c r="G17" s="11">
        <v>0</v>
      </c>
      <c r="H17" s="12">
        <f t="shared" si="0"/>
        <v>0</v>
      </c>
    </row>
    <row r="18" spans="2:8" ht="15.75">
      <c r="B18" s="13">
        <v>11</v>
      </c>
      <c r="C18" s="15" t="s">
        <v>19</v>
      </c>
      <c r="D18" s="13">
        <f t="shared" si="1"/>
        <v>2015</v>
      </c>
      <c r="E18" s="11">
        <v>0</v>
      </c>
      <c r="F18" s="11">
        <v>0</v>
      </c>
      <c r="G18" s="11">
        <v>0</v>
      </c>
      <c r="H18" s="12">
        <f t="shared" si="0"/>
        <v>0</v>
      </c>
    </row>
    <row r="19" spans="2:8" ht="15.75">
      <c r="B19" s="13">
        <v>12</v>
      </c>
      <c r="C19" s="15" t="s">
        <v>20</v>
      </c>
      <c r="D19" s="13">
        <f t="shared" si="1"/>
        <v>2015</v>
      </c>
      <c r="E19" s="11">
        <v>0</v>
      </c>
      <c r="F19" s="11">
        <v>0</v>
      </c>
      <c r="G19" s="11">
        <v>0</v>
      </c>
      <c r="H19" s="12">
        <f t="shared" si="0"/>
        <v>0</v>
      </c>
    </row>
    <row r="20" spans="2:8" ht="15.75">
      <c r="B20" s="13">
        <v>13</v>
      </c>
      <c r="C20" s="15" t="s">
        <v>21</v>
      </c>
      <c r="D20" s="13">
        <f t="shared" si="1"/>
        <v>2015</v>
      </c>
      <c r="E20" s="16">
        <v>0</v>
      </c>
      <c r="F20" s="16">
        <v>0</v>
      </c>
      <c r="G20" s="16">
        <v>0</v>
      </c>
      <c r="H20" s="17">
        <f t="shared" si="0"/>
        <v>0</v>
      </c>
    </row>
    <row r="21" spans="2:8">
      <c r="B21" s="13">
        <v>14</v>
      </c>
    </row>
    <row r="22" spans="2:8" ht="15.75">
      <c r="B22" s="13">
        <v>15</v>
      </c>
      <c r="C22" s="6" t="s">
        <v>27</v>
      </c>
      <c r="D22" s="18"/>
      <c r="E22" s="19">
        <f>SUM(E8:E20)/13</f>
        <v>0</v>
      </c>
      <c r="F22" s="19">
        <f t="shared" ref="F22:G22" si="2">SUM(F8:F20)/13</f>
        <v>0</v>
      </c>
      <c r="G22" s="19">
        <f t="shared" si="2"/>
        <v>0</v>
      </c>
      <c r="H22" s="20">
        <f>SUM(H8:H20)/13</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2"/>
  <sheetViews>
    <sheetView showGridLines="0" tabSelected="1" zoomScaleNormal="100" workbookViewId="0">
      <selection activeCell="G30" sqref="G30"/>
    </sheetView>
  </sheetViews>
  <sheetFormatPr defaultColWidth="9.140625" defaultRowHeight="15"/>
  <cols>
    <col min="1" max="2" width="9.140625" style="5"/>
    <col min="3" max="3" width="27.85546875" style="5" customWidth="1"/>
    <col min="4" max="4" width="8" style="5" customWidth="1"/>
    <col min="5" max="5" width="24.85546875" style="5" customWidth="1"/>
    <col min="6" max="16384" width="9.140625" style="5"/>
  </cols>
  <sheetData>
    <row r="3" spans="2:5" ht="15.75">
      <c r="B3" s="4" t="s">
        <v>4</v>
      </c>
      <c r="C3" s="4"/>
      <c r="D3" s="4"/>
      <c r="E3" s="4"/>
    </row>
    <row r="4" spans="2:5" ht="15.75">
      <c r="B4" s="6">
        <f>Coversheet!E5</f>
        <v>2015</v>
      </c>
      <c r="C4" s="4" t="s">
        <v>50</v>
      </c>
      <c r="D4" s="4"/>
      <c r="E4" s="4"/>
    </row>
    <row r="5" spans="2:5" ht="15.75">
      <c r="B5" s="4" t="s">
        <v>7</v>
      </c>
      <c r="C5" s="4"/>
      <c r="D5" s="4"/>
      <c r="E5" s="7">
        <f>Coversheet!E5</f>
        <v>2015</v>
      </c>
    </row>
    <row r="6" spans="2:5" ht="15.75">
      <c r="B6" s="4"/>
      <c r="C6" s="4"/>
      <c r="D6" s="4"/>
      <c r="E6" s="7"/>
    </row>
    <row r="7" spans="2:5" s="9" customFormat="1" ht="35.25" customHeight="1">
      <c r="B7" s="8" t="s">
        <v>0</v>
      </c>
      <c r="C7" s="8" t="s">
        <v>1</v>
      </c>
      <c r="D7" s="8" t="s">
        <v>2</v>
      </c>
      <c r="E7" s="8" t="s">
        <v>51</v>
      </c>
    </row>
    <row r="8" spans="2:5" s="9" customFormat="1">
      <c r="B8" s="10">
        <v>1</v>
      </c>
      <c r="C8" s="10" t="s">
        <v>21</v>
      </c>
      <c r="D8" s="10">
        <f>$E$5-1</f>
        <v>2014</v>
      </c>
      <c r="E8" s="11">
        <v>0</v>
      </c>
    </row>
    <row r="9" spans="2:5">
      <c r="B9" s="13">
        <v>2</v>
      </c>
      <c r="C9" s="14" t="s">
        <v>10</v>
      </c>
      <c r="D9" s="13">
        <f t="shared" ref="D9:D20" si="0">$E$5</f>
        <v>2015</v>
      </c>
      <c r="E9" s="11">
        <v>0</v>
      </c>
    </row>
    <row r="10" spans="2:5" ht="15.75">
      <c r="B10" s="13">
        <v>3</v>
      </c>
      <c r="C10" s="15" t="s">
        <v>11</v>
      </c>
      <c r="D10" s="13">
        <f t="shared" si="0"/>
        <v>2015</v>
      </c>
      <c r="E10" s="11">
        <v>0</v>
      </c>
    </row>
    <row r="11" spans="2:5" ht="15.75">
      <c r="B11" s="13">
        <v>4</v>
      </c>
      <c r="C11" s="15" t="s">
        <v>12</v>
      </c>
      <c r="D11" s="13">
        <f t="shared" si="0"/>
        <v>2015</v>
      </c>
      <c r="E11" s="11">
        <v>0</v>
      </c>
    </row>
    <row r="12" spans="2:5" ht="15.75">
      <c r="B12" s="13">
        <v>5</v>
      </c>
      <c r="C12" s="15" t="s">
        <v>13</v>
      </c>
      <c r="D12" s="13">
        <f t="shared" si="0"/>
        <v>2015</v>
      </c>
      <c r="E12" s="11">
        <v>0</v>
      </c>
    </row>
    <row r="13" spans="2:5" ht="15.75">
      <c r="B13" s="13">
        <v>6</v>
      </c>
      <c r="C13" s="15" t="s">
        <v>14</v>
      </c>
      <c r="D13" s="13">
        <f t="shared" si="0"/>
        <v>2015</v>
      </c>
      <c r="E13" s="11">
        <v>0</v>
      </c>
    </row>
    <row r="14" spans="2:5" ht="15.75">
      <c r="B14" s="13">
        <v>7</v>
      </c>
      <c r="C14" s="15" t="s">
        <v>15</v>
      </c>
      <c r="D14" s="13">
        <f t="shared" si="0"/>
        <v>2015</v>
      </c>
      <c r="E14" s="11">
        <v>0</v>
      </c>
    </row>
    <row r="15" spans="2:5" ht="15.75">
      <c r="B15" s="13">
        <v>8</v>
      </c>
      <c r="C15" s="15" t="s">
        <v>16</v>
      </c>
      <c r="D15" s="13">
        <f t="shared" si="0"/>
        <v>2015</v>
      </c>
      <c r="E15" s="11">
        <v>0</v>
      </c>
    </row>
    <row r="16" spans="2:5" ht="15.75">
      <c r="B16" s="13">
        <v>9</v>
      </c>
      <c r="C16" s="15" t="s">
        <v>17</v>
      </c>
      <c r="D16" s="13">
        <f t="shared" si="0"/>
        <v>2015</v>
      </c>
      <c r="E16" s="11">
        <v>0</v>
      </c>
    </row>
    <row r="17" spans="2:5" ht="15.75">
      <c r="B17" s="13">
        <v>10</v>
      </c>
      <c r="C17" s="15" t="s">
        <v>18</v>
      </c>
      <c r="D17" s="13">
        <f t="shared" si="0"/>
        <v>2015</v>
      </c>
      <c r="E17" s="11">
        <v>0</v>
      </c>
    </row>
    <row r="18" spans="2:5" ht="15.75">
      <c r="B18" s="13">
        <v>11</v>
      </c>
      <c r="C18" s="15" t="s">
        <v>19</v>
      </c>
      <c r="D18" s="13">
        <f t="shared" si="0"/>
        <v>2015</v>
      </c>
      <c r="E18" s="11">
        <v>0</v>
      </c>
    </row>
    <row r="19" spans="2:5" ht="15.75">
      <c r="B19" s="13">
        <v>12</v>
      </c>
      <c r="C19" s="15" t="s">
        <v>20</v>
      </c>
      <c r="D19" s="13">
        <f t="shared" si="0"/>
        <v>2015</v>
      </c>
      <c r="E19" s="11">
        <v>0</v>
      </c>
    </row>
    <row r="20" spans="2:5" ht="15.75">
      <c r="B20" s="13">
        <v>13</v>
      </c>
      <c r="C20" s="15" t="s">
        <v>21</v>
      </c>
      <c r="D20" s="13">
        <f t="shared" si="0"/>
        <v>2015</v>
      </c>
      <c r="E20" s="16">
        <v>0</v>
      </c>
    </row>
    <row r="21" spans="2:5">
      <c r="B21" s="13">
        <v>14</v>
      </c>
    </row>
    <row r="22" spans="2:5" ht="15.75">
      <c r="B22" s="13">
        <v>15</v>
      </c>
      <c r="C22" s="6" t="s">
        <v>27</v>
      </c>
      <c r="D22" s="18"/>
      <c r="E22" s="19">
        <f>SUM(E8:E20)/13</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28"/>
  <sheetViews>
    <sheetView showGridLines="0" topLeftCell="A7" zoomScaleNormal="100" workbookViewId="0">
      <selection activeCell="C30" sqref="C30"/>
    </sheetView>
  </sheetViews>
  <sheetFormatPr defaultColWidth="9.140625" defaultRowHeight="15"/>
  <cols>
    <col min="1" max="2" width="9.140625" style="5"/>
    <col min="3" max="3" width="27.85546875" style="5" customWidth="1"/>
    <col min="4" max="4" width="8" style="5" customWidth="1"/>
    <col min="5" max="6" width="19.85546875" style="5" customWidth="1"/>
    <col min="7" max="16384" width="9.140625" style="5"/>
  </cols>
  <sheetData>
    <row r="3" spans="2:6" ht="15.75">
      <c r="B3" s="4" t="s">
        <v>4</v>
      </c>
      <c r="C3" s="4"/>
      <c r="D3" s="4"/>
      <c r="E3" s="4"/>
      <c r="F3" s="4"/>
    </row>
    <row r="4" spans="2:6" ht="15.75">
      <c r="B4" s="6">
        <f>Coversheet!E5</f>
        <v>2015</v>
      </c>
      <c r="C4" s="4" t="s">
        <v>54</v>
      </c>
      <c r="D4" s="4"/>
      <c r="E4" s="4"/>
      <c r="F4" s="4"/>
    </row>
    <row r="5" spans="2:6" ht="15.75">
      <c r="B5" s="4" t="s">
        <v>7</v>
      </c>
      <c r="C5" s="4"/>
      <c r="D5" s="4"/>
      <c r="E5" s="7">
        <f>Coversheet!E5</f>
        <v>2015</v>
      </c>
    </row>
    <row r="6" spans="2:6" ht="15.75">
      <c r="B6" s="4"/>
      <c r="C6" s="4"/>
      <c r="D6" s="4"/>
      <c r="E6" s="7"/>
    </row>
    <row r="7" spans="2:6" s="9" customFormat="1" ht="35.25" customHeight="1">
      <c r="B7" s="8" t="s">
        <v>0</v>
      </c>
      <c r="C7" s="8" t="s">
        <v>1</v>
      </c>
      <c r="D7" s="8" t="s">
        <v>2</v>
      </c>
      <c r="E7" s="8" t="s">
        <v>52</v>
      </c>
      <c r="F7" s="8" t="s">
        <v>53</v>
      </c>
    </row>
    <row r="8" spans="2:6" s="9" customFormat="1">
      <c r="B8" s="10">
        <v>1</v>
      </c>
      <c r="C8" s="10" t="s">
        <v>21</v>
      </c>
      <c r="D8" s="10">
        <f>$E$5-1</f>
        <v>2014</v>
      </c>
      <c r="E8" s="11">
        <v>294413</v>
      </c>
      <c r="F8" s="11">
        <v>2006509</v>
      </c>
    </row>
    <row r="9" spans="2:6">
      <c r="B9" s="13">
        <v>2</v>
      </c>
      <c r="C9" s="14" t="s">
        <v>10</v>
      </c>
      <c r="D9" s="13">
        <f>$E$5</f>
        <v>2015</v>
      </c>
      <c r="E9" s="11">
        <f>E8</f>
        <v>294413</v>
      </c>
      <c r="F9" s="11">
        <f>F8</f>
        <v>2006509</v>
      </c>
    </row>
    <row r="10" spans="2:6" ht="15.75">
      <c r="B10" s="13">
        <v>3</v>
      </c>
      <c r="C10" s="15" t="s">
        <v>11</v>
      </c>
      <c r="D10" s="13">
        <f t="shared" ref="D10:D20" si="0">$E$5</f>
        <v>2015</v>
      </c>
      <c r="E10" s="11">
        <f t="shared" ref="E10:F20" si="1">E9</f>
        <v>294413</v>
      </c>
      <c r="F10" s="11">
        <f t="shared" si="1"/>
        <v>2006509</v>
      </c>
    </row>
    <row r="11" spans="2:6" ht="15.75">
      <c r="B11" s="13">
        <v>4</v>
      </c>
      <c r="C11" s="15" t="s">
        <v>12</v>
      </c>
      <c r="D11" s="13">
        <f t="shared" si="0"/>
        <v>2015</v>
      </c>
      <c r="E11" s="11">
        <f t="shared" si="1"/>
        <v>294413</v>
      </c>
      <c r="F11" s="11">
        <f t="shared" si="1"/>
        <v>2006509</v>
      </c>
    </row>
    <row r="12" spans="2:6" ht="15.75">
      <c r="B12" s="13">
        <v>5</v>
      </c>
      <c r="C12" s="15" t="s">
        <v>13</v>
      </c>
      <c r="D12" s="13">
        <f t="shared" si="0"/>
        <v>2015</v>
      </c>
      <c r="E12" s="11">
        <f t="shared" si="1"/>
        <v>294413</v>
      </c>
      <c r="F12" s="11">
        <f t="shared" si="1"/>
        <v>2006509</v>
      </c>
    </row>
    <row r="13" spans="2:6" ht="15.75">
      <c r="B13" s="13">
        <v>6</v>
      </c>
      <c r="C13" s="15" t="s">
        <v>14</v>
      </c>
      <c r="D13" s="13">
        <f t="shared" si="0"/>
        <v>2015</v>
      </c>
      <c r="E13" s="11">
        <f t="shared" si="1"/>
        <v>294413</v>
      </c>
      <c r="F13" s="11">
        <f t="shared" si="1"/>
        <v>2006509</v>
      </c>
    </row>
    <row r="14" spans="2:6" ht="15.75">
      <c r="B14" s="13">
        <v>7</v>
      </c>
      <c r="C14" s="15" t="s">
        <v>15</v>
      </c>
      <c r="D14" s="13">
        <f t="shared" si="0"/>
        <v>2015</v>
      </c>
      <c r="E14" s="11">
        <f t="shared" si="1"/>
        <v>294413</v>
      </c>
      <c r="F14" s="11">
        <f t="shared" si="1"/>
        <v>2006509</v>
      </c>
    </row>
    <row r="15" spans="2:6" ht="15.75">
      <c r="B15" s="13">
        <v>8</v>
      </c>
      <c r="C15" s="15" t="s">
        <v>16</v>
      </c>
      <c r="D15" s="13">
        <f t="shared" si="0"/>
        <v>2015</v>
      </c>
      <c r="E15" s="11">
        <f t="shared" si="1"/>
        <v>294413</v>
      </c>
      <c r="F15" s="11">
        <f t="shared" si="1"/>
        <v>2006509</v>
      </c>
    </row>
    <row r="16" spans="2:6" ht="15.75">
      <c r="B16" s="13">
        <v>9</v>
      </c>
      <c r="C16" s="15" t="s">
        <v>17</v>
      </c>
      <c r="D16" s="13">
        <f t="shared" si="0"/>
        <v>2015</v>
      </c>
      <c r="E16" s="11">
        <f t="shared" si="1"/>
        <v>294413</v>
      </c>
      <c r="F16" s="11">
        <f t="shared" si="1"/>
        <v>2006509</v>
      </c>
    </row>
    <row r="17" spans="2:6" ht="15.75">
      <c r="B17" s="13">
        <v>10</v>
      </c>
      <c r="C17" s="15" t="s">
        <v>18</v>
      </c>
      <c r="D17" s="13">
        <f t="shared" si="0"/>
        <v>2015</v>
      </c>
      <c r="E17" s="11">
        <f t="shared" si="1"/>
        <v>294413</v>
      </c>
      <c r="F17" s="11">
        <f t="shared" si="1"/>
        <v>2006509</v>
      </c>
    </row>
    <row r="18" spans="2:6" ht="15.75">
      <c r="B18" s="13">
        <v>11</v>
      </c>
      <c r="C18" s="15" t="s">
        <v>19</v>
      </c>
      <c r="D18" s="13">
        <f t="shared" si="0"/>
        <v>2015</v>
      </c>
      <c r="E18" s="11">
        <f t="shared" si="1"/>
        <v>294413</v>
      </c>
      <c r="F18" s="11">
        <f t="shared" si="1"/>
        <v>2006509</v>
      </c>
    </row>
    <row r="19" spans="2:6" ht="15.75">
      <c r="B19" s="13">
        <v>12</v>
      </c>
      <c r="C19" s="15" t="s">
        <v>20</v>
      </c>
      <c r="D19" s="13">
        <f t="shared" si="0"/>
        <v>2015</v>
      </c>
      <c r="E19" s="11">
        <f t="shared" si="1"/>
        <v>294413</v>
      </c>
      <c r="F19" s="11">
        <f t="shared" si="1"/>
        <v>2006509</v>
      </c>
    </row>
    <row r="20" spans="2:6" ht="17.25">
      <c r="B20" s="13">
        <v>13</v>
      </c>
      <c r="C20" s="15" t="s">
        <v>21</v>
      </c>
      <c r="D20" s="13">
        <f t="shared" si="0"/>
        <v>2015</v>
      </c>
      <c r="E20" s="29">
        <f t="shared" si="1"/>
        <v>294413</v>
      </c>
      <c r="F20" s="29">
        <f t="shared" si="1"/>
        <v>2006509</v>
      </c>
    </row>
    <row r="21" spans="2:6">
      <c r="B21" s="13">
        <v>14</v>
      </c>
    </row>
    <row r="22" spans="2:6" ht="17.25">
      <c r="B22" s="13">
        <v>15</v>
      </c>
      <c r="C22" s="6" t="s">
        <v>27</v>
      </c>
      <c r="D22" s="18"/>
      <c r="E22" s="30">
        <f>SUM(E8:E20)/13</f>
        <v>294413</v>
      </c>
      <c r="F22" s="30">
        <f t="shared" ref="F22" si="2">SUM(F8:F20)/13</f>
        <v>2006509</v>
      </c>
    </row>
    <row r="24" spans="2:6">
      <c r="C24" s="92" t="s">
        <v>190</v>
      </c>
      <c r="D24" s="92"/>
      <c r="E24" s="92" t="s">
        <v>204</v>
      </c>
      <c r="F24" s="92" t="s">
        <v>205</v>
      </c>
    </row>
    <row r="26" spans="2:6">
      <c r="C26" s="104"/>
    </row>
    <row r="28" spans="2:6">
      <c r="E28" s="5" t="s">
        <v>237</v>
      </c>
    </row>
  </sheetData>
  <pageMargins left="0.7" right="0.7"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Coversheet</vt:lpstr>
      <vt:lpstr>Nonlevelized-EIA 412</vt:lpstr>
      <vt:lpstr>Divisor</vt:lpstr>
      <vt:lpstr>Plant</vt:lpstr>
      <vt:lpstr>CWIP</vt:lpstr>
      <vt:lpstr>Adj to Rate Base</vt:lpstr>
      <vt:lpstr>Abandoned Plant</vt:lpstr>
      <vt:lpstr>Land Held for Future Use</vt:lpstr>
      <vt:lpstr>Materials and Prepayments</vt:lpstr>
      <vt:lpstr>Capital Structure</vt:lpstr>
      <vt:lpstr>Trans_OM</vt:lpstr>
      <vt:lpstr>A&amp;G</vt:lpstr>
      <vt:lpstr>Other_Exp_Inc</vt:lpstr>
      <vt:lpstr>'Capital Structure'!Print_Area</vt:lpstr>
      <vt:lpstr>'Nonlevelized-EIA 412'!Print_Area</vt:lpstr>
      <vt:lpstr>Plant!Print_Titles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Kennedy</dc:creator>
  <cp:lastModifiedBy>Terry Wolf</cp:lastModifiedBy>
  <cp:lastPrinted>2014-08-06T18:59:35Z</cp:lastPrinted>
  <dcterms:created xsi:type="dcterms:W3CDTF">2011-09-15T13:47:09Z</dcterms:created>
  <dcterms:modified xsi:type="dcterms:W3CDTF">2014-09-26T19:46:37Z</dcterms:modified>
</cp:coreProperties>
</file>