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 yWindow="1572" windowWidth="19560" windowHeight="5808" tabRatio="610"/>
  </bookViews>
  <sheets>
    <sheet name="Nonlevelized-EIA 412" sheetId="1" r:id="rId1"/>
    <sheet name="Index" sheetId="2" r:id="rId2"/>
    <sheet name="EIA_Sch_2" sheetId="14" r:id="rId3"/>
    <sheet name="EIA_Sch_3" sheetId="15" r:id="rId4"/>
    <sheet name="EIA_Sch_4" sheetId="11" r:id="rId5"/>
    <sheet name="EIA_Sch_7" sheetId="12" r:id="rId6"/>
    <sheet name="12 CP" sheetId="4" r:id="rId7"/>
    <sheet name="AC 454_456" sheetId="3" r:id="rId8"/>
    <sheet name="AC 565" sheetId="6" r:id="rId9"/>
    <sheet name="AC_561" sheetId="13" r:id="rId10"/>
    <sheet name="W&amp;S Allocator" sheetId="10" r:id="rId11"/>
    <sheet name="Plant and Depr" sheetId="19" r:id="rId12"/>
    <sheet name="Land for Future Use" sheetId="18" r:id="rId13"/>
    <sheet name="Mat and Supplies" sheetId="17" r:id="rId14"/>
    <sheet name="Prepayments" sheetId="16" r:id="rId15"/>
    <sheet name="Trans O&amp;M" sheetId="23" r:id="rId16"/>
    <sheet name="A&amp;G" sheetId="22" r:id="rId17"/>
    <sheet name="FERC Fees" sheetId="21" r:id="rId18"/>
    <sheet name="EPRI REG COMM ADV" sheetId="25" r:id="rId19"/>
    <sheet name="Taxes" sheetId="24" r:id="rId20"/>
    <sheet name="Sheet5" sheetId="20" r:id="rId21"/>
  </sheets>
  <definedNames>
    <definedName name="_xlnm.Print_Area" localSheetId="4">EIA_Sch_4!$B$1:$I$22</definedName>
    <definedName name="_xlnm.Print_Area" localSheetId="0">'Nonlevelized-EIA 412'!$A$1:$K$374</definedName>
    <definedName name="_xlnm.Print_Area" localSheetId="10">'W&amp;S Allocator'!$A$1:$L$88</definedName>
  </definedNames>
  <calcPr calcId="145621"/>
</workbook>
</file>

<file path=xl/calcChain.xml><?xml version="1.0" encoding="utf-8"?>
<calcChain xmlns="http://schemas.openxmlformats.org/spreadsheetml/2006/main">
  <c r="I35" i="1" l="1"/>
  <c r="F21" i="3" l="1"/>
  <c r="G21" i="3"/>
  <c r="H21" i="3"/>
  <c r="E21" i="3"/>
  <c r="E18" i="3" l="1"/>
  <c r="G18" i="3" s="1"/>
  <c r="H18" i="3" s="1"/>
  <c r="C18" i="3"/>
  <c r="I226" i="1" l="1"/>
  <c r="I140" i="1" l="1"/>
  <c r="K11" i="11" l="1"/>
  <c r="K4" i="11"/>
  <c r="B9" i="17" l="1"/>
  <c r="D32" i="25" l="1"/>
  <c r="P38" i="1" l="1"/>
  <c r="D26" i="25" l="1"/>
  <c r="D17" i="25"/>
  <c r="D94" i="1" l="1"/>
  <c r="E6" i="19" l="1"/>
  <c r="B6" i="19"/>
  <c r="G20" i="3" l="1"/>
  <c r="G19" i="3"/>
  <c r="G37" i="19" l="1"/>
  <c r="G6" i="19"/>
  <c r="C14" i="13"/>
  <c r="D11" i="11"/>
  <c r="E11" i="11"/>
  <c r="E9" i="11"/>
  <c r="D9" i="11"/>
  <c r="D4" i="11"/>
  <c r="E4" i="11"/>
  <c r="G20" i="11"/>
  <c r="C39" i="15"/>
  <c r="C15" i="15"/>
  <c r="C14" i="15"/>
  <c r="C18" i="15"/>
  <c r="C34" i="15"/>
  <c r="D47" i="15"/>
  <c r="C47" i="15"/>
  <c r="C38" i="15"/>
  <c r="C37" i="15"/>
  <c r="C33" i="15"/>
  <c r="C5" i="15"/>
  <c r="C6" i="15"/>
  <c r="F32" i="14"/>
  <c r="F21" i="14"/>
  <c r="C19" i="14"/>
  <c r="C20" i="14"/>
  <c r="C16" i="14"/>
  <c r="C28" i="14"/>
  <c r="B21" i="16"/>
  <c r="B18" i="16"/>
  <c r="B10" i="16"/>
  <c r="B11" i="16"/>
  <c r="B9" i="16"/>
  <c r="B20" i="16"/>
  <c r="C21" i="14"/>
  <c r="G11" i="12"/>
  <c r="D11" i="12" l="1"/>
  <c r="D16" i="12"/>
  <c r="I221" i="1" l="1"/>
  <c r="I225" i="1"/>
  <c r="E12" i="6" l="1"/>
  <c r="E14" i="6"/>
  <c r="E15" i="3" l="1"/>
  <c r="F15" i="3" s="1"/>
  <c r="E14" i="3"/>
  <c r="F14" i="3" s="1"/>
  <c r="D103" i="1"/>
  <c r="G8" i="3" l="1"/>
  <c r="H8" i="3" s="1"/>
  <c r="G16" i="3"/>
  <c r="H16" i="3" s="1"/>
  <c r="B2" i="10" l="1"/>
  <c r="B2" i="4"/>
  <c r="A1" i="19"/>
  <c r="C61" i="10" l="1"/>
  <c r="I61" i="10"/>
  <c r="D327" i="1" l="1"/>
  <c r="D326" i="1"/>
  <c r="K325" i="1"/>
  <c r="C325" i="1"/>
  <c r="B325" i="1"/>
  <c r="I314" i="1"/>
  <c r="D18" i="1" s="1"/>
  <c r="I305" i="1"/>
  <c r="E296" i="1"/>
  <c r="G295" i="1"/>
  <c r="I295" i="1" s="1"/>
  <c r="D287" i="1"/>
  <c r="E286" i="1" s="1"/>
  <c r="G286" i="1"/>
  <c r="G285" i="1"/>
  <c r="G294" i="1" s="1"/>
  <c r="I294" i="1" s="1"/>
  <c r="D279" i="1"/>
  <c r="G277" i="1" s="1"/>
  <c r="D273" i="1"/>
  <c r="G272" i="1"/>
  <c r="G271" i="1"/>
  <c r="G269" i="1"/>
  <c r="L268" i="1"/>
  <c r="L263" i="1"/>
  <c r="I260" i="1"/>
  <c r="D248" i="1"/>
  <c r="D246" i="1"/>
  <c r="K245" i="1"/>
  <c r="D245" i="1"/>
  <c r="B245" i="1"/>
  <c r="D201" i="1"/>
  <c r="D205" i="1" s="1"/>
  <c r="D209" i="1" s="1"/>
  <c r="D198" i="1"/>
  <c r="F196" i="1"/>
  <c r="F192" i="1"/>
  <c r="D187" i="1"/>
  <c r="B186" i="1"/>
  <c r="I184" i="1"/>
  <c r="B183" i="1"/>
  <c r="D180" i="1"/>
  <c r="D133" i="1" s="1"/>
  <c r="D136" i="1" s="1"/>
  <c r="D138" i="1" s="1"/>
  <c r="I179" i="1"/>
  <c r="F177" i="1"/>
  <c r="F175" i="1"/>
  <c r="F176" i="1" s="1"/>
  <c r="I172" i="1"/>
  <c r="D166" i="1"/>
  <c r="D164" i="1"/>
  <c r="K163" i="1"/>
  <c r="D163" i="1"/>
  <c r="B163" i="1"/>
  <c r="D128" i="1"/>
  <c r="I127" i="1"/>
  <c r="F125" i="1"/>
  <c r="I119" i="1"/>
  <c r="D116" i="1"/>
  <c r="D115" i="1"/>
  <c r="D114" i="1"/>
  <c r="D113" i="1"/>
  <c r="D140" i="1" s="1"/>
  <c r="D112" i="1"/>
  <c r="D111" i="1"/>
  <c r="D108" i="1"/>
  <c r="F107" i="1"/>
  <c r="B107" i="1"/>
  <c r="B116" i="1" s="1"/>
  <c r="F106" i="1"/>
  <c r="B106" i="1"/>
  <c r="B115" i="1" s="1"/>
  <c r="G105" i="1"/>
  <c r="F105" i="1"/>
  <c r="B105" i="1"/>
  <c r="B114" i="1" s="1"/>
  <c r="F103" i="1"/>
  <c r="F130" i="1" s="1"/>
  <c r="B103" i="1"/>
  <c r="B112" i="1" s="1"/>
  <c r="G102" i="1"/>
  <c r="F102" i="1"/>
  <c r="B102" i="1"/>
  <c r="B111" i="1" s="1"/>
  <c r="D99" i="1"/>
  <c r="O96" i="1"/>
  <c r="I252" i="1"/>
  <c r="D88" i="1"/>
  <c r="D86" i="1"/>
  <c r="K85" i="1"/>
  <c r="D85" i="1"/>
  <c r="B85" i="1"/>
  <c r="I57" i="1"/>
  <c r="I56" i="1"/>
  <c r="I45" i="1"/>
  <c r="I29" i="1"/>
  <c r="I31" i="1" s="1"/>
  <c r="I25" i="1"/>
  <c r="F18" i="1"/>
  <c r="D17" i="1"/>
  <c r="P95" i="1" l="1"/>
  <c r="L269" i="1"/>
  <c r="P94" i="1"/>
  <c r="I286" i="1"/>
  <c r="E285" i="1"/>
  <c r="I285" i="1" s="1"/>
  <c r="D117" i="1"/>
  <c r="I255" i="1"/>
  <c r="I257" i="1" s="1"/>
  <c r="I296" i="1"/>
  <c r="I262" i="1"/>
  <c r="I264" i="1" s="1"/>
  <c r="E287" i="1" l="1"/>
  <c r="P96" i="1"/>
  <c r="I287" i="1"/>
  <c r="G17" i="1"/>
  <c r="G94" i="1"/>
  <c r="E270" i="1"/>
  <c r="G270" i="1" s="1"/>
  <c r="G273" i="1" s="1"/>
  <c r="I273" i="1" s="1"/>
  <c r="I265" i="1"/>
  <c r="I266" i="1" s="1"/>
  <c r="D212" i="1" l="1"/>
  <c r="I290" i="1"/>
  <c r="I298" i="1"/>
  <c r="D215" i="1" s="1"/>
  <c r="D202" i="1"/>
  <c r="I94" i="1"/>
  <c r="Q96" i="1" s="1"/>
  <c r="G103" i="1"/>
  <c r="G95" i="1"/>
  <c r="I95" i="1" s="1"/>
  <c r="G20" i="1"/>
  <c r="I20" i="1" s="1"/>
  <c r="G18" i="1"/>
  <c r="I18" i="1" s="1"/>
  <c r="G19" i="1"/>
  <c r="I19" i="1" s="1"/>
  <c r="I17" i="1"/>
  <c r="G134" i="1"/>
  <c r="I134" i="1" s="1"/>
  <c r="G171" i="1"/>
  <c r="G174" i="1"/>
  <c r="G175" i="1"/>
  <c r="I175" i="1" s="1"/>
  <c r="G97" i="1"/>
  <c r="I277" i="1"/>
  <c r="K277" i="1" s="1"/>
  <c r="G176" i="1"/>
  <c r="I176" i="1" s="1"/>
  <c r="D208" i="1" l="1"/>
  <c r="D210" i="1" s="1"/>
  <c r="D218" i="1" s="1"/>
  <c r="D226" i="1" s="1"/>
  <c r="I171" i="1"/>
  <c r="G173" i="1"/>
  <c r="I173" i="1" s="1"/>
  <c r="G177" i="1"/>
  <c r="I177" i="1" s="1"/>
  <c r="G185" i="1"/>
  <c r="I174" i="1"/>
  <c r="G178" i="1"/>
  <c r="G98" i="1"/>
  <c r="I21" i="1"/>
  <c r="G106" i="1"/>
  <c r="I106" i="1" s="1"/>
  <c r="I97" i="1"/>
  <c r="G130" i="1"/>
  <c r="I103" i="1"/>
  <c r="I112" i="1" s="1"/>
  <c r="G104" i="1"/>
  <c r="I104" i="1" s="1"/>
  <c r="I113" i="1" s="1"/>
  <c r="I215" i="1" s="1"/>
  <c r="I115" i="1" l="1"/>
  <c r="G183" i="1"/>
  <c r="I183" i="1" s="1"/>
  <c r="I130" i="1"/>
  <c r="G191" i="1"/>
  <c r="I185" i="1"/>
  <c r="G107" i="1"/>
  <c r="I107" i="1" s="1"/>
  <c r="I108" i="1" s="1"/>
  <c r="I98" i="1"/>
  <c r="I99" i="1" s="1"/>
  <c r="G99" i="1" s="1"/>
  <c r="I178" i="1"/>
  <c r="I180" i="1" s="1"/>
  <c r="G186" i="1"/>
  <c r="I186" i="1" s="1"/>
  <c r="I133" i="1" l="1"/>
  <c r="I187" i="1"/>
  <c r="G194" i="1"/>
  <c r="G135" i="1"/>
  <c r="I135" i="1" s="1"/>
  <c r="I191" i="1"/>
  <c r="G192" i="1"/>
  <c r="I192" i="1" s="1"/>
  <c r="I116" i="1"/>
  <c r="I117" i="1" s="1"/>
  <c r="G117" i="1" s="1"/>
  <c r="E16" i="12"/>
  <c r="I136" i="1" l="1"/>
  <c r="G209" i="1"/>
  <c r="I209" i="1" s="1"/>
  <c r="G123" i="1"/>
  <c r="G196" i="1"/>
  <c r="I194" i="1"/>
  <c r="C43" i="22"/>
  <c r="I123" i="1" l="1"/>
  <c r="G124" i="1"/>
  <c r="I196" i="1"/>
  <c r="G197" i="1"/>
  <c r="I197" i="1" s="1"/>
  <c r="G97" i="19"/>
  <c r="I198" i="1" l="1"/>
  <c r="G125" i="1"/>
  <c r="I125" i="1" s="1"/>
  <c r="G126" i="1"/>
  <c r="I126" i="1" s="1"/>
  <c r="I124" i="1"/>
  <c r="A2" i="22"/>
  <c r="A2" i="18"/>
  <c r="I128" i="1" l="1"/>
  <c r="I138" i="1" s="1"/>
  <c r="A2" i="16"/>
  <c r="A2" i="23" s="1"/>
  <c r="A2" i="17"/>
  <c r="G20" i="12"/>
  <c r="G21" i="12"/>
  <c r="A7" i="6"/>
  <c r="A8" i="6" s="1"/>
  <c r="A9" i="6" s="1"/>
  <c r="A10" i="6" s="1"/>
  <c r="A11" i="6" s="1"/>
  <c r="A12" i="6" s="1"/>
  <c r="A13" i="6" s="1"/>
  <c r="F7" i="6"/>
  <c r="I212" i="1" l="1"/>
  <c r="I208" i="1" s="1"/>
  <c r="I210" i="1" s="1"/>
  <c r="I218" i="1" s="1"/>
  <c r="I14" i="1" s="1"/>
  <c r="B2" i="25"/>
  <c r="B2" i="24" s="1"/>
  <c r="A2" i="21"/>
  <c r="A14" i="6"/>
  <c r="A15" i="6" s="1"/>
  <c r="A16" i="6" s="1"/>
  <c r="F52" i="19"/>
  <c r="C40" i="15"/>
  <c r="O43" i="4"/>
  <c r="P43" i="4" s="1"/>
  <c r="O42" i="4"/>
  <c r="P42" i="4" s="1"/>
  <c r="O39" i="4"/>
  <c r="P39" i="4" s="1"/>
  <c r="O38" i="4"/>
  <c r="P38" i="4" s="1"/>
  <c r="O35" i="4"/>
  <c r="P35" i="4" s="1"/>
  <c r="O34" i="4"/>
  <c r="P34" i="4" s="1"/>
  <c r="G21" i="4"/>
  <c r="G23" i="4" s="1"/>
  <c r="D21" i="4"/>
  <c r="D23" i="4" s="1"/>
  <c r="C21" i="4"/>
  <c r="C23" i="4" s="1"/>
  <c r="E21" i="4"/>
  <c r="E23" i="4" s="1"/>
  <c r="C15" i="24"/>
  <c r="C19" i="24" s="1"/>
  <c r="D43" i="25"/>
  <c r="D35" i="25"/>
  <c r="D36" i="25" s="1"/>
  <c r="C47" i="22"/>
  <c r="C26" i="22"/>
  <c r="C19" i="22"/>
  <c r="C12" i="22"/>
  <c r="C34" i="23"/>
  <c r="C38" i="23" s="1"/>
  <c r="B16" i="16"/>
  <c r="B23" i="16" s="1"/>
  <c r="B24" i="16" s="1"/>
  <c r="B14" i="18"/>
  <c r="G109" i="19"/>
  <c r="E109" i="19"/>
  <c r="B109" i="19"/>
  <c r="F106" i="19"/>
  <c r="F105" i="19"/>
  <c r="F104" i="19"/>
  <c r="F103" i="19"/>
  <c r="F102" i="19"/>
  <c r="F101" i="19"/>
  <c r="F100" i="19"/>
  <c r="F99" i="19"/>
  <c r="F98" i="19"/>
  <c r="F97" i="19"/>
  <c r="F96" i="19"/>
  <c r="F95" i="19"/>
  <c r="F94" i="19"/>
  <c r="G92" i="19"/>
  <c r="E92" i="19"/>
  <c r="B92" i="19"/>
  <c r="F89" i="19"/>
  <c r="F88" i="19"/>
  <c r="F87" i="19"/>
  <c r="G84" i="19"/>
  <c r="E84" i="19"/>
  <c r="B84" i="19"/>
  <c r="F81" i="19"/>
  <c r="F80" i="19"/>
  <c r="F79" i="19"/>
  <c r="F78" i="19"/>
  <c r="F77" i="19"/>
  <c r="F76" i="19"/>
  <c r="F75" i="19"/>
  <c r="F74" i="19"/>
  <c r="F73" i="19"/>
  <c r="F72" i="19"/>
  <c r="F71" i="19"/>
  <c r="F70" i="19"/>
  <c r="F69" i="19"/>
  <c r="F68" i="19"/>
  <c r="F67" i="19"/>
  <c r="G64" i="19"/>
  <c r="F61" i="19"/>
  <c r="F60" i="19"/>
  <c r="F59" i="19"/>
  <c r="F58" i="19"/>
  <c r="F57" i="19"/>
  <c r="F56" i="19"/>
  <c r="F55" i="19"/>
  <c r="F54" i="19"/>
  <c r="F53" i="19"/>
  <c r="E64" i="19"/>
  <c r="B64" i="19"/>
  <c r="F45" i="19"/>
  <c r="F44" i="19"/>
  <c r="F43" i="19"/>
  <c r="F42" i="19"/>
  <c r="F41" i="19"/>
  <c r="F40" i="19"/>
  <c r="F39" i="19"/>
  <c r="F38" i="19"/>
  <c r="G46" i="19"/>
  <c r="E46" i="19"/>
  <c r="B37" i="19"/>
  <c r="B46" i="19"/>
  <c r="G35" i="19"/>
  <c r="E35" i="19"/>
  <c r="B35" i="19"/>
  <c r="F34" i="19"/>
  <c r="F33" i="19"/>
  <c r="F32" i="19"/>
  <c r="F31" i="19"/>
  <c r="F30" i="19"/>
  <c r="F29" i="19"/>
  <c r="F28" i="19"/>
  <c r="F27" i="19"/>
  <c r="G23" i="19"/>
  <c r="E23" i="19"/>
  <c r="B23" i="19"/>
  <c r="F22" i="19"/>
  <c r="F21" i="19"/>
  <c r="F20" i="19"/>
  <c r="F19" i="19"/>
  <c r="F18" i="19"/>
  <c r="F17" i="19"/>
  <c r="F23" i="19" s="1"/>
  <c r="F13" i="19"/>
  <c r="F12" i="19"/>
  <c r="F11" i="19"/>
  <c r="F10" i="19"/>
  <c r="F9" i="19"/>
  <c r="F8" i="19"/>
  <c r="F7" i="19"/>
  <c r="G14" i="19"/>
  <c r="E14" i="19"/>
  <c r="B14" i="19"/>
  <c r="B49" i="19" s="1"/>
  <c r="F6" i="19"/>
  <c r="F37" i="19"/>
  <c r="F46" i="19" s="1"/>
  <c r="E17" i="3"/>
  <c r="F16" i="3"/>
  <c r="F17" i="3" s="1"/>
  <c r="G11" i="3"/>
  <c r="G12" i="3"/>
  <c r="H12" i="3" s="1"/>
  <c r="G13" i="3"/>
  <c r="H13" i="3" s="1"/>
  <c r="G7" i="3"/>
  <c r="H7" i="3" s="1"/>
  <c r="G9" i="3"/>
  <c r="H9" i="3" s="1"/>
  <c r="G10" i="3"/>
  <c r="H10" i="3" s="1"/>
  <c r="G6" i="3"/>
  <c r="C35" i="15"/>
  <c r="D35" i="15" s="1"/>
  <c r="E20" i="10"/>
  <c r="J25" i="10"/>
  <c r="J26" i="10"/>
  <c r="E36" i="10"/>
  <c r="E38" i="10"/>
  <c r="B68" i="10" s="1"/>
  <c r="E44" i="10"/>
  <c r="E60" i="10"/>
  <c r="C7" i="13"/>
  <c r="C17" i="13"/>
  <c r="E5" i="6"/>
  <c r="F8" i="6"/>
  <c r="E16" i="6"/>
  <c r="A7" i="3"/>
  <c r="A8" i="3" s="1"/>
  <c r="A9" i="3" s="1"/>
  <c r="A10" i="3" s="1"/>
  <c r="A11" i="3" s="1"/>
  <c r="A12" i="3" s="1"/>
  <c r="A13" i="3" s="1"/>
  <c r="A14" i="3" s="1"/>
  <c r="A15" i="3" s="1"/>
  <c r="A16" i="3" s="1"/>
  <c r="A17" i="3" s="1"/>
  <c r="F4" i="12"/>
  <c r="H4" i="12" s="1"/>
  <c r="G4" i="12"/>
  <c r="A5" i="12"/>
  <c r="A6" i="12" s="1"/>
  <c r="A7" i="12" s="1"/>
  <c r="A8" i="12" s="1"/>
  <c r="A9" i="12" s="1"/>
  <c r="A10" i="12" s="1"/>
  <c r="A11" i="12" s="1"/>
  <c r="A12" i="12" s="1"/>
  <c r="A13" i="12" s="1"/>
  <c r="A14" i="12" s="1"/>
  <c r="A15" i="12" s="1"/>
  <c r="A16" i="12" s="1"/>
  <c r="A17" i="12" s="1"/>
  <c r="A19" i="12" s="1"/>
  <c r="A20" i="12" s="1"/>
  <c r="A21" i="12" s="1"/>
  <c r="A22" i="12" s="1"/>
  <c r="F5" i="12"/>
  <c r="H5" i="12" s="1"/>
  <c r="F6" i="12"/>
  <c r="H6" i="12" s="1"/>
  <c r="F7" i="12"/>
  <c r="H7" i="12" s="1"/>
  <c r="F8" i="12"/>
  <c r="F9" i="12"/>
  <c r="G9" i="12"/>
  <c r="C10" i="12"/>
  <c r="C17" i="12" s="1"/>
  <c r="D10" i="12"/>
  <c r="E10" i="12"/>
  <c r="E17" i="12" s="1"/>
  <c r="F12" i="12"/>
  <c r="G12" i="12" s="1"/>
  <c r="H12" i="12" s="1"/>
  <c r="F13" i="12"/>
  <c r="G13" i="12" s="1"/>
  <c r="H13" i="12" s="1"/>
  <c r="F14" i="12"/>
  <c r="G14" i="12" s="1"/>
  <c r="H14" i="12" s="1"/>
  <c r="F15" i="12"/>
  <c r="G15" i="12" s="1"/>
  <c r="H15" i="12" s="1"/>
  <c r="F16" i="12"/>
  <c r="H16" i="12" s="1"/>
  <c r="G19" i="12"/>
  <c r="H19" i="12" s="1"/>
  <c r="H20" i="12"/>
  <c r="H21" i="12"/>
  <c r="C22" i="12"/>
  <c r="G22" i="12" s="1"/>
  <c r="H22" i="12"/>
  <c r="G3" i="11"/>
  <c r="I3" i="11" s="1"/>
  <c r="A4" i="11"/>
  <c r="A5" i="11" s="1"/>
  <c r="A6" i="11" s="1"/>
  <c r="A7" i="11" s="1"/>
  <c r="A8" i="11" s="1"/>
  <c r="A9" i="11" s="1"/>
  <c r="A10" i="11" s="1"/>
  <c r="A11" i="11" s="1"/>
  <c r="A12" i="11" s="1"/>
  <c r="A13" i="11" s="1"/>
  <c r="A14" i="11" s="1"/>
  <c r="A15" i="11" s="1"/>
  <c r="A16" i="11" s="1"/>
  <c r="A17" i="11" s="1"/>
  <c r="A18" i="11" s="1"/>
  <c r="F4" i="11"/>
  <c r="G4" i="11" s="1"/>
  <c r="G5" i="11"/>
  <c r="I5" i="11" s="1"/>
  <c r="G6" i="11"/>
  <c r="I6" i="11" s="1"/>
  <c r="G7" i="11"/>
  <c r="I7" i="11" s="1"/>
  <c r="C8" i="11"/>
  <c r="C12" i="11" s="1"/>
  <c r="C16" i="11" s="1"/>
  <c r="C18" i="11" s="1"/>
  <c r="D8" i="11"/>
  <c r="D12" i="11" s="1"/>
  <c r="D16" i="11" s="1"/>
  <c r="D18" i="11" s="1"/>
  <c r="E8" i="11"/>
  <c r="E12" i="11" s="1"/>
  <c r="E16" i="11" s="1"/>
  <c r="E18" i="11" s="1"/>
  <c r="G9" i="11"/>
  <c r="I9" i="11" s="1"/>
  <c r="G10" i="11"/>
  <c r="I10" i="11" s="1"/>
  <c r="G11" i="11"/>
  <c r="H12" i="11"/>
  <c r="G13" i="11"/>
  <c r="H13" i="11" s="1"/>
  <c r="G14" i="11"/>
  <c r="H14" i="11"/>
  <c r="G15" i="11"/>
  <c r="H15" i="11" s="1"/>
  <c r="G17" i="11"/>
  <c r="I17" i="11" s="1"/>
  <c r="A5" i="15"/>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C10" i="15"/>
  <c r="C11" i="15" s="1"/>
  <c r="C13" i="15" s="1"/>
  <c r="A6" i="14"/>
  <c r="A7" i="14" s="1"/>
  <c r="A8" i="14" s="1"/>
  <c r="A9" i="14" s="1"/>
  <c r="A10" i="14" s="1"/>
  <c r="A11" i="14" s="1"/>
  <c r="A13" i="14" s="1"/>
  <c r="A14" i="14" s="1"/>
  <c r="A15" i="14" s="1"/>
  <c r="A16" i="14" s="1"/>
  <c r="A17" i="14" s="1"/>
  <c r="A19" i="14" s="1"/>
  <c r="A20" i="14" s="1"/>
  <c r="A21" i="14" s="1"/>
  <c r="A22" i="14" s="1"/>
  <c r="A23" i="14" s="1"/>
  <c r="A24" i="14" s="1"/>
  <c r="A25" i="14" s="1"/>
  <c r="A26" i="14" s="1"/>
  <c r="A27" i="14" s="1"/>
  <c r="A28" i="14" s="1"/>
  <c r="A29" i="14" s="1"/>
  <c r="A31" i="14" s="1"/>
  <c r="A32" i="14" s="1"/>
  <c r="A33" i="14" s="1"/>
  <c r="A34" i="14" s="1"/>
  <c r="A35" i="14" s="1"/>
  <c r="D6" i="14"/>
  <c r="D7" i="14"/>
  <c r="C8" i="14"/>
  <c r="C11" i="14" s="1"/>
  <c r="D8" i="14"/>
  <c r="D10" i="14" s="1"/>
  <c r="D11" i="14" s="1"/>
  <c r="D12" i="14" s="1"/>
  <c r="D13" i="14" s="1"/>
  <c r="D14" i="14" s="1"/>
  <c r="D16" i="14" s="1"/>
  <c r="D17" i="14" s="1"/>
  <c r="D18" i="14" s="1"/>
  <c r="D20" i="14" s="1"/>
  <c r="D21" i="14" s="1"/>
  <c r="D22" i="14" s="1"/>
  <c r="D23" i="14" s="1"/>
  <c r="D24" i="14" s="1"/>
  <c r="D25" i="14" s="1"/>
  <c r="D26" i="14" s="1"/>
  <c r="D27" i="14" s="1"/>
  <c r="D31" i="14" s="1"/>
  <c r="D32" i="14" s="1"/>
  <c r="D33" i="14" s="1"/>
  <c r="D34" i="14" s="1"/>
  <c r="D35" i="14" s="1"/>
  <c r="F8" i="14"/>
  <c r="F14" i="14"/>
  <c r="C17" i="14"/>
  <c r="F18" i="14"/>
  <c r="F27" i="14"/>
  <c r="C34" i="14"/>
  <c r="F34" i="14"/>
  <c r="B6" i="2"/>
  <c r="B7" i="2"/>
  <c r="B8" i="2" s="1"/>
  <c r="B9" i="2" s="1"/>
  <c r="B10" i="2" s="1"/>
  <c r="B11" i="2" s="1"/>
  <c r="B12" i="2" s="1"/>
  <c r="B13" i="2" s="1"/>
  <c r="B14" i="2" s="1"/>
  <c r="B15" i="2" s="1"/>
  <c r="B16" i="2" s="1"/>
  <c r="B17" i="2" s="1"/>
  <c r="B18" i="2" s="1"/>
  <c r="B19" i="2" s="1"/>
  <c r="B20" i="2" s="1"/>
  <c r="B21" i="2" s="1"/>
  <c r="B22" i="2" s="1"/>
  <c r="C22" i="15"/>
  <c r="H6" i="3"/>
  <c r="D47" i="1" l="1"/>
  <c r="D48" i="1" s="1"/>
  <c r="O38" i="1"/>
  <c r="O37" i="1"/>
  <c r="G49" i="19"/>
  <c r="F8" i="11"/>
  <c r="F12" i="11" s="1"/>
  <c r="F16" i="11" s="1"/>
  <c r="F18" i="11" s="1"/>
  <c r="D40" i="15"/>
  <c r="F84" i="19"/>
  <c r="F35" i="19"/>
  <c r="F64" i="19"/>
  <c r="H16" i="11"/>
  <c r="H18" i="11" s="1"/>
  <c r="I14" i="11"/>
  <c r="I15" i="11"/>
  <c r="I13" i="11"/>
  <c r="F10" i="12"/>
  <c r="F14" i="19"/>
  <c r="F49" i="19" s="1"/>
  <c r="F111" i="19" s="1"/>
  <c r="F115" i="19" s="1"/>
  <c r="F109" i="19"/>
  <c r="B13" i="17"/>
  <c r="C26" i="14"/>
  <c r="I11" i="11"/>
  <c r="B111" i="19"/>
  <c r="B115" i="19" s="1"/>
  <c r="C65" i="19"/>
  <c r="E49" i="19"/>
  <c r="E111" i="19" s="1"/>
  <c r="E115" i="19" s="1"/>
  <c r="F92" i="19"/>
  <c r="G111" i="19"/>
  <c r="G115" i="19" s="1"/>
  <c r="H9" i="12"/>
  <c r="H10" i="12" s="1"/>
  <c r="F35" i="14"/>
  <c r="G17" i="3"/>
  <c r="H17" i="3"/>
  <c r="I62" i="10"/>
  <c r="I64" i="10" s="1"/>
  <c r="B66" i="10"/>
  <c r="B65" i="10"/>
  <c r="F11" i="12"/>
  <c r="D17" i="12"/>
  <c r="G10" i="12"/>
  <c r="I4" i="11"/>
  <c r="I8" i="11" s="1"/>
  <c r="I12" i="11" s="1"/>
  <c r="G8" i="11"/>
  <c r="C23" i="15"/>
  <c r="C26" i="15" s="1"/>
  <c r="D26" i="15" s="1"/>
  <c r="O39" i="1" l="1"/>
  <c r="D51" i="1"/>
  <c r="I51" i="1"/>
  <c r="I53" i="1"/>
  <c r="D52" i="1"/>
  <c r="I52" i="1"/>
  <c r="D53" i="1"/>
  <c r="G17" i="12"/>
  <c r="I10" i="12"/>
  <c r="F17" i="12"/>
  <c r="F26" i="12" s="1"/>
  <c r="F30" i="12" s="1"/>
  <c r="G12" i="11"/>
  <c r="G16" i="11" s="1"/>
  <c r="G18" i="11" s="1"/>
  <c r="G22" i="11" s="1"/>
  <c r="C50" i="19"/>
  <c r="C29" i="14"/>
  <c r="C35" i="14" s="1"/>
  <c r="C107" i="19"/>
  <c r="B69" i="10"/>
  <c r="C68" i="10" s="1"/>
  <c r="H11" i="12"/>
  <c r="H17" i="12" s="1"/>
  <c r="C36" i="14" l="1"/>
  <c r="F36" i="14"/>
  <c r="I17" i="12"/>
  <c r="C65" i="10"/>
  <c r="I16" i="11"/>
  <c r="I18" i="11" s="1"/>
  <c r="C67" i="10"/>
  <c r="C66" i="10"/>
  <c r="C69" i="10" l="1"/>
</calcChain>
</file>

<file path=xl/sharedStrings.xml><?xml version="1.0" encoding="utf-8"?>
<sst xmlns="http://schemas.openxmlformats.org/spreadsheetml/2006/main" count="1619" uniqueCount="1290">
  <si>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</si>
  <si>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</si>
  <si>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</si>
  <si>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</si>
  <si>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</si>
  <si>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</si>
  <si>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</si>
  <si>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</si>
  <si>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</si>
  <si>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</si>
  <si>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</si>
  <si>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</si>
  <si>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</si>
  <si>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</si>
  <si>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</si>
  <si>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</si>
  <si>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</si>
  <si>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</si>
  <si>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</si>
  <si>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</si>
  <si>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</si>
  <si>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</si>
  <si>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</si>
  <si>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</si>
  <si>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</si>
  <si>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</si>
  <si>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</si>
  <si>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</si>
  <si>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</si>
  <si>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</si>
  <si>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</si>
  <si>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</si>
  <si>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</si>
  <si>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</si>
  <si>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</si>
  <si>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</si>
  <si>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</si>
  <si>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</si>
  <si>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</si>
  <si>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</si>
  <si>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</si>
  <si>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</si>
  <si>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</si>
  <si>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</si>
  <si>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</si>
  <si>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</si>
  <si>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</si>
  <si>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</si>
  <si>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</si>
  <si>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</si>
  <si>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</si>
  <si>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</si>
  <si>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</si>
  <si>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</si>
  <si>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</si>
  <si>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</si>
  <si>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</si>
  <si>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</si>
  <si>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</si>
  <si>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</si>
  <si>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NP=</t>
  </si>
  <si>
    <t>NP</t>
  </si>
  <si>
    <t xml:space="preserve">  Account No. 282 (enter negative)</t>
  </si>
  <si>
    <t xml:space="preserve">  Account No. 283 (enter negative)</t>
  </si>
  <si>
    <t xml:space="preserve">  Account No. 190</t>
  </si>
  <si>
    <t xml:space="preserve">  Account No. 255 (enter negative)</t>
  </si>
  <si>
    <t>TOTAL ADJUSTMENTS  (sum lines 19 - 23)</t>
  </si>
  <si>
    <t>WORKING CAPITAL</t>
  </si>
  <si>
    <t xml:space="preserve">  CWC</t>
  </si>
  <si>
    <t>(Note H)</t>
  </si>
  <si>
    <t>TE</t>
  </si>
  <si>
    <t>GP</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</si>
  <si>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</si>
  <si>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</si>
  <si>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</si>
  <si>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</si>
  <si>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</si>
  <si>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</si>
  <si>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</si>
  <si>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</si>
  <si>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</si>
  <si>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</si>
  <si>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</si>
  <si>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</si>
  <si>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</si>
  <si>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</si>
  <si>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</si>
  <si>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</si>
  <si>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</si>
  <si>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</si>
  <si>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</si>
  <si>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</si>
  <si>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</si>
  <si>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</si>
  <si>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</si>
  <si>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</si>
  <si>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</si>
  <si>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</si>
  <si>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</si>
  <si>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</si>
  <si>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</si>
  <si>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</si>
  <si>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</si>
  <si>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</si>
  <si>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</si>
  <si>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</si>
  <si>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</si>
  <si>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</si>
  <si>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</si>
  <si>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</si>
  <si>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</si>
  <si>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</si>
  <si>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</si>
  <si>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</si>
  <si>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</si>
  <si>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</si>
  <si>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</si>
  <si>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Cost</t>
  </si>
  <si>
    <t>%</t>
  </si>
  <si>
    <t>(Note P)</t>
  </si>
  <si>
    <t>Weighted</t>
  </si>
  <si>
    <t>=WCLTD</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</si>
  <si>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</si>
  <si>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</si>
  <si>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</si>
  <si>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</si>
  <si>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</si>
  <si>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</si>
  <si>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</si>
  <si>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</si>
  <si>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</si>
  <si>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</si>
  <si>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</si>
  <si>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</si>
  <si>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</si>
  <si>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</si>
  <si>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</si>
  <si>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</si>
  <si>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</si>
  <si>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</si>
  <si>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</si>
  <si>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</si>
  <si>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</si>
  <si>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</si>
  <si>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</si>
  <si>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</si>
  <si>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</si>
  <si>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</si>
  <si>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</si>
  <si>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</si>
  <si>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</si>
  <si>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</si>
  <si>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</si>
  <si>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</si>
  <si>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</si>
  <si>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</si>
  <si>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</si>
  <si>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</si>
  <si>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</si>
  <si>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</si>
  <si>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</si>
  <si>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</si>
  <si>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</si>
  <si>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</si>
  <si>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</si>
  <si>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</si>
  <si>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</si>
  <si>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The FERC's annual charges for the year assessed the Transmission Owner for service under this tariff, if any</t>
  </si>
  <si>
    <t>Transmission related only.</t>
  </si>
  <si>
    <t>Enter dollar amounts</t>
  </si>
  <si>
    <t>S</t>
  </si>
  <si>
    <t>T</t>
  </si>
  <si>
    <t>Page 1 of 5</t>
  </si>
  <si>
    <t>Page 2 of 5</t>
  </si>
  <si>
    <t>Page 3 of 5</t>
  </si>
  <si>
    <t>Page 4 of 5</t>
  </si>
  <si>
    <t>Page 5 of 5</t>
  </si>
  <si>
    <t>Line 4 supported by schedules.</t>
  </si>
  <si>
    <t>Line 5 supported by schedules.</t>
  </si>
  <si>
    <t>SIT work papers if required</t>
  </si>
  <si>
    <t>Revenue Credits for Sched 1/Acct 561</t>
  </si>
  <si>
    <t>transactions &lt;1 yr</t>
  </si>
  <si>
    <t>non-firm</t>
  </si>
  <si>
    <t>transactions w/ load not in divisor</t>
  </si>
  <si>
    <t>total Revenue Credits</t>
  </si>
  <si>
    <t>Midwest ISO</t>
  </si>
  <si>
    <t>U</t>
  </si>
  <si>
    <t>Acct 561.BA for Schedule 24</t>
  </si>
  <si>
    <t>1a</t>
  </si>
  <si>
    <t>V</t>
  </si>
  <si>
    <t xml:space="preserve">  Account No. 456.1</t>
  </si>
  <si>
    <t>ACCOUNT 456.1 (OTHER ELECTRIC REVENUES)</t>
  </si>
  <si>
    <t>Removes dollar amount of transmission expenses included in the OATT ancillary services rates, including Account Nos. 561.1, 561.2, 561.3, and 561.BA.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</si>
  <si>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</si>
  <si>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</si>
  <si>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</si>
  <si>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</si>
  <si>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</si>
  <si>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</si>
  <si>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</si>
  <si>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</si>
  <si>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</si>
  <si>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</si>
  <si>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</si>
  <si>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</si>
  <si>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</si>
  <si>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</si>
  <si>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Network &amp; P-to-P Rate ($/kW/Mo)  (line 11 / 12)</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</si>
  <si>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</si>
  <si>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</si>
  <si>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</si>
  <si>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</si>
  <si>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</si>
  <si>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</si>
  <si>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</si>
  <si>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</si>
  <si>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</si>
  <si>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</si>
  <si>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</si>
  <si>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</si>
  <si>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</si>
  <si>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</si>
  <si>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</si>
  <si>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</si>
  <si>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</si>
  <si>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</si>
  <si>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</si>
  <si>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</si>
  <si>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</si>
  <si>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</si>
  <si>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</si>
  <si>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</si>
  <si>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</si>
  <si>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</si>
  <si>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</si>
  <si>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</si>
  <si>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</si>
  <si>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</si>
  <si>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</si>
  <si>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</si>
  <si>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</si>
  <si>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</si>
  <si>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t>
  </si>
  <si>
    <t>Line 29 must equal zero since all short-term power sales must be unbundled and the transmission component reflected in Account No. 456.1 and all other uses are to be included in the divisor.</t>
  </si>
  <si>
    <t>Pursuant to Attachment GG of the Midwest ISO Tariff, removes dollar amount of revenue requirements calculated pursuant to Attachment GG and recovered under Schedule 26 of the Midwest ISO Tariff.</t>
  </si>
  <si>
    <t>FERC Electric Tariff, Fourth Revised Volume No. 1</t>
  </si>
  <si>
    <t>GROSS REVENUE REQUIREMENT  (page 3, line 31)</t>
  </si>
  <si>
    <t>(line 16 / 260; line 16 / 365)</t>
  </si>
  <si>
    <t>(line 16 / 4,160; line 16 / 8,760</t>
  </si>
  <si>
    <t>IV.6.e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</si>
  <si>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</si>
  <si>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</si>
  <si>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</si>
  <si>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</si>
  <si>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</si>
  <si>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</si>
  <si>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</si>
  <si>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</si>
  <si>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</si>
  <si>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</si>
  <si>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Please fill out info requested in the box below</t>
  </si>
  <si>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</si>
  <si>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</si>
  <si>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</si>
  <si>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</si>
  <si>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Index of Working Papers</t>
  </si>
  <si>
    <t>Yes</t>
  </si>
  <si>
    <t>Load data</t>
  </si>
  <si>
    <t>Account 565</t>
  </si>
  <si>
    <t>Property Taxes</t>
  </si>
  <si>
    <t>Wages and Salary allocation</t>
  </si>
  <si>
    <t>EIA Schedule 4</t>
  </si>
  <si>
    <t>EIA Schedule 7</t>
  </si>
  <si>
    <t>Category Code</t>
  </si>
  <si>
    <t>Category Name</t>
  </si>
  <si>
    <t>Description</t>
  </si>
  <si>
    <t>Action</t>
  </si>
  <si>
    <t>002-45400</t>
  </si>
  <si>
    <t>Transmission Sales - NCG</t>
  </si>
  <si>
    <t>12 MRES members pay MRES for all NCG transmission related revenue requirements.  Expenses are included in various accounts, including debt service and account 565.</t>
  </si>
  <si>
    <t>003-45410</t>
  </si>
  <si>
    <t>Transmission Sales - Split Rock</t>
  </si>
  <si>
    <t>5 MRES members pay MRES for all Split Rock  transmission related revenue requirements.  Expenses are included in Account 565.</t>
  </si>
  <si>
    <t>001-454151</t>
  </si>
  <si>
    <t>Transmission Sales- Atlantic</t>
  </si>
  <si>
    <t>Revenues from Atlantic for transmission related revenue requirements.  Expenses are included in Account 565.</t>
  </si>
  <si>
    <t>001-45416</t>
  </si>
  <si>
    <t>MAPP Schedule F Revenues</t>
  </si>
  <si>
    <t>001-45420</t>
  </si>
  <si>
    <t>MISO MIA Revenue</t>
  </si>
  <si>
    <t>001-45425</t>
  </si>
  <si>
    <t>Facility Credits</t>
  </si>
  <si>
    <t>Facility Credits received from IS.</t>
  </si>
  <si>
    <t>WAPA</t>
  </si>
  <si>
    <t>MRES</t>
  </si>
  <si>
    <t>Account 565 - Transmission of Electricity by Others</t>
  </si>
  <si>
    <t>Notes</t>
  </si>
  <si>
    <t>001-56500</t>
  </si>
  <si>
    <t>Trans of Electricity by Others - IS</t>
  </si>
  <si>
    <t>Billing by WAPA for the monthly IS transmission charges for MRES deliveries over the IS.  Also includes scheduling &amp; dispatch, supply &amp; voltage control, etc.</t>
  </si>
  <si>
    <t>MRES expense associated with delivering MRES demand and energy for IS transmission and ancillary charges.</t>
  </si>
  <si>
    <t>No adjustments.</t>
  </si>
  <si>
    <t>001-565301-313</t>
  </si>
  <si>
    <t>MISO MIA Expenses</t>
  </si>
  <si>
    <t>Expenses paid to MISO for congestion, FTRs, etc.</t>
  </si>
  <si>
    <t>Payments to MISO for market implementation charges</t>
  </si>
  <si>
    <t>001-565321</t>
  </si>
  <si>
    <t>Trans by Others- Atlantic</t>
  </si>
  <si>
    <t>Transmission wheeling expense for Atlantic</t>
  </si>
  <si>
    <t>003-56500</t>
  </si>
  <si>
    <t>Miscellaneous Transmission Expense- Split Rock</t>
  </si>
  <si>
    <t>Split Rock Group payments for Alliant Transmission Service</t>
  </si>
  <si>
    <t>Wheeling payments for MRES and WAPA deliveries over the Alliant system.</t>
  </si>
  <si>
    <t>002-565330</t>
  </si>
  <si>
    <t>Trans. By Others- NCG</t>
  </si>
  <si>
    <t>Wheeling Payments Made to Minnesota Power and Lake Region</t>
  </si>
  <si>
    <t>Wheeling payments for MRES and WAPA deliveries over the Minnesota Power and Lake Region systems.</t>
  </si>
  <si>
    <t>002-565200</t>
  </si>
  <si>
    <t>Trans. By Others- CASOT</t>
  </si>
  <si>
    <t>CASOT Expenses</t>
  </si>
  <si>
    <t>022-56500</t>
  </si>
  <si>
    <t>Trans of Electricity by Others - MBPP</t>
  </si>
  <si>
    <t>Records the costs associated with Missouri Basin Power Project wheeling payments to others.</t>
  </si>
  <si>
    <t>Wheeling payments to NPPD.</t>
  </si>
  <si>
    <t>Attachment O 565 Total</t>
  </si>
  <si>
    <t>MBPP</t>
  </si>
  <si>
    <t>Other</t>
  </si>
  <si>
    <t>Gross Plant</t>
  </si>
  <si>
    <t>Power Supply - WMMPA:</t>
  </si>
  <si>
    <t>MBPP activities</t>
  </si>
  <si>
    <t>022-549000</t>
  </si>
  <si>
    <t>A&amp;G:</t>
  </si>
  <si>
    <t>WPP activities</t>
  </si>
  <si>
    <t>023-549000</t>
  </si>
  <si>
    <t>IT</t>
  </si>
  <si>
    <t>001-920601-11</t>
  </si>
  <si>
    <t>Exira activities</t>
  </si>
  <si>
    <t>026-549000</t>
  </si>
  <si>
    <t>Legislative activities - federal (p/s)</t>
  </si>
  <si>
    <t>001-920210</t>
  </si>
  <si>
    <t>Exira - Oper, Supr &amp; Engr</t>
  </si>
  <si>
    <t>026-546000</t>
  </si>
  <si>
    <t>Legislative activities - federal (dues)</t>
  </si>
  <si>
    <t>004-920000</t>
  </si>
  <si>
    <t>Exira - Generation Exp</t>
  </si>
  <si>
    <t>026-548000</t>
  </si>
  <si>
    <t>Legislative activities - state</t>
  </si>
  <si>
    <t>001-920220</t>
  </si>
  <si>
    <t>Exira - Misc Other Power Gen.</t>
  </si>
  <si>
    <t>Regulatory act - fed &amp; state</t>
  </si>
  <si>
    <t>001-920200</t>
  </si>
  <si>
    <t>Exira - Maint, Supr &amp; Engr</t>
  </si>
  <si>
    <t>026-551000</t>
  </si>
  <si>
    <t>Legal - internal</t>
  </si>
  <si>
    <t>001-920280</t>
  </si>
  <si>
    <t>Exira - Maint of Structures</t>
  </si>
  <si>
    <t>026-552000</t>
  </si>
  <si>
    <t>Member meetings &amp; contacts</t>
  </si>
  <si>
    <t>001-920240</t>
  </si>
  <si>
    <t>Exira - Maint of Equipment</t>
  </si>
  <si>
    <t>026-553000</t>
  </si>
  <si>
    <t>Cost &amp; rate forecast</t>
  </si>
  <si>
    <t>001-920030</t>
  </si>
  <si>
    <t>Exira - Maint of Misc Other</t>
  </si>
  <si>
    <t>026-554000</t>
  </si>
  <si>
    <t>Rate studies</t>
  </si>
  <si>
    <t>001-920260</t>
  </si>
  <si>
    <t>WPP - Oper, Supr &amp; Engr</t>
  </si>
  <si>
    <t>023-546000</t>
  </si>
  <si>
    <t>Training</t>
  </si>
  <si>
    <t>001-920340</t>
  </si>
  <si>
    <t>WPP - Generation Exp</t>
  </si>
  <si>
    <t>023-548000</t>
  </si>
  <si>
    <t>WPP - Maint, Supr &amp; Engr</t>
  </si>
  <si>
    <t>023-551000</t>
  </si>
  <si>
    <t>Strategic planning</t>
  </si>
  <si>
    <t>001-920310</t>
  </si>
  <si>
    <t>WPP - Maint. of Structures</t>
  </si>
  <si>
    <t>023-552000</t>
  </si>
  <si>
    <t>Non-member contacts</t>
  </si>
  <si>
    <t>001-920410</t>
  </si>
  <si>
    <t>WPP - Maint. of Equipment</t>
  </si>
  <si>
    <t>023-553000</t>
  </si>
  <si>
    <t>Maintenance of general plant</t>
  </si>
  <si>
    <t>001-935000</t>
  </si>
  <si>
    <t>WPP - Maint. of Misc. Other</t>
  </si>
  <si>
    <t>023-554000</t>
  </si>
  <si>
    <t>001-920000</t>
  </si>
  <si>
    <t>WMMPA Power Supply -general</t>
  </si>
  <si>
    <t>021-549000</t>
  </si>
  <si>
    <t>Production</t>
  </si>
  <si>
    <t>Power Supply - MRES:</t>
  </si>
  <si>
    <t>MAPP/MISO</t>
  </si>
  <si>
    <t>001-557022</t>
  </si>
  <si>
    <t>D/M Benson (crew)</t>
  </si>
  <si>
    <t>005-590000-00-02</t>
  </si>
  <si>
    <t>MISO/NERC</t>
  </si>
  <si>
    <t>001-557012</t>
  </si>
  <si>
    <t>D/M Benson Admin Support</t>
  </si>
  <si>
    <t>005-920270-00-02</t>
  </si>
  <si>
    <t>Municipal Capacity</t>
  </si>
  <si>
    <t>001-557013</t>
  </si>
  <si>
    <t>D/M Luverne (crew)</t>
  </si>
  <si>
    <t>005-590000-00-04</t>
  </si>
  <si>
    <t>Renewable- Odin/Marshall</t>
  </si>
  <si>
    <t>001-557020</t>
  </si>
  <si>
    <t>D/M Luverne Admin Support</t>
  </si>
  <si>
    <t>005-620270-00-04</t>
  </si>
  <si>
    <t xml:space="preserve">Resource Planning </t>
  </si>
  <si>
    <t>001-557014,18-19,21</t>
  </si>
  <si>
    <t>D/M ORT (crew)</t>
  </si>
  <si>
    <t>005-590000-00-05</t>
  </si>
  <si>
    <t>State Regulatory</t>
  </si>
  <si>
    <t>001-557023</t>
  </si>
  <si>
    <t>D/M ORT Admin Support</t>
  </si>
  <si>
    <t>005-920270-00-05</t>
  </si>
  <si>
    <t>System Control &amp; load dispatching</t>
  </si>
  <si>
    <t>001-556000</t>
  </si>
  <si>
    <t>D/M Olivia (crew)</t>
  </si>
  <si>
    <t>005-590000-00-06</t>
  </si>
  <si>
    <t>Power Supply Proposals</t>
  </si>
  <si>
    <t>001-557015</t>
  </si>
  <si>
    <t>D/M Olivia Admin Support</t>
  </si>
  <si>
    <t>005-920270-00-06</t>
  </si>
  <si>
    <t>MBMPA Power Supply -general</t>
  </si>
  <si>
    <t>001-557011</t>
  </si>
  <si>
    <t>D/M Jackson (crew)</t>
  </si>
  <si>
    <t>005-590000-00-03</t>
  </si>
  <si>
    <t>D/M Jackson Admin Supp</t>
  </si>
  <si>
    <t>005-920270-00-03</t>
  </si>
  <si>
    <t>DSM Energy Efficiency</t>
  </si>
  <si>
    <t>001-557052</t>
  </si>
  <si>
    <t>DSM Load Management</t>
  </si>
  <si>
    <t>001-557053</t>
  </si>
  <si>
    <t>Thermal Scanning</t>
  </si>
  <si>
    <t>001-922120</t>
  </si>
  <si>
    <t>Thermal Scanning Admin Support</t>
  </si>
  <si>
    <t>Wind Generation-Worthington</t>
  </si>
  <si>
    <t>025-546000</t>
  </si>
  <si>
    <t>Same comment as DM for scanning.</t>
  </si>
  <si>
    <t>WAPA activities - member's contracts</t>
  </si>
  <si>
    <t>001-557016</t>
  </si>
  <si>
    <t xml:space="preserve">Special Projects/Billed to Others: </t>
  </si>
  <si>
    <t>Transmission Support- Generation Develop</t>
  </si>
  <si>
    <t>001-557017</t>
  </si>
  <si>
    <t>MBMECA</t>
  </si>
  <si>
    <t>004-143010</t>
  </si>
  <si>
    <t>Key Accounts</t>
  </si>
  <si>
    <t>001-912100</t>
  </si>
  <si>
    <t>Customer records &amp; collections</t>
  </si>
  <si>
    <t>001-903000</t>
  </si>
  <si>
    <t>Transmission - WMMPA:</t>
  </si>
  <si>
    <t>022-560000</t>
  </si>
  <si>
    <t>SP: Wind Generation-Watertown</t>
  </si>
  <si>
    <t>004-186070</t>
  </si>
  <si>
    <t>022-566000</t>
  </si>
  <si>
    <t xml:space="preserve"> SP:  Pella Local Trans Study Work</t>
  </si>
  <si>
    <t>004-143131</t>
  </si>
  <si>
    <t>WPP/Irv Simmons</t>
  </si>
  <si>
    <t>023-560000</t>
  </si>
  <si>
    <t xml:space="preserve"> SP:  Pella Local Trans Service Study </t>
  </si>
  <si>
    <t>004-143132</t>
  </si>
  <si>
    <t>Northern Towns Group activities</t>
  </si>
  <si>
    <t>081-560000</t>
  </si>
  <si>
    <t xml:space="preserve"> SP:  Pella 3rd Party Impact Mitigation</t>
  </si>
  <si>
    <t>004-143133</t>
  </si>
  <si>
    <t>WMMPA S-1-general</t>
  </si>
  <si>
    <t>021-566000</t>
  </si>
  <si>
    <t xml:space="preserve"> SP:  Pella Balancing Area Change</t>
  </si>
  <si>
    <t>004-143134</t>
  </si>
  <si>
    <t>Transmission - MRES:</t>
  </si>
  <si>
    <t xml:space="preserve"> SP:  MN MTO RES Study</t>
  </si>
  <si>
    <t>004-143141</t>
  </si>
  <si>
    <t>Transmission Supr.</t>
  </si>
  <si>
    <t>001-560014</t>
  </si>
  <si>
    <t xml:space="preserve"> SP:  MN MTO C-BED Study</t>
  </si>
  <si>
    <t>004-143142</t>
  </si>
  <si>
    <t>IS activities</t>
  </si>
  <si>
    <t>001-560011/561071</t>
  </si>
  <si>
    <t xml:space="preserve"> SP:  MN TACT</t>
  </si>
  <si>
    <t>004-143170</t>
  </si>
  <si>
    <t>MISO Transmission</t>
  </si>
  <si>
    <t>001-561072</t>
  </si>
  <si>
    <t xml:space="preserve"> SP:  CapX2020</t>
  </si>
  <si>
    <t>004-186061</t>
  </si>
  <si>
    <t>Model Building</t>
  </si>
  <si>
    <t>001-561051</t>
  </si>
  <si>
    <t xml:space="preserve"> SP:  CapX-Fargo</t>
  </si>
  <si>
    <t>004-186062</t>
  </si>
  <si>
    <t>MISO TO activities</t>
  </si>
  <si>
    <t>001-561052</t>
  </si>
  <si>
    <t xml:space="preserve"> SP:  CapX-Brookings</t>
  </si>
  <si>
    <t>004-186063</t>
  </si>
  <si>
    <t>MTO Activities</t>
  </si>
  <si>
    <t>001-561053</t>
  </si>
  <si>
    <t>NERC/MRO Activities</t>
  </si>
  <si>
    <t>001-561054</t>
  </si>
  <si>
    <t>004-143120</t>
  </si>
  <si>
    <t>002-560010</t>
  </si>
  <si>
    <t>Trans - Other (SR, NCG, MBMECA)</t>
  </si>
  <si>
    <t>1-560010/2-560015/3-561061</t>
  </si>
  <si>
    <t xml:space="preserve">  TOTAL</t>
  </si>
  <si>
    <t>Split Rock</t>
  </si>
  <si>
    <t>003-560010</t>
  </si>
  <si>
    <t>Xcel Communities</t>
  </si>
  <si>
    <t>001-560016</t>
  </si>
  <si>
    <t>Per W&amp;S Summary</t>
  </si>
  <si>
    <t>Difference</t>
  </si>
  <si>
    <t>General MRES-Only</t>
  </si>
  <si>
    <t>001-560019/560013</t>
  </si>
  <si>
    <t>001-560018</t>
  </si>
  <si>
    <t>FERC interventions and activities</t>
  </si>
  <si>
    <t>001-566012/560017</t>
  </si>
  <si>
    <t>001-566013/560020</t>
  </si>
  <si>
    <t>Attachment O:  Wages &amp; Salary Allocator</t>
  </si>
  <si>
    <t>Distribution</t>
  </si>
  <si>
    <t>Line No.</t>
  </si>
  <si>
    <t>Balance Beginning of Year (Dollars)</t>
  </si>
  <si>
    <t>Additions</t>
  </si>
  <si>
    <t>Retirements</t>
  </si>
  <si>
    <t>Transfers &amp; Adjustments</t>
  </si>
  <si>
    <t>Balance End of Year (Dollars)</t>
  </si>
  <si>
    <t>MRES Portion of Combined Total</t>
  </si>
  <si>
    <t>WMMPA Portion of Combined Total</t>
  </si>
  <si>
    <t>(a)</t>
  </si>
  <si>
    <t>(b)</t>
  </si>
  <si>
    <t>(c)</t>
  </si>
  <si>
    <t>(d)</t>
  </si>
  <si>
    <t>(e)</t>
  </si>
  <si>
    <t>Intangible Plant (301-303)</t>
  </si>
  <si>
    <t>Steam Production (310-316)</t>
  </si>
  <si>
    <t>Nuclear Production (320-325)</t>
  </si>
  <si>
    <t>Hydraulic Production (330-336)</t>
  </si>
  <si>
    <t xml:space="preserve">Other Production (340-346) Specify: Wind </t>
  </si>
  <si>
    <t>Total Production Plant (sum of lines 2-5)</t>
  </si>
  <si>
    <t>Transmission Plant (350-359)</t>
  </si>
  <si>
    <t>Distribution Plant (360-373)</t>
  </si>
  <si>
    <t>General Plant (389-399)</t>
  </si>
  <si>
    <t>Total Electric Plant in Service (sum of lines 1, 6-9)</t>
  </si>
  <si>
    <t>Electric Plant Leased to Others (104)</t>
  </si>
  <si>
    <t>Electric Plant Held for Future Use (105)</t>
  </si>
  <si>
    <t>Electric Plant Miscellaneous (102, 103, 106, 114, 116)</t>
  </si>
  <si>
    <t>Electric Plant and Adjustments (sum of lines 10-13)</t>
  </si>
  <si>
    <t>Construction Work in Progress-Electric (107)</t>
  </si>
  <si>
    <t>Total Electric Plant and Adjustments (sum lines 14, 15)</t>
  </si>
  <si>
    <t>Fuel Cost (Dollars)</t>
  </si>
  <si>
    <t>Operations (Dollars)</t>
  </si>
  <si>
    <t>Maintenance (Dollars)</t>
  </si>
  <si>
    <t>Total Dollars</t>
  </si>
  <si>
    <t>Power Production Expenses</t>
  </si>
  <si>
    <t>Steam Power Generation  (500-507, 510-514) Fuel Cost (501)</t>
  </si>
  <si>
    <t>Nuclear Power Generation  (517-525, 528-532) Fuel Cost (518)</t>
  </si>
  <si>
    <t>Hydraulic Power Generation (535-540, 541-545)</t>
  </si>
  <si>
    <t>Other Power Generation  (546-550, 551-554) Fuel Cost (547)</t>
  </si>
  <si>
    <t>Purchased Power (555)</t>
  </si>
  <si>
    <t>Other Production Expenses (556-557)</t>
  </si>
  <si>
    <t>Total Production Expenses (sum of lines 1-6)</t>
  </si>
  <si>
    <t>Transmission Expenses  (560-567, 568-573)</t>
  </si>
  <si>
    <t>Distribution Expenses (580-589, 590-598)</t>
  </si>
  <si>
    <t>Customer Accounts Expenses (901-905)</t>
  </si>
  <si>
    <t>Customer Service and Information Expenses (907-910)</t>
  </si>
  <si>
    <t>Sales Expenses (911-916)</t>
  </si>
  <si>
    <t>Administrative and General Expenses (920-931, 935)</t>
  </si>
  <si>
    <t>Total Electric Operation and Maintenance Expenses (sum of lines 7-13)</t>
  </si>
  <si>
    <t>Number of Electric Department Employees</t>
  </si>
  <si>
    <t>Payroll Ended  (Date)</t>
  </si>
  <si>
    <t>Total Number of Regular Full-Time Employees (if Federal agency, full-time equivalents)</t>
  </si>
  <si>
    <t>Total Number of Part-Time and Temporary Employees</t>
  </si>
  <si>
    <t>Total Number of Employees (sum of lines 16 and 17)</t>
  </si>
  <si>
    <t>Depreciation and Amortization</t>
  </si>
  <si>
    <t>Total MRES/WMMPA Operating Expenses</t>
  </si>
  <si>
    <t>Account</t>
  </si>
  <si>
    <t>MRES $</t>
  </si>
  <si>
    <t>Load Dispatch- Reliability</t>
  </si>
  <si>
    <t>Load Dispatch- Monitor Transmission System</t>
  </si>
  <si>
    <t>Reliability Planning/Standards</t>
  </si>
  <si>
    <t>Generation Interconnection Studies</t>
  </si>
  <si>
    <t>Electric Plant and Adjustments (101-106, 114, 116)</t>
  </si>
  <si>
    <t>Construction Work in Progress (107)</t>
  </si>
  <si>
    <t>(Less) Accumulated Provision for Depreciation, Amortization, and Depletion  (108, 111, 115)</t>
  </si>
  <si>
    <t>Net Electric Plant (sum of lines 1-2 less line 3)</t>
  </si>
  <si>
    <t>Nuclear Fuel (120.1-120.4, 120.6)</t>
  </si>
  <si>
    <t>(Less) Accumulated Provision for Amortization of Nuclear Fuel Assemblies (120.5)</t>
  </si>
  <si>
    <t>Net Electric Plant including Nuclear Fuel (sum of lines 4-5, less line 6)</t>
  </si>
  <si>
    <t>Non-electric Plant Property (121)</t>
  </si>
  <si>
    <t>(Less) Accumulated Provision for Depreciation and Amortization (122)</t>
  </si>
  <si>
    <t>Investment in Associated Enterprises (123-123.1)</t>
  </si>
  <si>
    <t>Investments and Special Funds (124-128)</t>
  </si>
  <si>
    <t>Total Other Property and Investments (sum of lines 8, 10, 11 less line 9)</t>
  </si>
  <si>
    <t>Cash, Working Funds, and Investments (131-136)</t>
  </si>
  <si>
    <t>Notes and Other Receivables  (141, 143, 145, 146, 172)</t>
  </si>
  <si>
    <t>Customer Accounts Receivable (142)</t>
  </si>
  <si>
    <t>(Less) Accumulated Provision for Uncollectible Accounts (144)</t>
  </si>
  <si>
    <t>Fuel Stock and Expenses Undistributed (151-152)</t>
  </si>
  <si>
    <t>Plant Materials and Operating Supplies (154)</t>
  </si>
  <si>
    <t>Other Supplies and Miscellaneous (153, 155-163)</t>
  </si>
  <si>
    <t>Prepayments (165)</t>
  </si>
  <si>
    <t>Accrued Revenues (173)</t>
  </si>
  <si>
    <t>Miscellaneous Current and Accrued Assets (171, 174)</t>
  </si>
  <si>
    <t>Total Current and Accrued Assets (sum of lines 13-15, 17-22 less line 16)</t>
  </si>
  <si>
    <t>Unamortized Debt Expense (181)</t>
  </si>
  <si>
    <t>Extraordinary Property Losses, Study Costs, and Charges (182.1, 182.2, 183)</t>
  </si>
  <si>
    <t>Miscellaneous Debt, Research and Development Expenses and Unamortized Losses (184-191)</t>
  </si>
  <si>
    <t>Total Deferred Debits (sum of lines 24-26)</t>
  </si>
  <si>
    <t>Total Assets and Other Debits (sum of lines 7, 12, 23, 27)</t>
  </si>
  <si>
    <t>Investment of Municipality (208)</t>
  </si>
  <si>
    <t>Miscellaneous Capital (211)</t>
  </si>
  <si>
    <t>Retained Earnings (215, 215.1, 216)</t>
  </si>
  <si>
    <t>Total Proprietary Capital (sum of lines 29-31)</t>
  </si>
  <si>
    <t>Bonds (221, 222)</t>
  </si>
  <si>
    <t>Advances From Municipality and Other Long-Term Debt (223, 224)</t>
  </si>
  <si>
    <t>Unamortized Premium on Long-Term Debt (225)</t>
  </si>
  <si>
    <t>(Less) Unamortized Discount on Long-Term Debt (226)</t>
  </si>
  <si>
    <t>Total Long-Term Debt  (sum of lines 33-35, less line 36)</t>
  </si>
  <si>
    <t>Accumulated Operating Provisions (228.1-228.4)</t>
  </si>
  <si>
    <t>Accumulated Provision for Rate Refunds (229)</t>
  </si>
  <si>
    <t>Total Other Noncurrent Liabilities  (sum of    lines 38-39)</t>
  </si>
  <si>
    <t>Notes Payable (231)</t>
  </si>
  <si>
    <t>Accounts Payable (232)</t>
  </si>
  <si>
    <t>Notes and Accounts Payable to Associated Enterprises (233, 234)</t>
  </si>
  <si>
    <t>Customer Deposits (235)</t>
  </si>
  <si>
    <t>Taxes Accrued (236)</t>
  </si>
  <si>
    <t>Interest Accrued (237)</t>
  </si>
  <si>
    <t>Miscellaneous Current and Accrued Liabilities (239-243)</t>
  </si>
  <si>
    <t>Total Current and Accrued Liabilities (sum of lines 41-47)</t>
  </si>
  <si>
    <t>Customer Advances for Construction (252)</t>
  </si>
  <si>
    <t>Other Deferred Credits (253, 256, 281-283)</t>
  </si>
  <si>
    <t>Unamortized Gain on Reacquired Debt (257)</t>
  </si>
  <si>
    <t>Total Deferred Credits (sum of lines 49-51)</t>
  </si>
  <si>
    <t>Total Liabilities and Other Credits (sum of lines 32,37,40,48,52)</t>
  </si>
  <si>
    <t>Schedule 2, Electric Balance Sheet</t>
  </si>
  <si>
    <t>Electric Plant</t>
  </si>
  <si>
    <t>Assets and Other Debits</t>
  </si>
  <si>
    <t>Liabilities and Other Credits</t>
  </si>
  <si>
    <t>Other Plant and Investments</t>
  </si>
  <si>
    <t>Current and Accrued Assets</t>
  </si>
  <si>
    <t>Deferred Debits</t>
  </si>
  <si>
    <t>Proprietary Capital</t>
  </si>
  <si>
    <t>Long-Term Debt</t>
  </si>
  <si>
    <t>Other Noncurrent Liabilities</t>
  </si>
  <si>
    <t>Current and Accrued Liabilities</t>
  </si>
  <si>
    <t>Deferred Credits</t>
  </si>
  <si>
    <t>Electric Operating Revenues (400)</t>
  </si>
  <si>
    <t>Operation Expenses (401)</t>
  </si>
  <si>
    <t>Maintenance Expenses (402)</t>
  </si>
  <si>
    <t>Depreciation Expenses (403)</t>
  </si>
  <si>
    <t>Amortization of Electric Plant, Property Losses and Regulatory Study Cost (404-407)</t>
  </si>
  <si>
    <t>Taxes and Tax Equivalents (see Schedule 6) (408.1, 409.1)</t>
  </si>
  <si>
    <t>Total Electric Operating Expenses (sum of lines 2-6)</t>
  </si>
  <si>
    <t>Net Electric Operating Income (line 1, less line 7)</t>
  </si>
  <si>
    <t>Income from Electric Plant Leased to Others (412, 413)</t>
  </si>
  <si>
    <t>Electric Operating Income (sum of lines 8, 9)</t>
  </si>
  <si>
    <t>Other Electric Income (explain significant amounts in a footnote on Schedule 12) (415, 417, 418, 419 421,421.1)</t>
  </si>
  <si>
    <t>Other Electric Deductions (explain significant amounts in a footnote on Schedule 12) (416, 417.1, 421.2)</t>
  </si>
  <si>
    <t>Allowance for Other Funds Used During Construction (419.1)</t>
  </si>
  <si>
    <t>Taxes Applicable to Other Income and Deductions (see Schedule 6)  (408.2, 409.2)</t>
  </si>
  <si>
    <t>Electric Income (sum of lines 10, 11, 13, less lines 12, 14)</t>
  </si>
  <si>
    <t>Income Deductions from Interest on Long-Term Debt (427)</t>
  </si>
  <si>
    <t>Other Income Deductions (explain significant amounts in a footnote on Schedule 12) (428-431)</t>
  </si>
  <si>
    <t>Allowance for Borrowed Funds Used During Construction (432)</t>
  </si>
  <si>
    <t>Total Income Deductions (sum of lines 16-18)</t>
  </si>
  <si>
    <t>Income Before Extraordinary Items (line 15, less line 19)</t>
  </si>
  <si>
    <t>Extraordinary Items (434)</t>
  </si>
  <si>
    <t>Extraordinary Deductions (435)</t>
  </si>
  <si>
    <t>Net Income (sum of lines 20, 21, less line 22)</t>
  </si>
  <si>
    <t>Schedule 3. Electric Income Statement</t>
  </si>
  <si>
    <t>Column b</t>
  </si>
  <si>
    <t>Based on Gross Plant</t>
  </si>
  <si>
    <t>Divisor</t>
  </si>
  <si>
    <t>ATRR in Zones</t>
  </si>
  <si>
    <t>Pricing Zone</t>
  </si>
  <si>
    <t>Total Transmission Plant</t>
  </si>
  <si>
    <t>ATRR</t>
  </si>
  <si>
    <t>WAPA *</t>
  </si>
  <si>
    <t>* = Not in MISO.</t>
  </si>
  <si>
    <t>EIA Schedule 2</t>
  </si>
  <si>
    <t>EIA Schedule 3</t>
  </si>
  <si>
    <t xml:space="preserve">Account 561 </t>
  </si>
  <si>
    <t>Issued by:  Stephen G. Kozey, Issuing Officer</t>
  </si>
  <si>
    <t>Effective:  January 6, 2009</t>
  </si>
  <si>
    <t>Issued on:  January 15, 2009</t>
  </si>
  <si>
    <t>First Revised Sheet No. 2635</t>
  </si>
  <si>
    <t>Superseding Original Sheet No. 2635</t>
  </si>
  <si>
    <t>First Revised Sheet No. 2634</t>
  </si>
  <si>
    <t>Superseding Original Sheet No. 2634</t>
  </si>
  <si>
    <t>First Revised Sheet No. 2637</t>
  </si>
  <si>
    <t>Superseding Original Sheet No. 2637</t>
  </si>
  <si>
    <t>Page 4 of 5, Line 7 Deduction</t>
  </si>
  <si>
    <t xml:space="preserve">MAPP Schedule F Revenues. </t>
  </si>
  <si>
    <t>No Deduction on Attachment O</t>
  </si>
  <si>
    <t>Totals</t>
  </si>
  <si>
    <t xml:space="preserve">OTP </t>
  </si>
  <si>
    <t xml:space="preserve">Where Included in  </t>
  </si>
  <si>
    <t>Audited Financials</t>
  </si>
  <si>
    <t>Report on Attachment O, page 4, line 12</t>
  </si>
  <si>
    <t>Other power supply operation and maintenance</t>
  </si>
  <si>
    <t>Report on Attachment O, page 4, line 13</t>
  </si>
  <si>
    <t>Transmission operations and maintenance</t>
  </si>
  <si>
    <t>Report on Attachment O, page 4, line 14</t>
  </si>
  <si>
    <t>Other _1/</t>
  </si>
  <si>
    <t>Report on Attachment O, page 4, line 15</t>
  </si>
  <si>
    <t>Customer information and collections</t>
  </si>
  <si>
    <t>Does this tie to a line item on the audited f/s?</t>
  </si>
  <si>
    <t xml:space="preserve">If not, please provide an explanation and a  work paper </t>
  </si>
  <si>
    <t>See note below.</t>
  </si>
  <si>
    <t>reconciling to the audited financial statements</t>
  </si>
  <si>
    <t>Confirm that the above does not contain any capitalized wages.</t>
  </si>
  <si>
    <t>They do not.</t>
  </si>
  <si>
    <t>Confirm that the above does not contain any  A&amp;G related wages</t>
  </si>
  <si>
    <t>Please indicate if MRES performs work for others and where those costs and related revenues are recorded</t>
  </si>
  <si>
    <t>Also please indicate what line item of the financial statements includes these costs and related revenues</t>
  </si>
  <si>
    <t>_1/  Other is to include salaries charged to administer customer accounts 901 - 916 as defined by the</t>
  </si>
  <si>
    <t>USofA</t>
  </si>
  <si>
    <t xml:space="preserve">Wages for electric utilities are spread across the functional areas where the labor dollars are spent and will never tie to a line item on the financial statements. </t>
  </si>
  <si>
    <t>Additional detail for wage and salary allocations were included in initial worksheets provided to MISO with non-levelized Attachment O.</t>
  </si>
  <si>
    <t>MRES Note:</t>
  </si>
  <si>
    <t>Plant Summary</t>
  </si>
  <si>
    <t xml:space="preserve">Accumulated </t>
  </si>
  <si>
    <t>Net</t>
  </si>
  <si>
    <t>Depreciation</t>
  </si>
  <si>
    <t>Plant</t>
  </si>
  <si>
    <t>Expense</t>
  </si>
  <si>
    <t>Production Plant</t>
  </si>
  <si>
    <t>Steam Production Plant</t>
  </si>
  <si>
    <t>310 – Land and Land Rights</t>
  </si>
  <si>
    <t>311 – Structures and Improvements</t>
  </si>
  <si>
    <t>312 – Boiler Plant Equipment</t>
  </si>
  <si>
    <t>313 – Engines and Engine-Driven Generators</t>
  </si>
  <si>
    <t>314 – Turbogenerator Units</t>
  </si>
  <si>
    <t>315 – Accessory Electric Equipment</t>
  </si>
  <si>
    <t>316 – Misc. Power Plant Equipment</t>
  </si>
  <si>
    <t>Total Steam Production Plant</t>
  </si>
  <si>
    <t xml:space="preserve">EIA 412, Sch 4, ln 2 </t>
  </si>
  <si>
    <t>Nuclear Production Plant</t>
  </si>
  <si>
    <t>320 – Land and Land Rights</t>
  </si>
  <si>
    <t>321 – Structures and Improvements</t>
  </si>
  <si>
    <t>322 – Reactor Plant Equipment</t>
  </si>
  <si>
    <t>323 – Turbogenerator Units</t>
  </si>
  <si>
    <t>324 – Accessory Electric Equipment</t>
  </si>
  <si>
    <t>325 – Misc. Power Plant Equipment</t>
  </si>
  <si>
    <t>326 – Asset Retirement Costs for Nuclear Production</t>
  </si>
  <si>
    <t>EIA 412, Sch 4, ln 3</t>
  </si>
  <si>
    <t>Total Nuclear Production Plant</t>
  </si>
  <si>
    <t>Hydraulic Production Plant</t>
  </si>
  <si>
    <t>330 – Land and Land Rights</t>
  </si>
  <si>
    <t>331 – Structures and Improvements</t>
  </si>
  <si>
    <t>332 – Reservoirs, Dams, and Waterways</t>
  </si>
  <si>
    <t>333 – Water Wheels, Turbines, and Generators</t>
  </si>
  <si>
    <t>334 - Accessory Electric Equipment</t>
  </si>
  <si>
    <t>335 – Misc. Power Plant Equipment</t>
  </si>
  <si>
    <t>336 – Roads, Railroads, and Bridges</t>
  </si>
  <si>
    <t>337 – Asset Retirement Costs for Hydraulic Production</t>
  </si>
  <si>
    <t>Total Hydraulic Production Plant</t>
  </si>
  <si>
    <t>EIA 412, Sch 4, ln 4</t>
  </si>
  <si>
    <t>Other Production Plant</t>
  </si>
  <si>
    <t>340 – Land and Land Rights</t>
  </si>
  <si>
    <t>341 – Structures and Improvements</t>
  </si>
  <si>
    <t>342 – Fuel Holders, Products, and Accessories</t>
  </si>
  <si>
    <t>343 – Prime Movers</t>
  </si>
  <si>
    <t>344 – Generators</t>
  </si>
  <si>
    <t>345 – Accessory Electric Equipment</t>
  </si>
  <si>
    <t>346 – Misc. Power Plant Equipment</t>
  </si>
  <si>
    <t>347 – Asset Retirement Costs for Nuclear Production</t>
  </si>
  <si>
    <t>Total Other Production Plant</t>
  </si>
  <si>
    <t>EIA 412, Sch 4, ln 5</t>
  </si>
  <si>
    <t>Att O, pg 2, line 1</t>
  </si>
  <si>
    <t>Att O, pg 2, line 7</t>
  </si>
  <si>
    <t>Total Production Plant</t>
  </si>
  <si>
    <t>EIA 412, Sch 4, ln 6</t>
  </si>
  <si>
    <t>Transmission Plant</t>
  </si>
  <si>
    <t>350 – Land and Land Rights</t>
  </si>
  <si>
    <t>352 – Structures and Improvements</t>
  </si>
  <si>
    <t>353 – Station Equipment</t>
  </si>
  <si>
    <t>354 – Towers and Fixtures</t>
  </si>
  <si>
    <t>355 – Poles and Fixtures</t>
  </si>
  <si>
    <t>356 – Overhead Conductors and Devices</t>
  </si>
  <si>
    <t>357 – Underground Conduit</t>
  </si>
  <si>
    <t>358 – Underground Conductors and Devices</t>
  </si>
  <si>
    <t>359 – Roads and Trails</t>
  </si>
  <si>
    <t>359.1 – Asset Retirement Costs for Transmission Plant</t>
  </si>
  <si>
    <t>Att O, pg 2, line 2</t>
  </si>
  <si>
    <t>Att O, pg 2, line 8</t>
  </si>
  <si>
    <t>Att O, pg 3, line 9</t>
  </si>
  <si>
    <t>EIA 412, Sch 4, ln 7</t>
  </si>
  <si>
    <t>Distribution Plant</t>
  </si>
  <si>
    <t>360 – Land and Land Rights</t>
  </si>
  <si>
    <t>361 – Structures and Improvements</t>
  </si>
  <si>
    <t>362 – Station Equipment</t>
  </si>
  <si>
    <t>363 – Storage Battery Equipment</t>
  </si>
  <si>
    <t>364 – Poles, Towers, and Fixtures</t>
  </si>
  <si>
    <t>365 – Overhead Conductors and Devices</t>
  </si>
  <si>
    <t>366 – Underground Conduit</t>
  </si>
  <si>
    <t>367 – Underground Conductors and Devices</t>
  </si>
  <si>
    <t>368 – Line Transformers</t>
  </si>
  <si>
    <t>369 – Services</t>
  </si>
  <si>
    <t>370 – Meters</t>
  </si>
  <si>
    <t>371 – Installations on Customer Premises</t>
  </si>
  <si>
    <t>372 – Leased Property on Customers Premises</t>
  </si>
  <si>
    <t>373 – Street lighting and Signal Systems</t>
  </si>
  <si>
    <t>374 – Asset Retirement Costs for Distribution Plant</t>
  </si>
  <si>
    <t>Att O, pg 2, line 3</t>
  </si>
  <si>
    <t>Att O, pg 2, line 9</t>
  </si>
  <si>
    <t>Total Distribution Plant</t>
  </si>
  <si>
    <t>EIA 412, Sch 4, ln 8</t>
  </si>
  <si>
    <t>Intangible Plant</t>
  </si>
  <si>
    <t>301 Organization</t>
  </si>
  <si>
    <t>302 Franchises and Consents</t>
  </si>
  <si>
    <t>303 Miscellaneous Intangible Plant</t>
  </si>
  <si>
    <t>Att O, pg 2, line 4</t>
  </si>
  <si>
    <t>Att O, pg 2, line 10</t>
  </si>
  <si>
    <t>Total Intangible Plant</t>
  </si>
  <si>
    <t>EIA 412, Sch 4, ln 1</t>
  </si>
  <si>
    <t>General Plant</t>
  </si>
  <si>
    <t>389 – Land and Land Rights</t>
  </si>
  <si>
    <t>390 – Structures and Improvements</t>
  </si>
  <si>
    <t>391 – Office Furniture and Equipment</t>
  </si>
  <si>
    <t>392 – Transportation Equipment</t>
  </si>
  <si>
    <t>393 – Stores Equipment</t>
  </si>
  <si>
    <t>394 – Tools, Shop and Garage Equipment</t>
  </si>
  <si>
    <t>395 – Laboratory Equipment</t>
  </si>
  <si>
    <t>396 – Power Operated Equipment</t>
  </si>
  <si>
    <t>397 – Communication Equipment</t>
  </si>
  <si>
    <t>398 – Miscellaneous Equipment</t>
  </si>
  <si>
    <t>399 – Other Tangible Property</t>
  </si>
  <si>
    <t>399.1 – Asset Retirement Costs for General Plant</t>
  </si>
  <si>
    <t>Att O, pg 3, line 10</t>
  </si>
  <si>
    <t>Total General Plant</t>
  </si>
  <si>
    <t>EIA 412, Sch 4, ln 9</t>
  </si>
  <si>
    <t>Grand Total Plant In-Service</t>
  </si>
  <si>
    <t>Per Audit</t>
  </si>
  <si>
    <t>Please answer the following questions:</t>
  </si>
  <si>
    <t>Does the Grand total Gross Plant In-Service tie to the Gross Plant In-Service reflected on the audited balance sheet?  If no, please provide an explanation &amp; reconciliation.</t>
  </si>
  <si>
    <t>Does Total Accum Depre tie to Accum Depre reflected on the audited balance sheet?  If no, please provide an explanation &amp; reconciliation.</t>
  </si>
  <si>
    <t>Does the Total Depreciation expense tie to the depreciation expense reflected in the audited income statement.  If no, please provide an explanation &amp; reconciliation.</t>
  </si>
  <si>
    <t xml:space="preserve">MRES </t>
  </si>
  <si>
    <t xml:space="preserve">Attachment O, page 2, line 25 </t>
  </si>
  <si>
    <t>Land Held For Future Use</t>
  </si>
  <si>
    <t>should be reported on Attachment O, page 2, line 25</t>
  </si>
  <si>
    <t xml:space="preserve">Distribution </t>
  </si>
  <si>
    <t>Should tie to a financial statement line item - if not please</t>
  </si>
  <si>
    <t>indicate what line of the audited financials reflects Land Held For Future Use</t>
  </si>
  <si>
    <t xml:space="preserve">And indicate what other items are included in that financial statement line item </t>
  </si>
  <si>
    <t>by providing a brief but descriptive explanation</t>
  </si>
  <si>
    <t>regardless of whether your company follows the USofA</t>
  </si>
  <si>
    <t>and the amounts related to each item of Transmission land held for future use</t>
  </si>
  <si>
    <t>MRES does not have any land held for future use.</t>
  </si>
  <si>
    <t>Attachment O, page 2, line 27</t>
  </si>
  <si>
    <t>Materials and Supplies</t>
  </si>
  <si>
    <t>should be reported on Attachment O, page 2, line 27</t>
  </si>
  <si>
    <t>indicate what line of the audited financials reflects M&amp;S</t>
  </si>
  <si>
    <t>the amounts related to each item of Transmission related Materials and Supplies and the USofA account</t>
  </si>
  <si>
    <t>these amounts were recorded to.</t>
  </si>
  <si>
    <t>The inventory amount consists of inventory maintained by MRES and a portion maintained by Basin Electric, the MBPP Operating Agent.</t>
  </si>
  <si>
    <t>Attachment O, page 2, line 28</t>
  </si>
  <si>
    <t>Prepayment Description _1/</t>
  </si>
  <si>
    <t>Prepaid Insurance</t>
  </si>
  <si>
    <t>Prepaid Water Expense</t>
  </si>
  <si>
    <t>Prepaid Contract Progress Payments</t>
  </si>
  <si>
    <t>XXXXX</t>
  </si>
  <si>
    <t>Total Prepayments</t>
  </si>
  <si>
    <t>Attachment O, page 2, line 28 and EIA 412, Schedule 2, line 20</t>
  </si>
  <si>
    <t>WAPA Regulation Account</t>
  </si>
  <si>
    <t>indicate what line of the audited financials reflects Prepayments</t>
  </si>
  <si>
    <t xml:space="preserve">Miscellaneous Other </t>
  </si>
  <si>
    <t>Total Other Current Assets</t>
  </si>
  <si>
    <t>Agrees with audited financial statements</t>
  </si>
  <si>
    <t>_1/  Provide a brief but descriptive explanation of the different types of prepayment items</t>
  </si>
  <si>
    <t>Transmission O&amp;M Expenses</t>
  </si>
  <si>
    <t>Operation</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</si>
  <si>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</si>
  <si>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</si>
  <si>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</si>
  <si>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</si>
  <si>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</si>
  <si>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</si>
  <si>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</si>
  <si>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</si>
  <si>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</si>
  <si>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</si>
  <si>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</si>
  <si>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</si>
  <si>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</si>
  <si>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</si>
  <si>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</si>
  <si>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</si>
  <si>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</si>
  <si>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566 – Miscellaneous Transmission Expenses</t>
  </si>
  <si>
    <t>567 – Rents</t>
  </si>
  <si>
    <t>Maintenance</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</si>
  <si>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</si>
  <si>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</si>
  <si>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</si>
  <si>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</si>
  <si>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</si>
  <si>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</si>
  <si>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</si>
  <si>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</si>
  <si>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</si>
  <si>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</si>
  <si>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Total Transmission O&amp;M Expense</t>
  </si>
  <si>
    <t>Attachment O, page 3, line 1 and EIA 412, Schd 7, line 8</t>
  </si>
  <si>
    <t>Should tie to a financial statement line item - if not</t>
  </si>
  <si>
    <t>indicate what line of the audited financials reflects Transmission</t>
  </si>
  <si>
    <t>O&amp;M.  And indicate what other items are included in that financial</t>
  </si>
  <si>
    <t>statement line item by providing a brief but descriptive explanation</t>
  </si>
  <si>
    <t>Please provide the following information:</t>
  </si>
  <si>
    <t>If you report zero for accounts 561.4 &amp; 561.8 - please provide a brief written statement indicating that you do not have</t>
  </si>
  <si>
    <t>any of these expenses.</t>
  </si>
  <si>
    <t>If you report zero for account 565 - please provide a brief written statement indicating that you do not have</t>
  </si>
  <si>
    <t>If you have account 565 expenses - provide brief but descriptive detail of the 565 expenses (at least to the subaccount level)</t>
  </si>
  <si>
    <t>The details for Account 565 were included as a worksheet for the 12/31/09 Attachment O filed with MISO.</t>
  </si>
  <si>
    <t>This is required regardless of whether your company follows the USofA</t>
  </si>
  <si>
    <t>Customer Accts &amp; Admin and General Expenses</t>
  </si>
  <si>
    <t>Customer Accounts Expenses</t>
  </si>
  <si>
    <t>901 – Supervision</t>
  </si>
  <si>
    <t>902 – Meter Reading Expenses</t>
  </si>
  <si>
    <t>903 – Customer Records and Collection Expenses</t>
  </si>
  <si>
    <t>904 – Uncollectible Accounts</t>
  </si>
  <si>
    <t>905 – Miscellaneous Customer Accounts Expenses</t>
  </si>
  <si>
    <t>Total Customer Accounts Expense</t>
  </si>
  <si>
    <t>EIA 412, Sch 7, line 10</t>
  </si>
  <si>
    <t>Customer Service and Informational Expenses</t>
  </si>
  <si>
    <t>907 – Supervision</t>
  </si>
  <si>
    <t>908 – Customer Assistance Expenses</t>
  </si>
  <si>
    <t>909 – Informational and Instructional Expenses</t>
  </si>
  <si>
    <t>910 – Miscellaneous Customer Service and Informational Expenses</t>
  </si>
  <si>
    <t>Total Customer Service and Informational Expenses</t>
  </si>
  <si>
    <t>EIA 412, Sch 7, line 11</t>
  </si>
  <si>
    <t>Sales Expenses</t>
  </si>
  <si>
    <t>911 – Supervision</t>
  </si>
  <si>
    <t>912 – Demonstrating and Selling Expenses</t>
  </si>
  <si>
    <t>913 – Advertising Expenses</t>
  </si>
  <si>
    <t>916 – Miscellaneous Sales Expenses</t>
  </si>
  <si>
    <t>EIA 412, Sch 7, line 12</t>
  </si>
  <si>
    <t>Administrative and General Expenses</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</si>
  <si>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</si>
  <si>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</si>
  <si>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</si>
  <si>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</si>
  <si>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</si>
  <si>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</si>
  <si>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</si>
  <si>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</si>
  <si>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</si>
  <si>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</si>
  <si>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</si>
  <si>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</si>
  <si>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</si>
  <si>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</si>
  <si>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Attach O, page 3, line 3 and EAI 412, Sch 7, line 13</t>
  </si>
  <si>
    <t>If A&amp;G is not a specific financial statement line item, please indicate what line of the audited financial statements includes the A&amp;G Expense.</t>
  </si>
  <si>
    <t>And provide a brief but descriptive list of the items and associated amounts reflected in that line of the financial statements</t>
  </si>
  <si>
    <t>by USofA account.</t>
  </si>
  <si>
    <t xml:space="preserve">If the amount reported on the audited financials for A&amp;G does not tie to the total A&amp;G above, please </t>
  </si>
  <si>
    <t>provide a reconciliation.</t>
  </si>
  <si>
    <t>What line of the audited financial statements includes the Customer Account, Customer Service, and Sales Expense?</t>
  </si>
  <si>
    <t>Provide a brief but descriptive list of the items and associated amounts reflected in that line of the financial statements</t>
  </si>
  <si>
    <t>Attachment O, page 3, line 4</t>
  </si>
  <si>
    <t xml:space="preserve">MRES is not a FERC regulated company and therefore does not pay </t>
  </si>
  <si>
    <t>FERC Fees.</t>
  </si>
  <si>
    <t>Attachment O, page 3, lines 5 and 5a</t>
  </si>
  <si>
    <t>UsofA</t>
  </si>
  <si>
    <t>Reflected in what line</t>
  </si>
  <si>
    <t>of audited financial statements</t>
  </si>
  <si>
    <t>xxxxx</t>
  </si>
  <si>
    <t xml:space="preserve">EPRI Costs </t>
  </si>
  <si>
    <t>In I/S in _______ exp</t>
  </si>
  <si>
    <t>FERC Docket No.</t>
  </si>
  <si>
    <t xml:space="preserve">MRES Attachment O </t>
  </si>
  <si>
    <t>ER08-370-008 &amp; EL08-22-007</t>
  </si>
  <si>
    <t>In I/S in Administrative and general exp</t>
  </si>
  <si>
    <t>Order 719 Compliance</t>
  </si>
  <si>
    <t>ITC Litigation</t>
  </si>
  <si>
    <t>MISO Market Rule</t>
  </si>
  <si>
    <t>MISO RAR</t>
  </si>
  <si>
    <t>MISO RSG Issue</t>
  </si>
  <si>
    <t xml:space="preserve">MN DOC- Energy Planning and Systems Assessments </t>
  </si>
  <si>
    <t>Non Safety Advertising (provide a brief but descriptive list of charges)</t>
  </si>
  <si>
    <t xml:space="preserve"> Reimburse members for portion of their advertising expense</t>
  </si>
  <si>
    <t xml:space="preserve"> General advertising or promotional expenses</t>
  </si>
  <si>
    <t>Xxxxxxxx</t>
  </si>
  <si>
    <t>Taxes Other Than Income Taxes</t>
  </si>
  <si>
    <t>Payroll</t>
  </si>
  <si>
    <t>Attachment O, page 3, line 13</t>
  </si>
  <si>
    <t>Highway &amp; Vehicle</t>
  </si>
  <si>
    <t>Attachment O, page 3, line 14</t>
  </si>
  <si>
    <t>Property</t>
  </si>
  <si>
    <t>Attachment O, page 3, line 16</t>
  </si>
  <si>
    <t>Gross</t>
  </si>
  <si>
    <t>Attachment O, page 3, line 17</t>
  </si>
  <si>
    <t>Other - please explain</t>
  </si>
  <si>
    <t>Attachment O, page 3, line 18</t>
  </si>
  <si>
    <t>Fed &amp; State income Tax</t>
  </si>
  <si>
    <t>Not reported on Attach O</t>
  </si>
  <si>
    <t>Should tie to a line item on the audited</t>
  </si>
  <si>
    <t xml:space="preserve">  financial statements -   provide explanation and</t>
  </si>
  <si>
    <t xml:space="preserve">reconciliation if it doesn't.  Also indicate what line of the </t>
  </si>
  <si>
    <t>audited financials includes the above amounts.</t>
  </si>
  <si>
    <t>Attachment O divisor</t>
  </si>
  <si>
    <t>Report the CP of your load in the Pricing Zone by Pricing Zone for Each Month in KWs</t>
  </si>
  <si>
    <t>MRES Load in Midwest ISO _1/</t>
  </si>
  <si>
    <t>Jan</t>
  </si>
  <si>
    <t>Feb</t>
  </si>
  <si>
    <t>Mar</t>
  </si>
  <si>
    <t>Apr</t>
  </si>
  <si>
    <t>May</t>
  </si>
  <si>
    <t>Jun</t>
  </si>
  <si>
    <t>Jul</t>
  </si>
  <si>
    <t>Aug</t>
  </si>
  <si>
    <t>Sep</t>
  </si>
  <si>
    <t>Oct</t>
  </si>
  <si>
    <t>Nov</t>
  </si>
  <si>
    <t>Dec</t>
  </si>
  <si>
    <t>Sub total</t>
  </si>
  <si>
    <t>Average</t>
  </si>
  <si>
    <t>should be reported on Attachment O, page 1, line 8</t>
  </si>
  <si>
    <t>_2/  Indicate if the amount reported represents MRES bundled load only.  Yes.</t>
  </si>
  <si>
    <t>By month for each GFA, provide the GFA #, the GFA load, and the GFA transmission revenues MRES receives</t>
  </si>
  <si>
    <t>June</t>
  </si>
  <si>
    <t>GFA #</t>
  </si>
  <si>
    <t>GFA Load</t>
  </si>
  <si>
    <t>GFA Trans Rev</t>
  </si>
  <si>
    <t>Do the above numbers include any GFA related load?  If yes, provide the following.  The above load is for GFA 318.</t>
  </si>
  <si>
    <t>Detail for Line 11:</t>
  </si>
  <si>
    <t>Investment Income</t>
  </si>
  <si>
    <t>Other income</t>
  </si>
  <si>
    <t>Detail for Line 12:</t>
  </si>
  <si>
    <t>Other expense (Lobbying)</t>
  </si>
  <si>
    <t>Account 454/456</t>
  </si>
  <si>
    <t>Plant and Depreciation Detail</t>
  </si>
  <si>
    <t>Land held for Future Use</t>
  </si>
  <si>
    <t>A&amp;G Expense Detail</t>
  </si>
  <si>
    <t>FERC Fees</t>
  </si>
  <si>
    <t>EPRI, Regulatory Commission &amp; Advertising</t>
  </si>
  <si>
    <t>Taxes</t>
  </si>
  <si>
    <t>Support for Page 4, Lines 30-32</t>
  </si>
  <si>
    <t>Each MISO footprint member (23) is billed for miscellaneous MISO related expenses.  Expenses are included in Account 565.</t>
  </si>
  <si>
    <r>
      <rPr>
        <b/>
        <u val="double"/>
        <sz val="9"/>
        <rFont val="Arial"/>
        <family val="2"/>
      </rPr>
      <t>NOTE:</t>
    </r>
    <r>
      <rPr>
        <b/>
        <sz val="9"/>
        <rFont val="Arial"/>
        <family val="2"/>
      </rPr>
      <t xml:space="preserve">  </t>
    </r>
    <r>
      <rPr>
        <sz val="9"/>
        <rFont val="Arial"/>
        <family val="2"/>
      </rPr>
      <t>Amounts reported on this work paper must meet the definition of the applicable USofA account.  This is required regardless of whether your company follows the USofA</t>
    </r>
  </si>
  <si>
    <r>
      <rPr>
        <b/>
        <u val="double"/>
        <sz val="9"/>
        <color indexed="8"/>
        <rFont val="Arial"/>
        <family val="2"/>
      </rPr>
      <t xml:space="preserve">Note: </t>
    </r>
    <r>
      <rPr>
        <sz val="9"/>
        <rFont val="Arial"/>
        <family val="2"/>
      </rPr>
      <t xml:space="preserve"> Amounts reported on this work paper must meet the definition of USofA account 105.  This is required</t>
    </r>
  </si>
  <si>
    <r>
      <rPr>
        <b/>
        <sz val="9"/>
        <color indexed="8"/>
        <rFont val="Arial"/>
        <family val="2"/>
      </rPr>
      <t>Below -</t>
    </r>
    <r>
      <rPr>
        <sz val="9"/>
        <rFont val="Arial"/>
        <family val="2"/>
      </rPr>
      <t xml:space="preserve"> Provide a brief but descriptive list of the Transmission land held for future use</t>
    </r>
  </si>
  <si>
    <r>
      <rPr>
        <b/>
        <u val="double"/>
        <sz val="9"/>
        <color indexed="8"/>
        <rFont val="Arial"/>
        <family val="2"/>
      </rPr>
      <t xml:space="preserve">Note: </t>
    </r>
    <r>
      <rPr>
        <sz val="9"/>
        <rFont val="Arial"/>
        <family val="2"/>
      </rPr>
      <t xml:space="preserve"> Amounts reported on this work paper must meet the definition of the applicable USofA account.  This is required</t>
    </r>
  </si>
  <si>
    <r>
      <rPr>
        <b/>
        <sz val="9"/>
        <color indexed="8"/>
        <rFont val="Arial"/>
        <family val="2"/>
      </rPr>
      <t xml:space="preserve">Below </t>
    </r>
    <r>
      <rPr>
        <sz val="9"/>
        <rFont val="Arial"/>
        <family val="2"/>
      </rPr>
      <t xml:space="preserve">- Provide a brief but descriptive list of the Transmission related Materials and Supplies, </t>
    </r>
  </si>
  <si>
    <r>
      <rPr>
        <b/>
        <u val="double"/>
        <sz val="9"/>
        <color indexed="8"/>
        <rFont val="Arial"/>
        <family val="2"/>
      </rPr>
      <t xml:space="preserve">MRES Note: </t>
    </r>
    <r>
      <rPr>
        <sz val="9"/>
        <rFont val="Arial"/>
        <family val="2"/>
      </rPr>
      <t xml:space="preserve"> </t>
    </r>
  </si>
  <si>
    <r>
      <rPr>
        <b/>
        <u val="double"/>
        <sz val="9"/>
        <color indexed="8"/>
        <rFont val="Arial"/>
        <family val="2"/>
      </rPr>
      <t xml:space="preserve">Note: </t>
    </r>
    <r>
      <rPr>
        <sz val="9"/>
        <rFont val="Arial"/>
        <family val="2"/>
      </rPr>
      <t xml:space="preserve"> Amounts reported on this work paper must meet the definition of USofA account 165.  This is required</t>
    </r>
  </si>
  <si>
    <r>
      <t xml:space="preserve">If you track the expenses by USofA account and sub accounts please </t>
    </r>
    <r>
      <rPr>
        <b/>
        <u/>
        <sz val="9"/>
        <color indexed="8"/>
        <rFont val="Arial"/>
        <family val="2"/>
      </rPr>
      <t>provide the above information to the sub account level</t>
    </r>
    <r>
      <rPr>
        <sz val="9"/>
        <rFont val="Arial"/>
        <family val="2"/>
      </rPr>
      <t xml:space="preserve"> (for example: 56532, 56533 and so forth)</t>
    </r>
  </si>
  <si>
    <r>
      <rPr>
        <b/>
        <u val="double"/>
        <sz val="9"/>
        <rFont val="Arial"/>
        <family val="2"/>
      </rPr>
      <t>NOTE:</t>
    </r>
    <r>
      <rPr>
        <b/>
        <sz val="9"/>
        <rFont val="Arial"/>
        <family val="2"/>
      </rPr>
      <t xml:space="preserve">  </t>
    </r>
    <r>
      <rPr>
        <sz val="9"/>
        <rFont val="Arial"/>
        <family val="2"/>
      </rPr>
      <t>Amounts reported on this work paper must meet the definition of the applicable USofA account.</t>
    </r>
  </si>
  <si>
    <r>
      <t xml:space="preserve">If you track the expenses by USofA account and sub accounts please </t>
    </r>
    <r>
      <rPr>
        <b/>
        <u/>
        <sz val="9"/>
        <color indexed="8"/>
        <rFont val="Arial"/>
        <family val="2"/>
      </rPr>
      <t>provide the above information to the sub account level</t>
    </r>
  </si>
  <si>
    <r>
      <t xml:space="preserve">Regulatory Commission Expense (provide a brief but descriptive list of charges)  </t>
    </r>
    <r>
      <rPr>
        <b/>
        <u/>
        <sz val="9"/>
        <color indexed="8"/>
        <rFont val="Arial"/>
        <family val="2"/>
      </rPr>
      <t>Indicate by yellow highlight if Transmission Related</t>
    </r>
  </si>
  <si>
    <r>
      <t>If a zero is reported</t>
    </r>
    <r>
      <rPr>
        <b/>
        <u/>
        <sz val="9"/>
        <color indexed="8"/>
        <rFont val="Arial"/>
        <family val="2"/>
      </rPr>
      <t xml:space="preserve"> for any category above</t>
    </r>
    <r>
      <rPr>
        <b/>
        <sz val="9"/>
        <color indexed="8"/>
        <rFont val="Arial"/>
        <family val="2"/>
      </rPr>
      <t>, please provide a brief explanation as to why.</t>
    </r>
  </si>
  <si>
    <r>
      <rPr>
        <b/>
        <u val="double"/>
        <sz val="9"/>
        <rFont val="Arial"/>
        <family val="2"/>
      </rPr>
      <t>NOTE:</t>
    </r>
    <r>
      <rPr>
        <b/>
        <sz val="9"/>
        <rFont val="Arial"/>
        <family val="2"/>
      </rPr>
      <t xml:space="preserve">  </t>
    </r>
    <r>
      <rPr>
        <sz val="9"/>
        <rFont val="Arial"/>
        <family val="2"/>
      </rPr>
      <t>Amounts reported on this work paper must meet the definition of USofA account 408.1.</t>
    </r>
  </si>
  <si>
    <t>This reduction is consistent with 3/4/10 ALJ ID.  While MRES does not agree that these charges should be reduced since MRES does not receive any revenue and MRES is incurring these costs as a result of owning transmission facilities.</t>
  </si>
  <si>
    <t>level detail.  The general plant amounts above includes the general plant owned 100% by MRES or WMMPA and 16.47% of the general plant of the Missouri Basin Power Project.</t>
  </si>
  <si>
    <r>
      <rPr>
        <b/>
        <u/>
        <sz val="9"/>
        <rFont val="Arial"/>
        <family val="2"/>
      </rPr>
      <t>MRES</t>
    </r>
    <r>
      <rPr>
        <u/>
        <sz val="9"/>
        <rFont val="Arial"/>
        <family val="2"/>
      </rPr>
      <t xml:space="preserve"> </t>
    </r>
    <r>
      <rPr>
        <b/>
        <u/>
        <sz val="9"/>
        <rFont val="Arial"/>
        <family val="2"/>
      </rPr>
      <t>NOTE:</t>
    </r>
    <r>
      <rPr>
        <b/>
        <sz val="9"/>
        <rFont val="Arial"/>
        <family val="2"/>
      </rPr>
      <t xml:space="preserve"> </t>
    </r>
    <r>
      <rPr>
        <sz val="9"/>
        <rFont val="Arial"/>
        <family val="2"/>
      </rPr>
      <t xml:space="preserve"> MRES maintains its general ledger for general plant at the 300 series level detail but does not maintain the G/L for production and transmission plant at the 300 series</t>
    </r>
  </si>
  <si>
    <t xml:space="preserve">the Watertown Power Plant, another for the Exira Station, etc.   For transmission plant, MRES has a 101 account for MBPP transmission, one for the facilities in the Otter Tail </t>
  </si>
  <si>
    <t>pricing zone and another for the Irv Simmons Station.   MRES also depreciates and maintains accumulated depreciation at the production and transmission project level.</t>
  </si>
  <si>
    <t xml:space="preserve">   MRES records payroll taxes in A&amp;G expenses which are allocated on the Attachment O on W&amp;S, the same as page 3, line 13.</t>
  </si>
  <si>
    <t>Detail for Line 17:</t>
  </si>
  <si>
    <t>Amortization of debt expense</t>
  </si>
  <si>
    <t xml:space="preserve">Amortization of loss on reacquired debt </t>
  </si>
  <si>
    <t>Amortization of debt discount</t>
  </si>
  <si>
    <t>Amortization of debt premium</t>
  </si>
  <si>
    <t>For production and transmission plant, MRES has a separate 101 general ledger account for each project.   For example, MRES has one G/L account for Laramie River production plant, another for</t>
  </si>
  <si>
    <t>MRES has separate records that has the transmission plant at the 300 series account level but as noted above, the general ledger does not currently have this detail.</t>
  </si>
  <si>
    <t>MRES does not currently have all production plant at the 300 series account detail but expects to have that detail for the next Attachment O submittal.</t>
  </si>
  <si>
    <t>Prepayments</t>
  </si>
  <si>
    <t>Transmission O&amp;M Detail</t>
  </si>
  <si>
    <t>Emission Allowances</t>
  </si>
  <si>
    <t xml:space="preserve">None of the inventory maintained by MRES is transmission related.  </t>
  </si>
  <si>
    <t xml:space="preserve">Difference </t>
  </si>
  <si>
    <t xml:space="preserve"> SP:  Red Rock</t>
  </si>
  <si>
    <t>004-146130</t>
  </si>
  <si>
    <t>004-146170</t>
  </si>
  <si>
    <t>Interest Receivable</t>
  </si>
  <si>
    <t>022-45400</t>
  </si>
  <si>
    <t>Rent- Electric Property- MBPP</t>
  </si>
  <si>
    <t>Rents from MBPP Facilities</t>
  </si>
  <si>
    <t>001-565010</t>
  </si>
  <si>
    <t>Trans by Others- Other S1</t>
  </si>
  <si>
    <t xml:space="preserve">Other Transmission wheeling expense </t>
  </si>
  <si>
    <t>002-565001</t>
  </si>
  <si>
    <t>Trans. By Others- OTP/ITA</t>
  </si>
  <si>
    <t>Payment to OTP for portion of their Account 565 expenses.</t>
  </si>
  <si>
    <t>OTP Schedule 26 chnarges billed to MRES.</t>
  </si>
  <si>
    <t>Wheeling payments for CASOT expenses.</t>
  </si>
  <si>
    <t>Distirbution maintenance and thermograhy revenue</t>
  </si>
  <si>
    <t>Future years cost recovered in current rates</t>
  </si>
  <si>
    <t>Distribution maintenance and thermograhy expenses</t>
  </si>
  <si>
    <t>LTTR/Withdrawal Issues</t>
  </si>
  <si>
    <t>Demand Response Compensation</t>
  </si>
  <si>
    <t>ER10-1377</t>
  </si>
  <si>
    <t>MVP Cost Allocation</t>
  </si>
  <si>
    <t>ER10-1791</t>
  </si>
  <si>
    <t>_1/  Indicate which Midwest ISO Pricing Zone is this load located.  All load in this column is in OTP pricing zone (the only zone where MRES currently owns transmission facilities).</t>
  </si>
  <si>
    <t xml:space="preserve">The amount shown in row 10 is MRES's portion of the inventory maintained by Basin for MBPP that is transmission related.      </t>
  </si>
  <si>
    <t>Schedule 1 Recoverable Expenses</t>
  </si>
  <si>
    <t>Removes transmission plant determined  to be state-jurisdictional by Commission order according to the seven-factor test (until EIA 412 balances are adjusted to reflect application of seven-factor test).</t>
  </si>
  <si>
    <t>Amortization of Reserves Previously Collected</t>
  </si>
  <si>
    <t>001-565320-325</t>
  </si>
  <si>
    <t>Trans by Others- Xcel Group</t>
  </si>
  <si>
    <t>Transmission expense for Xcel wheeling for Xcel Group</t>
  </si>
  <si>
    <t>No</t>
  </si>
  <si>
    <t>MRES Admin Salaries- Other</t>
  </si>
  <si>
    <t>WMMPA Admin Salaries- Other</t>
  </si>
  <si>
    <t>004-92000</t>
  </si>
  <si>
    <t>004-146031</t>
  </si>
  <si>
    <t>004-146030</t>
  </si>
  <si>
    <t xml:space="preserve"> SP:   Norway Lake</t>
  </si>
  <si>
    <t xml:space="preserve"> SP:   Silver Lake Substation</t>
  </si>
  <si>
    <t xml:space="preserve"> SP:  CapX-Alexandria</t>
  </si>
  <si>
    <t>Alex Sub-Land</t>
  </si>
  <si>
    <t>Alex Sub-SW</t>
  </si>
  <si>
    <t>Alex Sub-Lake Mina</t>
  </si>
  <si>
    <t>Alex Rec Reroute</t>
  </si>
  <si>
    <t>Alex Rec Structures</t>
  </si>
  <si>
    <t>Alex Grant County</t>
  </si>
  <si>
    <t>004-146142</t>
  </si>
  <si>
    <t>004-146143</t>
  </si>
  <si>
    <t>004-146144</t>
  </si>
  <si>
    <t>004-146145</t>
  </si>
  <si>
    <t>004-146148</t>
  </si>
  <si>
    <t>004-146149</t>
  </si>
  <si>
    <t>ER08-296 &amp; ER09-1049</t>
  </si>
  <si>
    <t>ER10-2142 &amp; PA10-13-000</t>
  </si>
  <si>
    <t>ER08-394 &amp; ER10-2701 &amp; ER11-4081</t>
  </si>
  <si>
    <t>EL07-92, EL07-86, EL07-88, ER04-691-089, ER09-411, ER11-2275</t>
  </si>
  <si>
    <t>RM10-17 &amp; ER11-4337</t>
  </si>
  <si>
    <t>ER11-2059 &amp; ER11-3415-000</t>
  </si>
  <si>
    <t>Attachment O-MRES</t>
  </si>
  <si>
    <t>For the 12 months ended 12/31/2012</t>
  </si>
  <si>
    <t>Clean Version</t>
  </si>
  <si>
    <t>(page 4, line 34)</t>
  </si>
  <si>
    <t>(page 4, line 37)</t>
  </si>
  <si>
    <t>6a</t>
  </si>
  <si>
    <t>Historic Year Actual ATRR</t>
  </si>
  <si>
    <t>6b</t>
  </si>
  <si>
    <t>Historic Year Projected ATRR</t>
  </si>
  <si>
    <t>6c</t>
  </si>
  <si>
    <t>Historic Year ATRR True-Up</t>
  </si>
  <si>
    <t>(line 6a - line 6b)</t>
  </si>
  <si>
    <t>6d</t>
  </si>
  <si>
    <t>Historic Year Actual Divisor</t>
  </si>
  <si>
    <t>6e</t>
  </si>
  <si>
    <t>Historic Year Projected Divisor</t>
  </si>
  <si>
    <t>6f</t>
  </si>
  <si>
    <t>Difference in Divisor</t>
  </si>
  <si>
    <t>(line 6e- line 6d)</t>
  </si>
  <si>
    <t>6g</t>
  </si>
  <si>
    <t>Historic Year Projected Annual Cost ($/kW/Yr)</t>
  </si>
  <si>
    <t>6h</t>
  </si>
  <si>
    <t>Historic Year Divisor True-Up</t>
  </si>
  <si>
    <t>(line 6f * line 6g)</t>
  </si>
  <si>
    <t>6i</t>
  </si>
  <si>
    <t>Interest on Historic Year True-Up</t>
  </si>
  <si>
    <t>(line1  - line 6 + Line 6c+ line 6h+ line 6i)</t>
  </si>
  <si>
    <t>GROSS PLANT IN SERVICE (Note AA and Note GG)</t>
  </si>
  <si>
    <t>IV.7.e less Line 2a</t>
  </si>
  <si>
    <t>2a</t>
  </si>
  <si>
    <r>
      <t xml:space="preserve">Transmission for projects with FERC approved incentives (Note </t>
    </r>
    <r>
      <rPr>
        <sz val="12"/>
        <rFont val="Arial MT"/>
      </rPr>
      <t>EE)</t>
    </r>
  </si>
  <si>
    <t>IV.1e and IV.9.e</t>
  </si>
  <si>
    <t>ACCUMULATED DEPRECIATION (Note AA and Note GG)</t>
  </si>
  <si>
    <t>8a</t>
  </si>
  <si>
    <t>Transmission for projects with FERC approved incentives (Note EE)</t>
  </si>
  <si>
    <t>NET PLANT IN SERVICE (Note GG)</t>
  </si>
  <si>
    <t>14a</t>
  </si>
  <si>
    <t>Transmission for projects with FERC approved incentives (Line 2a - line 8a) (Note EE )</t>
  </si>
  <si>
    <t>18a</t>
  </si>
  <si>
    <t>CWIP for projects with FERC approved incentives (Note CC and Note GG)</t>
  </si>
  <si>
    <t xml:space="preserve">  Account No. 281 (enter negative)</t>
  </si>
  <si>
    <t>23a</t>
  </si>
  <si>
    <t>Unamortized balance of Abandoned Plant (Note DD and Note GG)</t>
  </si>
  <si>
    <t>LAND HELD FOR FUTURE USE (Note GG)</t>
  </si>
  <si>
    <t xml:space="preserve">  Materials &amp; Supplies (Note GG)</t>
  </si>
  <si>
    <t xml:space="preserve">  Prepayments (Note GG)</t>
  </si>
  <si>
    <t>RATE BASE  earning ACSR (lines 18+24+25+29-14a-23a)</t>
  </si>
  <si>
    <t>30a</t>
  </si>
  <si>
    <t>RATE BASE earning HCSR (lines 14a+18a+23a)</t>
  </si>
  <si>
    <t>Third Revised Sheet No. 2636</t>
  </si>
  <si>
    <t>Superseding Second Revised Sheet No. 2636</t>
  </si>
  <si>
    <t>O&amp;M (Note BB)</t>
  </si>
  <si>
    <t>DEPRECIATION AND AMORTIZATION EXPENSE (Note AA)</t>
  </si>
  <si>
    <t>9a</t>
  </si>
  <si>
    <t>Abandoned Plant Amortization (Note DD)</t>
  </si>
  <si>
    <t xml:space="preserve">TAXES OTHER THAN INCOME TAXES  (Note J) </t>
  </si>
  <si>
    <t xml:space="preserve">       where WCLTD=(page 4, line 22) and R= (page 4, line 24)</t>
  </si>
  <si>
    <t>RETURN from ACSR</t>
  </si>
  <si>
    <t xml:space="preserve">  [ Rate Base (page 2, line 30 + 30a) * Rate of Return (page 4, line 24)]</t>
  </si>
  <si>
    <t>28a</t>
  </si>
  <si>
    <t>RETURN from HCSR</t>
  </si>
  <si>
    <t xml:space="preserve">  [ Rate Base (page 2, line 30a) * Rate of Return (page 4, line 30)]</t>
  </si>
  <si>
    <t>REV. REQUIREMENT  (sum lines 8, 12, 20, 27, 28 and 28a)</t>
  </si>
  <si>
    <t>LESS ATTACHMENT MM ADJUSTMENT [Attachment MM, page 2, line 3</t>
  </si>
  <si>
    <t>column 14] (Note Y)</t>
  </si>
  <si>
    <t>[Revenue Requirement for facilities included on page 2, line 2 and also included</t>
  </si>
  <si>
    <t>in Attachment MM]</t>
  </si>
  <si>
    <t>(line 29 - line 30 - line 30a)</t>
  </si>
  <si>
    <t>Effective:  January 1, 2010</t>
  </si>
  <si>
    <t>Issued on:  September 30, 2009</t>
  </si>
  <si>
    <t>Total transmission plant  (page 2, line 2 and 2a, column 3)</t>
  </si>
  <si>
    <t>Acct 561 included in Line 7?</t>
  </si>
  <si>
    <t>Acct 561 available for Schedule 1</t>
  </si>
  <si>
    <t>Net Schedule 1 Expenses (Acct 561 minus Credits)</t>
  </si>
  <si>
    <t>ACTUAL CAPITAL STRUCTURE RETURN (ACSR)</t>
  </si>
  <si>
    <t xml:space="preserve">              Long Term Interest </t>
  </si>
  <si>
    <t xml:space="preserve">  Long Term Debt (Note GG)</t>
  </si>
  <si>
    <t>II 37.b</t>
  </si>
  <si>
    <t xml:space="preserve">  Proprietary Capital (Note GG)</t>
  </si>
  <si>
    <t>HYPOTHETICAL CAPITAL STRUCTURE RETURN (HCSR) (NOTE FF)</t>
  </si>
  <si>
    <t xml:space="preserve">  Long Term Debt 9 (Cost of Long-term Debt from page 4, line 22)</t>
  </si>
  <si>
    <t xml:space="preserve">  Proprietary Capital (Cost of Proprietary Capital from page 4, line 25)</t>
  </si>
  <si>
    <t>Total  (sum lines 27, 28)</t>
  </si>
  <si>
    <t>Annual Allocation Factor for Incentive Return (line 29 minus line 24)</t>
  </si>
  <si>
    <t>Line 31 must be supported by notes in Form 412 or detailed Schedule</t>
  </si>
  <si>
    <t>Line 32 must be supported by notes in Form 412 or detailed Schedule</t>
  </si>
  <si>
    <t>36a</t>
  </si>
  <si>
    <t xml:space="preserve">  c. Transmission charges associated with Schedules 26 and 37 (Note X)</t>
  </si>
  <si>
    <t>36b</t>
  </si>
  <si>
    <t xml:space="preserve">  d.Transsmission charges associated with Schedule 26-A (Note Z)</t>
  </si>
  <si>
    <t xml:space="preserve">  Total of (a)-(b)-(c)-(d)</t>
  </si>
  <si>
    <t>Second Revised Sheet No. 2638</t>
  </si>
  <si>
    <t>Superseding First Revised Sheet No. 2638</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</si>
  <si>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</si>
  <si>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</si>
  <si>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From Reference III.17.b include only the amount from accounts 428, 429, and 430.</t>
  </si>
  <si>
    <r>
      <t>Account Nos. 561.4 and 561.8</t>
    </r>
    <r>
      <rPr>
        <sz val="12"/>
        <rFont val="Times New Roman"/>
        <family val="1"/>
      </rPr>
      <t xml:space="preserve"> consist of RTO expenses billed to load-serving entities and are not included in Transmission Owner revenue requirements.</t>
    </r>
  </si>
  <si>
    <t>Removes from revenue credits revenues that are distributed pursuant to Schedules 26 and 37 of the Midwest ISO Tariff, since the Transmission Owner's Attachment O revenue requirements have already been reduced by the Attachment GG revenue requirements.</t>
  </si>
  <si>
    <t>Y</t>
  </si>
  <si>
    <t>Pursuant to Attachment MM of the Midwest ISO Tariff, removes dollar amount of revenue requirements calculated pursuant to Attachment MM and recovered under Schedule 26-A of the Midwest ISO Tariff.</t>
  </si>
  <si>
    <t>Z</t>
  </si>
  <si>
    <t>Removes from revenue credits revenues that are distributed pursuant to Schedule 26-A of the Midwest ISO Tariff, since the Transmission Owner's Attachment O revenue requirements have already been reduced by the Attachment MM revenue requirements.</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</si>
  <si>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</si>
  <si>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</si>
  <si>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</si>
  <si>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</si>
  <si>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CC</t>
  </si>
  <si>
    <t>The CWIP balance on Page 2, Line 18a is the 13 month average for the transmission projects approved for included CWIP in rate base by FERC.   The projects approved for 100% CWIP recovery do not include any AFUDC in the CWIP balances.</t>
  </si>
  <si>
    <t>DD</t>
  </si>
  <si>
    <t>Page 2, Line 23a includes any unamortized balances related to the recovery of abandoned plant costs for the projects approved by FERC.  Page 3, Line 9a is the annual amortization expense of abandoned plant costs for the projects approved by FERC.  No abandoned plant costs will be included until approved by FERC under a separate docket.</t>
  </si>
  <si>
    <t>EE</t>
  </si>
  <si>
    <t>Includes the transmission gross plant in-service (line 2a, page 2 of 5), accumulated depreciation (line 8a, page 2 of 5) and net transmission plant in-service (line 14a, page 2 of 5) for the transmission projects granted a hypothetical capital structure of 55% debt and 45% equity by FERC.  These transmission plant balances do not include any AFUDC.</t>
  </si>
  <si>
    <t>FF</t>
  </si>
  <si>
    <t>The Hypothetical Capital Structure Return (HCSR) calculation is only applicable to the projects approved by FERC that use a hypothetical capital structure of 55% debt and 45% equity.</t>
  </si>
  <si>
    <t>GG</t>
  </si>
  <si>
    <r>
      <t>Calculated using</t>
    </r>
    <r>
      <rPr>
        <strike/>
        <sz val="12"/>
        <rFont val="Tahoma"/>
        <family val="2"/>
      </rPr>
      <t xml:space="preserve"> </t>
    </r>
    <r>
      <rPr>
        <sz val="12"/>
        <rFont val="Times New Roman"/>
        <family val="1"/>
      </rPr>
      <t>13 month average balance.</t>
    </r>
  </si>
  <si>
    <t>Alex Sub Phase II</t>
  </si>
  <si>
    <t>004-146159</t>
  </si>
  <si>
    <t xml:space="preserve"> SP:  WM 2012 Financing</t>
  </si>
  <si>
    <t>004-146171</t>
  </si>
  <si>
    <t>All DM salary dollars excluded from the numerator &amp; denominator for the allocation of A&amp;G expenses since A&amp;G dollars have already been allocated to DM, i.e., A&amp;G expenses on the financial statements are lower due to these dollars allocated to DM</t>
  </si>
  <si>
    <t>Balance per 12/31/12 Audited Financial Statements</t>
  </si>
  <si>
    <t>Total Account  Balance</t>
  </si>
  <si>
    <t>Total MRES/WMMPA Operating Expenses Per 12/31/12 Audit</t>
  </si>
  <si>
    <t>Updated for</t>
  </si>
  <si>
    <t>SALARY ALLOCATION</t>
  </si>
  <si>
    <t>001-45402</t>
  </si>
  <si>
    <t>Transmission Sales- Pella</t>
  </si>
  <si>
    <t>Revenues from Pella for transmission related revenue requirements.  Expenses are included in Account 565.</t>
  </si>
  <si>
    <t>001-45401</t>
  </si>
  <si>
    <t>Transmission Sales- Xcel</t>
  </si>
  <si>
    <t>Revenues from the Xcel Group for transmission related revenue requirements.  Expenses are included in Account 565.</t>
  </si>
  <si>
    <t>Attachment GG</t>
  </si>
  <si>
    <t>Attachment MM</t>
  </si>
  <si>
    <t>001-456131</t>
  </si>
  <si>
    <t>001-456132</t>
  </si>
  <si>
    <t>002-561101</t>
  </si>
  <si>
    <t>002-561201</t>
  </si>
  <si>
    <t>002-561501</t>
  </si>
  <si>
    <t>Other Income- PZ Revenue</t>
  </si>
  <si>
    <t>MRES portion of OTP Pricing Zone Revenue</t>
  </si>
  <si>
    <t>001&amp;002-45600</t>
  </si>
  <si>
    <t>001/002-456110</t>
  </si>
  <si>
    <t>Revenue from over investment in Integrated Transmission Agreement</t>
  </si>
  <si>
    <t>Revenue due to MRES overinvestment in Integrated Transmission Agreement</t>
  </si>
  <si>
    <t>Unrealized gain (loss) on investments</t>
  </si>
  <si>
    <t>Pioneer</t>
  </si>
  <si>
    <t>TAPS</t>
  </si>
  <si>
    <t>Xcel Filing</t>
  </si>
  <si>
    <t>MISO Entergy</t>
  </si>
  <si>
    <t>SPP Day 2 Filing</t>
  </si>
  <si>
    <t>Costs of MISO TO Group</t>
  </si>
  <si>
    <t>EL12-24-000</t>
  </si>
  <si>
    <t>Order 1000</t>
  </si>
  <si>
    <t>12-739</t>
  </si>
  <si>
    <t>Transmission Capacity Reassignment</t>
  </si>
  <si>
    <t>12-309</t>
  </si>
  <si>
    <t>MISO Queue Reform</t>
  </si>
  <si>
    <t>MISO MVP ARR/FTR</t>
  </si>
  <si>
    <t>Less A/C 454</t>
  </si>
  <si>
    <t>Include on Page 1, Line 2- Account 454</t>
  </si>
  <si>
    <t xml:space="preserve">Include on Page 4, Line 35- All transmission transactions </t>
  </si>
  <si>
    <t>Include on Page 4, Line 36- Transmission transactions included in Divisor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</si>
</sst>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General_)"/>
    <numFmt numFmtId="175" formatCode="_(* #,##0_);_(* \(#,##0\);_(* &quot;-&quot;??_);_(@_)"/>
    <numFmt numFmtId="176" formatCode="_(&quot;$&quot;* #,##0.0_);_(&quot;$&quot;* \(#,##0.0\);_(&quot;$&quot;* &quot;-&quot;??_);_(@_)"/>
    <numFmt numFmtId="177" formatCode="_(&quot;$&quot;* #,##0_);_(&quot;$&quot;* \(#,##0\);_(&quot;$&quot;* &quot;-&quot;??_);_(@_)"/>
    <numFmt numFmtId="178" formatCode="mm/dd/yy;@"/>
    <numFmt numFmtId="179" formatCode="0.00_)"/>
  </numFmts>
  <fonts count="85">
    <font>
      <sz val="12"/>
      <name val="Arial MT"/>
    </font>
    <font>
      <sz val="11"/>
      <color theme="1"/>
      <name val="Calibri"/>
      <family val="2"/>
      <scheme val="minor"/>
    </font>
    <font>
      <sz val="12"/>
      <name val="Times New Roman"/>
      <family val="1"/>
    </font>
    <font>
      <sz val="12"/>
      <color indexed="10"/>
      <name val="Times New Roman"/>
      <family val="1"/>
    </font>
    <font>
      <strike/>
      <sz val="12"/>
      <color indexed="10"/>
      <name val="Times New Roman"/>
      <family val="1"/>
    </font>
    <font>
      <b/>
      <sz val="12"/>
      <name val="Times New Roman"/>
      <family val="1"/>
    </font>
    <font>
      <sz val="10"/>
      <name val="Arial"/>
      <family val="2"/>
    </font>
    <font>
      <b/>
      <u/>
      <sz val="10"/>
      <name val="Arial"/>
      <family val="2"/>
    </font>
    <font>
      <b/>
      <u val="singleAccounting"/>
      <sz val="9"/>
      <name val="Arial"/>
      <family val="2"/>
    </font>
    <font>
      <sz val="9"/>
      <name val="Arial"/>
      <family val="2"/>
    </font>
    <font>
      <b/>
      <sz val="10"/>
      <name val="Arial"/>
      <family val="2"/>
    </font>
    <font>
      <sz val="10"/>
      <name val="Arial"/>
      <family val="2"/>
    </font>
    <font>
      <b/>
      <u/>
      <sz val="10"/>
      <color indexed="12"/>
      <name val="Arial"/>
      <family val="2"/>
    </font>
    <font>
      <b/>
      <sz val="10"/>
      <color indexed="9"/>
      <name val="Arial"/>
      <family val="2"/>
    </font>
    <font>
      <b/>
      <u val="doubleAccounting"/>
      <sz val="10"/>
      <name val="Arial"/>
      <family val="2"/>
    </font>
    <font>
      <b/>
      <u val="singleAccounting"/>
      <sz val="10"/>
      <name val="Arial"/>
      <family val="2"/>
    </font>
    <font>
      <sz val="9"/>
      <color indexed="8"/>
      <name val="Arial"/>
      <family val="2"/>
    </font>
    <font>
      <u val="singleAccounting"/>
      <sz val="9"/>
      <color indexed="8"/>
      <name val="Arial"/>
      <family val="2"/>
    </font>
    <font>
      <sz val="8"/>
      <name val="Arial"/>
      <family val="2"/>
    </font>
    <font>
      <b/>
      <u/>
      <sz val="9"/>
      <name val="Arial"/>
      <family val="2"/>
    </font>
    <font>
      <u val="singleAccounting"/>
      <sz val="8"/>
      <name val="Arial"/>
      <family val="2"/>
    </font>
    <font>
      <u val="doubleAccounting"/>
      <sz val="8"/>
      <name val="Arial"/>
      <family val="2"/>
    </font>
    <font>
      <b/>
      <u/>
      <sz val="8"/>
      <name val="Arial"/>
      <family val="2"/>
    </font>
    <font>
      <u val="double"/>
      <sz val="9"/>
      <name val="Arial"/>
      <family val="2"/>
    </font>
    <font>
      <b/>
      <sz val="9"/>
      <name val="Arial"/>
      <family val="2"/>
    </font>
    <font>
      <u/>
      <sz val="9"/>
      <color indexed="12"/>
      <name val="Arial"/>
      <family val="2"/>
    </font>
    <font>
      <u/>
      <sz val="9"/>
      <name val="Arial"/>
      <family val="2"/>
    </font>
    <font>
      <sz val="9"/>
      <color indexed="12"/>
      <name val="Arial"/>
      <family val="2"/>
    </font>
    <font>
      <sz val="9"/>
      <color indexed="10"/>
      <name val="Arial"/>
      <family val="2"/>
    </font>
    <font>
      <sz val="9"/>
      <color indexed="17"/>
      <name val="Arial"/>
      <family val="2"/>
    </font>
    <font>
      <b/>
      <u val="double"/>
      <sz val="10"/>
      <name val="Arial"/>
      <family val="2"/>
    </font>
    <font>
      <b/>
      <u val="double"/>
      <sz val="9"/>
      <name val="Arial"/>
      <family val="2"/>
    </font>
    <font>
      <sz val="9"/>
      <color indexed="48"/>
      <name val="Arial"/>
      <family val="2"/>
    </font>
    <font>
      <b/>
      <i/>
      <sz val="9"/>
      <name val="Arial"/>
      <family val="2"/>
    </font>
    <font>
      <u/>
      <sz val="9"/>
      <color indexed="10"/>
      <name val="Arial"/>
      <family val="2"/>
    </font>
    <font>
      <u val="doubleAccounting"/>
      <sz val="9"/>
      <name val="Arial"/>
      <family val="2"/>
    </font>
    <font>
      <u val="singleAccounting"/>
      <sz val="9"/>
      <name val="Arial"/>
      <family val="2"/>
    </font>
    <font>
      <b/>
      <i/>
      <sz val="16"/>
      <name val="Helv"/>
    </font>
    <font>
      <sz val="12"/>
      <name val="Arial"/>
      <family val="2"/>
    </font>
    <font>
      <sz val="9"/>
      <name val="Arial MT"/>
    </font>
    <font>
      <b/>
      <u val="singleAccounting"/>
      <sz val="12"/>
      <name val="Cambria"/>
      <family val="1"/>
    </font>
    <font>
      <b/>
      <u val="singleAccounting"/>
      <sz val="12"/>
      <name val="Arial"/>
      <family val="2"/>
    </font>
    <font>
      <sz val="10"/>
      <color indexed="8"/>
      <name val="Arial"/>
      <family val="2"/>
    </font>
    <font>
      <u/>
      <sz val="12"/>
      <name val="Arial MT"/>
    </font>
    <font>
      <u val="double"/>
      <sz val="12"/>
      <name val="Arial MT"/>
    </font>
    <font>
      <sz val="8"/>
      <color indexed="8"/>
      <name val="Arial"/>
      <family val="2"/>
    </font>
    <font>
      <sz val="11"/>
      <name val="Calibri"/>
      <family val="2"/>
    </font>
    <font>
      <sz val="11"/>
      <name val="Arial MT"/>
    </font>
    <font>
      <b/>
      <u val="doubleAccounting"/>
      <sz val="11"/>
      <name val="Arial MT"/>
    </font>
    <font>
      <sz val="12"/>
      <name val="Helv"/>
    </font>
    <font>
      <b/>
      <u val="double"/>
      <sz val="9"/>
      <color indexed="8"/>
      <name val="Arial"/>
      <family val="2"/>
    </font>
    <font>
      <b/>
      <sz val="9"/>
      <color indexed="8"/>
      <name val="Arial"/>
      <family val="2"/>
    </font>
    <font>
      <b/>
      <u/>
      <sz val="9"/>
      <color indexed="8"/>
      <name val="Arial"/>
      <family val="2"/>
    </font>
    <font>
      <b/>
      <sz val="11"/>
      <color theme="1"/>
      <name val="Calibri"/>
      <family val="2"/>
      <scheme val="minor"/>
    </font>
    <font>
      <sz val="9"/>
      <color rgb="FF7030A0"/>
      <name val="Arial"/>
      <family val="2"/>
    </font>
    <font>
      <sz val="9"/>
      <color rgb="FF0000FF"/>
      <name val="Arial"/>
      <family val="2"/>
    </font>
    <font>
      <sz val="9"/>
      <color rgb="FF00B050"/>
      <name val="Arial"/>
      <family val="2"/>
    </font>
    <font>
      <sz val="9"/>
      <color rgb="FFFF0000"/>
      <name val="Arial"/>
      <family val="2"/>
    </font>
    <font>
      <u val="singleAccounting"/>
      <sz val="9"/>
      <color rgb="FF00B050"/>
      <name val="Arial"/>
      <family val="2"/>
    </font>
    <font>
      <u val="doubleAccounting"/>
      <sz val="11"/>
      <color theme="1"/>
      <name val="Calibri"/>
      <family val="2"/>
      <scheme val="minor"/>
    </font>
    <font>
      <b/>
      <u/>
      <sz val="11"/>
      <color theme="1"/>
      <name val="Calibri"/>
      <family val="2"/>
      <scheme val="minor"/>
    </font>
    <font>
      <sz val="11"/>
      <color theme="1"/>
      <name val="Times New Roman"/>
      <family val="1"/>
    </font>
    <font>
      <sz val="12"/>
      <color theme="1"/>
      <name val="Times New Roman"/>
      <family val="1"/>
    </font>
    <font>
      <b/>
      <sz val="9"/>
      <color theme="1"/>
      <name val="Arial"/>
      <family val="2"/>
    </font>
    <font>
      <u val="singleAccounting"/>
      <sz val="9"/>
      <color theme="1"/>
      <name val="Arial"/>
      <family val="2"/>
    </font>
    <font>
      <sz val="9"/>
      <color theme="1"/>
      <name val="Arial"/>
      <family val="2"/>
    </font>
    <font>
      <b/>
      <u/>
      <sz val="9"/>
      <color theme="1"/>
      <name val="Arial"/>
      <family val="2"/>
    </font>
    <font>
      <b/>
      <u val="singleAccounting"/>
      <sz val="9"/>
      <color theme="1"/>
      <name val="Calibri"/>
      <family val="2"/>
      <scheme val="minor"/>
    </font>
    <font>
      <u val="double"/>
      <sz val="9"/>
      <color theme="1"/>
      <name val="Arial"/>
      <family val="2"/>
    </font>
    <font>
      <u val="doubleAccounting"/>
      <sz val="9"/>
      <color theme="1"/>
      <name val="Arial"/>
      <family val="2"/>
    </font>
    <font>
      <b/>
      <sz val="14"/>
      <color theme="1"/>
      <name val="Calibri"/>
      <family val="2"/>
      <scheme val="minor"/>
    </font>
    <font>
      <u val="double"/>
      <sz val="12"/>
      <name val="Times New Roman"/>
      <family val="1"/>
    </font>
    <font>
      <strike/>
      <sz val="12"/>
      <name val="Times New Roman"/>
      <family val="1"/>
    </font>
    <font>
      <u/>
      <sz val="12"/>
      <name val="Times New Roman"/>
      <family val="1"/>
    </font>
    <font>
      <sz val="10"/>
      <name val="Times New Roman"/>
      <family val="1"/>
    </font>
    <font>
      <strike/>
      <sz val="12"/>
      <name val="Tahoma"/>
      <family val="2"/>
    </font>
    <font>
      <sz val="10"/>
      <name val="Arial MT"/>
    </font>
    <font>
      <u val="singleAccounting"/>
      <sz val="12"/>
      <name val="Times New Roman"/>
      <family val="1"/>
    </font>
    <font>
      <u val="doubleAccounting"/>
      <sz val="12"/>
      <name val="Times New Roman"/>
      <family val="1"/>
    </font>
    <font>
      <sz val="12"/>
      <name val="Arial MT"/>
    </font>
    <font>
      <sz val="10"/>
      <name val="Arial Narrow"/>
      <family val="2"/>
    </font>
    <font>
      <u val="doubleAccounting"/>
      <sz val="11"/>
      <name val="Arial MT"/>
    </font>
    <font>
      <u val="singleAccounting"/>
      <sz val="10"/>
      <name val="Arial MT"/>
    </font>
    <font>
      <b/>
      <u/>
      <sz val="12"/>
      <name val="Times New Roman"/>
      <family val="1"/>
    </font>
    <font>
      <u val="singleAccounting"/>
      <sz val="12"/>
      <name val="Arial MT"/>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12"/>
        <bgColor indexed="64"/>
      </patternFill>
    </fill>
    <fill>
      <patternFill patternType="solid">
        <fgColor rgb="FFFFFF00"/>
        <bgColor indexed="64"/>
      </patternFill>
    </fill>
    <fill>
      <patternFill patternType="solid">
        <fgColor rgb="FFFFFF9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auto="1"/>
      </top>
      <bottom style="double">
        <color auto="1"/>
      </bottom>
      <diagonal/>
    </border>
  </borders>
  <cellStyleXfs count="30">
    <xf numFmtId="173" fontId="0" fillId="0" borderId="0" applyProtection="0"/>
    <xf numFmtId="43" fontId="6" fillId="0" borderId="0" applyFont="0" applyFill="0" applyBorder="0" applyAlignment="0" applyProtection="0"/>
    <xf numFmtId="43" fontId="9" fillId="0" borderId="0" applyFont="0" applyFill="0" applyBorder="0" applyAlignment="0" applyProtection="0"/>
    <xf numFmtId="44" fontId="6" fillId="0" borderId="0" applyFont="0" applyFill="0" applyBorder="0" applyAlignment="0" applyProtection="0"/>
    <xf numFmtId="44" fontId="9" fillId="0" borderId="0" applyFont="0" applyFill="0" applyBorder="0" applyAlignment="0" applyProtection="0"/>
    <xf numFmtId="38" fontId="18" fillId="2" borderId="0" applyNumberFormat="0" applyBorder="0" applyAlignment="0" applyProtection="0"/>
    <xf numFmtId="10" fontId="18" fillId="3" borderId="1" applyNumberFormat="0" applyBorder="0" applyAlignment="0" applyProtection="0"/>
    <xf numFmtId="179" fontId="37" fillId="0" borderId="0"/>
    <xf numFmtId="0" fontId="6" fillId="0" borderId="0"/>
    <xf numFmtId="0" fontId="9" fillId="0" borderId="0"/>
    <xf numFmtId="174" fontId="49" fillId="0" borderId="0"/>
    <xf numFmtId="0" fontId="42" fillId="0" borderId="0"/>
    <xf numFmtId="0" fontId="9" fillId="0" borderId="0"/>
    <xf numFmtId="9"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43" fontId="79" fillId="0" borderId="0" applyFont="0" applyFill="0" applyBorder="0" applyAlignment="0" applyProtection="0"/>
    <xf numFmtId="9" fontId="79"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80" fillId="0" borderId="0">
      <alignment vertical="top"/>
    </xf>
    <xf numFmtId="0" fontId="1" fillId="0" borderId="0"/>
    <xf numFmtId="9" fontId="1" fillId="0" borderId="0" applyFont="0" applyFill="0" applyBorder="0" applyAlignment="0" applyProtection="0"/>
    <xf numFmtId="0" fontId="6" fillId="0" borderId="0"/>
    <xf numFmtId="0" fontId="6" fillId="0" borderId="0"/>
    <xf numFmtId="173" fontId="79" fillId="0" borderId="0" applyProtection="0"/>
    <xf numFmtId="0" fontId="1" fillId="0" borderId="0"/>
    <xf numFmtId="9" fontId="1" fillId="0" borderId="0" applyFont="0" applyFill="0" applyBorder="0" applyAlignment="0" applyProtection="0"/>
  </cellStyleXfs>
  <cellXfs count="636">
    <xf numFmtId="173" fontId="0" fillId="0" borderId="0" xfId="0" applyAlignment="1"/>
    <xf numFmtId="0" fontId="2" fillId="0" borderId="0" xfId="0" applyNumberFormat="1" applyFont="1" applyAlignment="1" applyProtection="1">
      <protection locked="0"/>
    </xf>
    <xf numFmtId="173" fontId="2" fillId="0" borderId="0" xfId="0" applyFont="1" applyAlignment="1"/>
    <xf numFmtId="173" fontId="4" fillId="0" borderId="0" xfId="0" applyFont="1" applyAlignment="1"/>
    <xf numFmtId="173" fontId="2" fillId="0" borderId="0" xfId="0" applyFont="1" applyFill="1" applyAlignment="1"/>
    <xf numFmtId="164" fontId="2" fillId="0" borderId="0" xfId="0" applyNumberFormat="1" applyFont="1" applyAlignment="1" applyProtection="1">
      <alignment horizontal="left"/>
      <protection locked="0"/>
    </xf>
    <xf numFmtId="173" fontId="3" fillId="0" borderId="0" xfId="0" applyFont="1" applyAlignment="1"/>
    <xf numFmtId="173" fontId="2" fillId="0" borderId="0" xfId="0" applyFont="1" applyBorder="1" applyAlignment="1"/>
    <xf numFmtId="173" fontId="2" fillId="0" borderId="4" xfId="0" applyFont="1" applyBorder="1" applyAlignment="1"/>
    <xf numFmtId="173" fontId="2" fillId="0" borderId="6" xfId="0" applyFont="1" applyBorder="1" applyAlignment="1"/>
    <xf numFmtId="0" fontId="2" fillId="0" borderId="0" xfId="0" applyNumberFormat="1" applyFont="1" applyBorder="1" applyAlignment="1" applyProtection="1">
      <protection locked="0"/>
    </xf>
    <xf numFmtId="0" fontId="2" fillId="0" borderId="4" xfId="0" applyNumberFormat="1" applyFont="1" applyBorder="1" applyAlignment="1">
      <alignment horizontal="center"/>
    </xf>
    <xf numFmtId="0" fontId="7" fillId="0" borderId="0" xfId="8" applyFont="1" applyAlignment="1">
      <alignment horizontal="center"/>
    </xf>
    <xf numFmtId="0" fontId="6" fillId="0" borderId="0" xfId="8"/>
    <xf numFmtId="0" fontId="8" fillId="0" borderId="0" xfId="8" applyFont="1" applyAlignment="1">
      <alignment horizontal="center"/>
    </xf>
    <xf numFmtId="0" fontId="9" fillId="0" borderId="0" xfId="8" applyFont="1"/>
    <xf numFmtId="0" fontId="10" fillId="0" borderId="0" xfId="8" applyFont="1" applyAlignment="1">
      <alignment horizontal="center"/>
    </xf>
    <xf numFmtId="0" fontId="9" fillId="0" borderId="0" xfId="8" applyFont="1" applyAlignment="1">
      <alignment horizontal="center"/>
    </xf>
    <xf numFmtId="0" fontId="11" fillId="0" borderId="0" xfId="8" applyFont="1"/>
    <xf numFmtId="0" fontId="9" fillId="0" borderId="0" xfId="8" applyFont="1" applyFill="1" applyAlignment="1"/>
    <xf numFmtId="0" fontId="6" fillId="0" borderId="0" xfId="8" applyAlignment="1">
      <alignment vertical="center"/>
    </xf>
    <xf numFmtId="0" fontId="12" fillId="0" borderId="0" xfId="8" applyFont="1" applyAlignment="1">
      <alignment vertical="center"/>
    </xf>
    <xf numFmtId="0" fontId="6" fillId="0" borderId="0" xfId="8" applyAlignment="1">
      <alignment horizontal="left" vertical="center" wrapText="1" indent="1"/>
    </xf>
    <xf numFmtId="0" fontId="6" fillId="0" borderId="0" xfId="8" applyAlignment="1">
      <alignment horizontal="center" vertical="center" wrapText="1"/>
    </xf>
    <xf numFmtId="0" fontId="13" fillId="5" borderId="9" xfId="8" applyFont="1" applyFill="1" applyBorder="1" applyAlignment="1">
      <alignment horizontal="center" vertical="center"/>
    </xf>
    <xf numFmtId="0" fontId="13" fillId="5" borderId="9" xfId="8" applyFont="1" applyFill="1" applyBorder="1" applyAlignment="1">
      <alignment horizontal="left" vertical="center" wrapText="1" indent="1"/>
    </xf>
    <xf numFmtId="0" fontId="13" fillId="5" borderId="9" xfId="8" applyFont="1" applyFill="1" applyBorder="1" applyAlignment="1">
      <alignment horizontal="center" vertical="center" wrapText="1"/>
    </xf>
    <xf numFmtId="0" fontId="6" fillId="0" borderId="0" xfId="8" applyAlignment="1">
      <alignment horizontal="center" vertical="center"/>
    </xf>
    <xf numFmtId="0" fontId="11" fillId="0" borderId="9" xfId="8" applyFont="1" applyBorder="1" applyAlignment="1">
      <alignment horizontal="center" vertical="center"/>
    </xf>
    <xf numFmtId="0" fontId="6" fillId="0" borderId="9" xfId="8" applyBorder="1" applyAlignment="1">
      <alignment horizontal="left" vertical="center" wrapText="1" indent="1"/>
    </xf>
    <xf numFmtId="0" fontId="6" fillId="0" borderId="9" xfId="8" applyBorder="1" applyAlignment="1">
      <alignment horizontal="center" vertical="center" wrapText="1"/>
    </xf>
    <xf numFmtId="0" fontId="11" fillId="0" borderId="9" xfId="8" applyFont="1" applyBorder="1" applyAlignment="1">
      <alignment horizontal="left" vertical="center" wrapText="1" indent="1"/>
    </xf>
    <xf numFmtId="0" fontId="11" fillId="0" borderId="9" xfId="8" applyFont="1" applyBorder="1" applyAlignment="1">
      <alignment horizontal="center" vertical="center" wrapText="1"/>
    </xf>
    <xf numFmtId="0" fontId="6" fillId="0" borderId="2" xfId="8" applyBorder="1" applyAlignment="1">
      <alignment horizontal="left" vertical="center" wrapText="1" indent="1"/>
    </xf>
    <xf numFmtId="0" fontId="6" fillId="0" borderId="2" xfId="8" applyBorder="1" applyAlignment="1">
      <alignment vertical="center"/>
    </xf>
    <xf numFmtId="0" fontId="6" fillId="0" borderId="10" xfId="8" applyBorder="1" applyAlignment="1">
      <alignment horizontal="center" vertical="center" wrapText="1"/>
    </xf>
    <xf numFmtId="44" fontId="0" fillId="0" borderId="0" xfId="3" applyFont="1" applyAlignment="1">
      <alignment vertical="center"/>
    </xf>
    <xf numFmtId="0" fontId="10" fillId="0" borderId="0" xfId="8" applyFont="1" applyAlignment="1">
      <alignment horizontal="center" vertical="center" wrapText="1"/>
    </xf>
    <xf numFmtId="41" fontId="17" fillId="0" borderId="0" xfId="8" applyNumberFormat="1" applyFont="1" applyFill="1" applyProtection="1">
      <protection locked="0"/>
    </xf>
    <xf numFmtId="177" fontId="11" fillId="0" borderId="9" xfId="3" applyNumberFormat="1" applyFont="1" applyBorder="1" applyAlignment="1">
      <alignment vertical="center"/>
    </xf>
    <xf numFmtId="0" fontId="11" fillId="0" borderId="11" xfId="8" applyFont="1" applyBorder="1" applyAlignment="1">
      <alignment horizontal="left" vertical="center" wrapText="1" indent="1"/>
    </xf>
    <xf numFmtId="177" fontId="11" fillId="0" borderId="9" xfId="3" applyNumberFormat="1" applyFont="1" applyBorder="1" applyAlignment="1">
      <alignment horizontal="center" vertical="center"/>
    </xf>
    <xf numFmtId="177" fontId="11" fillId="0" borderId="12" xfId="3" applyNumberFormat="1" applyFont="1" applyFill="1" applyBorder="1" applyAlignment="1">
      <alignment vertical="center"/>
    </xf>
    <xf numFmtId="0" fontId="6" fillId="0" borderId="11" xfId="8" applyBorder="1" applyAlignment="1">
      <alignment horizontal="left" vertical="center" wrapText="1" indent="1"/>
    </xf>
    <xf numFmtId="177" fontId="11" fillId="0" borderId="0" xfId="3" applyNumberFormat="1" applyFont="1" applyAlignment="1">
      <alignment horizontal="center" vertical="center"/>
    </xf>
    <xf numFmtId="0" fontId="10" fillId="0" borderId="13" xfId="8" applyFont="1" applyBorder="1" applyAlignment="1">
      <alignment horizontal="left" vertical="center" indent="1"/>
    </xf>
    <xf numFmtId="0" fontId="6" fillId="0" borderId="12" xfId="8" applyBorder="1" applyAlignment="1">
      <alignment horizontal="left" vertical="center" wrapText="1" indent="1"/>
    </xf>
    <xf numFmtId="0" fontId="6" fillId="0" borderId="12" xfId="8" applyBorder="1" applyAlignment="1">
      <alignment vertical="center"/>
    </xf>
    <xf numFmtId="177" fontId="14" fillId="0" borderId="12" xfId="8" applyNumberFormat="1" applyFont="1" applyBorder="1" applyAlignment="1">
      <alignment vertical="center"/>
    </xf>
    <xf numFmtId="0" fontId="6" fillId="0" borderId="12" xfId="8" applyBorder="1" applyAlignment="1">
      <alignment horizontal="center" vertical="center" wrapText="1"/>
    </xf>
    <xf numFmtId="44" fontId="6" fillId="0" borderId="0" xfId="3" applyAlignment="1">
      <alignment vertical="center"/>
    </xf>
    <xf numFmtId="177" fontId="6" fillId="0" borderId="0" xfId="3" applyNumberFormat="1" applyAlignment="1">
      <alignment vertical="center"/>
    </xf>
    <xf numFmtId="177" fontId="18" fillId="0" borderId="0" xfId="3" applyNumberFormat="1" applyFont="1"/>
    <xf numFmtId="0" fontId="9" fillId="0" borderId="0" xfId="12" applyFont="1"/>
    <xf numFmtId="0" fontId="9" fillId="0" borderId="0" xfId="12" applyFont="1" applyAlignment="1">
      <alignment horizontal="center"/>
    </xf>
    <xf numFmtId="0" fontId="9" fillId="0" borderId="0" xfId="12"/>
    <xf numFmtId="0" fontId="9" fillId="0" borderId="0" xfId="12" applyAlignment="1">
      <alignment horizontal="center"/>
    </xf>
    <xf numFmtId="177" fontId="9" fillId="0" borderId="0" xfId="3" applyNumberFormat="1" applyFont="1"/>
    <xf numFmtId="0" fontId="9" fillId="0" borderId="0" xfId="12" applyAlignment="1"/>
    <xf numFmtId="177" fontId="9" fillId="0" borderId="0" xfId="12" applyNumberFormat="1"/>
    <xf numFmtId="0" fontId="25" fillId="0" borderId="0" xfId="12" applyFont="1"/>
    <xf numFmtId="0" fontId="26" fillId="0" borderId="0" xfId="12" applyFont="1" applyAlignment="1">
      <alignment horizontal="center"/>
    </xf>
    <xf numFmtId="0" fontId="9" fillId="0" borderId="0" xfId="12" applyAlignment="1">
      <alignment horizontal="left" wrapText="1" indent="1"/>
    </xf>
    <xf numFmtId="0" fontId="26" fillId="0" borderId="0" xfId="8" applyFont="1"/>
    <xf numFmtId="0" fontId="27" fillId="0" borderId="0" xfId="12" applyFont="1"/>
    <xf numFmtId="175" fontId="9" fillId="0" borderId="0" xfId="1" applyNumberFormat="1" applyFont="1"/>
    <xf numFmtId="177" fontId="28" fillId="0" borderId="0" xfId="3" applyNumberFormat="1" applyFont="1"/>
    <xf numFmtId="0" fontId="29" fillId="0" borderId="0" xfId="12" applyFont="1" applyBorder="1" applyAlignment="1">
      <alignment horizontal="center" vertical="center" wrapText="1"/>
    </xf>
    <xf numFmtId="0" fontId="26" fillId="0" borderId="0" xfId="12" applyFont="1"/>
    <xf numFmtId="0" fontId="9" fillId="0" borderId="0" xfId="12" applyBorder="1" applyAlignment="1">
      <alignment horizontal="left" wrapText="1" indent="1"/>
    </xf>
    <xf numFmtId="175" fontId="9" fillId="0" borderId="0" xfId="1" applyNumberFormat="1" applyFont="1" applyFill="1" applyAlignment="1"/>
    <xf numFmtId="0" fontId="9" fillId="0" borderId="0" xfId="12" applyFont="1" applyAlignment="1">
      <alignment horizontal="left" wrapText="1" indent="1"/>
    </xf>
    <xf numFmtId="171" fontId="30" fillId="0" borderId="0" xfId="13" applyNumberFormat="1" applyFont="1" applyBorder="1" applyAlignment="1">
      <alignment horizontal="center" wrapText="1"/>
    </xf>
    <xf numFmtId="0" fontId="29" fillId="0" borderId="0" xfId="12" applyFont="1" applyAlignment="1">
      <alignment horizontal="left" wrapText="1" indent="1"/>
    </xf>
    <xf numFmtId="175" fontId="9" fillId="0" borderId="0" xfId="1" applyNumberFormat="1" applyFont="1" applyAlignment="1"/>
    <xf numFmtId="3" fontId="9" fillId="0" borderId="0" xfId="12" applyNumberFormat="1" applyFill="1" applyAlignment="1"/>
    <xf numFmtId="0" fontId="9" fillId="0" borderId="0" xfId="12" applyAlignment="1">
      <alignment vertical="center"/>
    </xf>
    <xf numFmtId="0" fontId="29" fillId="0" borderId="0" xfId="12" applyFont="1" applyAlignment="1">
      <alignment horizontal="center" vertical="center" wrapText="1"/>
    </xf>
    <xf numFmtId="177" fontId="54" fillId="0" borderId="0" xfId="3" applyNumberFormat="1" applyFont="1"/>
    <xf numFmtId="3" fontId="9" fillId="0" borderId="0" xfId="12" applyNumberFormat="1" applyAlignment="1"/>
    <xf numFmtId="171" fontId="31" fillId="0" borderId="0" xfId="13" applyNumberFormat="1" applyFont="1" applyBorder="1" applyAlignment="1">
      <alignment horizontal="center" wrapText="1"/>
    </xf>
    <xf numFmtId="0" fontId="27" fillId="0" borderId="0" xfId="12" applyFont="1" applyAlignment="1">
      <alignment horizontal="left" indent="1"/>
    </xf>
    <xf numFmtId="177" fontId="27" fillId="0" borderId="0" xfId="3" applyNumberFormat="1" applyFont="1"/>
    <xf numFmtId="0" fontId="29" fillId="0" borderId="0" xfId="12" applyFont="1" applyAlignment="1">
      <alignment horizontal="center" vertical="center"/>
    </xf>
    <xf numFmtId="0" fontId="9" fillId="0" borderId="0" xfId="12" applyFont="1" applyFill="1" applyAlignment="1">
      <alignment horizontal="center"/>
    </xf>
    <xf numFmtId="175" fontId="9" fillId="0" borderId="0" xfId="1" applyNumberFormat="1" applyFont="1" applyFill="1"/>
    <xf numFmtId="0" fontId="29" fillId="0" borderId="0" xfId="12" applyFont="1" applyBorder="1" applyAlignment="1">
      <alignment vertical="center" wrapText="1"/>
    </xf>
    <xf numFmtId="3" fontId="9" fillId="0" borderId="0" xfId="12" applyNumberFormat="1" applyFont="1" applyFill="1" applyAlignment="1"/>
    <xf numFmtId="0" fontId="9" fillId="0" borderId="0" xfId="12" applyAlignment="1">
      <alignment horizontal="left" indent="1"/>
    </xf>
    <xf numFmtId="0" fontId="32" fillId="0" borderId="0" xfId="12" applyFont="1" applyAlignment="1">
      <alignment horizontal="left" wrapText="1" indent="1"/>
    </xf>
    <xf numFmtId="0" fontId="33" fillId="0" borderId="0" xfId="12" applyFont="1"/>
    <xf numFmtId="0" fontId="9" fillId="0" borderId="0" xfId="8" applyFont="1" applyFill="1" applyAlignment="1">
      <alignment horizontal="center"/>
    </xf>
    <xf numFmtId="177" fontId="9" fillId="0" borderId="0" xfId="3" applyNumberFormat="1" applyFont="1" applyFill="1"/>
    <xf numFmtId="0" fontId="55" fillId="0" borderId="0" xfId="12" applyFont="1"/>
    <xf numFmtId="0" fontId="9" fillId="0" borderId="0" xfId="12" applyFont="1" applyFill="1" applyAlignment="1">
      <alignment horizontal="left" indent="1"/>
    </xf>
    <xf numFmtId="3" fontId="9" fillId="0" borderId="0" xfId="1" applyNumberFormat="1" applyFont="1" applyFill="1"/>
    <xf numFmtId="0" fontId="28" fillId="0" borderId="0" xfId="12" applyFont="1" applyAlignment="1">
      <alignment horizontal="left" indent="1"/>
    </xf>
    <xf numFmtId="0" fontId="56" fillId="0" borderId="0" xfId="12" applyFont="1"/>
    <xf numFmtId="0" fontId="56" fillId="0" borderId="0" xfId="12" applyFont="1" applyAlignment="1">
      <alignment horizontal="left" indent="1"/>
    </xf>
    <xf numFmtId="177" fontId="56" fillId="0" borderId="0" xfId="3" applyNumberFormat="1" applyFont="1"/>
    <xf numFmtId="0" fontId="34" fillId="0" borderId="0" xfId="12" applyFont="1"/>
    <xf numFmtId="4" fontId="9" fillId="0" borderId="0" xfId="12" applyNumberFormat="1"/>
    <xf numFmtId="0" fontId="28" fillId="0" borderId="0" xfId="12" applyFont="1"/>
    <xf numFmtId="4" fontId="9" fillId="0" borderId="0" xfId="12" applyNumberFormat="1" applyBorder="1"/>
    <xf numFmtId="0" fontId="9" fillId="0" borderId="0" xfId="12" applyBorder="1"/>
    <xf numFmtId="0" fontId="57" fillId="0" borderId="0" xfId="12" applyFont="1"/>
    <xf numFmtId="177" fontId="28" fillId="0" borderId="0" xfId="12" applyNumberFormat="1" applyFont="1"/>
    <xf numFmtId="3" fontId="9" fillId="0" borderId="0" xfId="12" applyNumberFormat="1" applyFill="1"/>
    <xf numFmtId="0" fontId="9" fillId="0" borderId="0" xfId="8" applyFont="1" applyFill="1"/>
    <xf numFmtId="0" fontId="28" fillId="0" borderId="0" xfId="12" applyFont="1" applyAlignment="1">
      <alignment horizontal="left" wrapText="1" indent="1"/>
    </xf>
    <xf numFmtId="177" fontId="35" fillId="0" borderId="0" xfId="3" applyNumberFormat="1" applyFont="1" applyAlignment="1"/>
    <xf numFmtId="39" fontId="9" fillId="0" borderId="0" xfId="12" applyNumberFormat="1" applyAlignment="1">
      <alignment horizontal="center" vertical="center"/>
    </xf>
    <xf numFmtId="177" fontId="35" fillId="0" borderId="0" xfId="3" applyNumberFormat="1" applyFont="1" applyAlignment="1">
      <alignment vertical="center"/>
    </xf>
    <xf numFmtId="3" fontId="29" fillId="0" borderId="0" xfId="12" applyNumberFormat="1" applyFont="1" applyAlignment="1">
      <alignment horizontal="center" vertical="center" wrapText="1"/>
    </xf>
    <xf numFmtId="177" fontId="23" fillId="0" borderId="0" xfId="3" applyNumberFormat="1" applyFont="1" applyAlignment="1">
      <alignment vertical="center"/>
    </xf>
    <xf numFmtId="3" fontId="9" fillId="0" borderId="0" xfId="12" applyNumberFormat="1" applyAlignment="1">
      <alignment horizontal="center"/>
    </xf>
    <xf numFmtId="177" fontId="35" fillId="0" borderId="0" xfId="3" applyNumberFormat="1" applyFont="1"/>
    <xf numFmtId="10" fontId="9" fillId="0" borderId="0" xfId="3" applyNumberFormat="1" applyFont="1"/>
    <xf numFmtId="0" fontId="27" fillId="0" borderId="14" xfId="12" applyFont="1" applyBorder="1" applyAlignment="1">
      <alignment horizontal="left" vertical="center" indent="1"/>
    </xf>
    <xf numFmtId="177" fontId="27" fillId="0" borderId="0" xfId="3" applyNumberFormat="1" applyFont="1" applyBorder="1" applyAlignment="1">
      <alignment horizontal="center" vertical="center"/>
    </xf>
    <xf numFmtId="10" fontId="9" fillId="0" borderId="15" xfId="13" applyNumberFormat="1" applyFont="1" applyBorder="1" applyAlignment="1">
      <alignment horizontal="center" vertical="center" wrapText="1"/>
    </xf>
    <xf numFmtId="10" fontId="9" fillId="0" borderId="0" xfId="3" applyNumberFormat="1" applyFont="1" applyAlignment="1">
      <alignment vertical="center"/>
    </xf>
    <xf numFmtId="0" fontId="28" fillId="0" borderId="14" xfId="12" applyFont="1" applyBorder="1" applyAlignment="1">
      <alignment horizontal="left" vertical="center" indent="1"/>
    </xf>
    <xf numFmtId="177" fontId="28" fillId="0" borderId="0" xfId="3" applyNumberFormat="1" applyFont="1" applyBorder="1" applyAlignment="1">
      <alignment horizontal="center" vertical="center"/>
    </xf>
    <xf numFmtId="177" fontId="9" fillId="0" borderId="0" xfId="3" applyNumberFormat="1" applyFont="1" applyAlignment="1">
      <alignment vertical="center"/>
    </xf>
    <xf numFmtId="0" fontId="9" fillId="0" borderId="14" xfId="12" applyFont="1" applyBorder="1" applyAlignment="1">
      <alignment horizontal="left" vertical="center" indent="1"/>
    </xf>
    <xf numFmtId="177" fontId="9" fillId="0" borderId="0" xfId="3" applyNumberFormat="1" applyFont="1" applyBorder="1" applyAlignment="1">
      <alignment horizontal="center" vertical="center"/>
    </xf>
    <xf numFmtId="0" fontId="56" fillId="0" borderId="14" xfId="12" applyFont="1" applyBorder="1" applyAlignment="1">
      <alignment horizontal="left" vertical="center" indent="1"/>
    </xf>
    <xf numFmtId="177" fontId="58" fillId="0" borderId="0" xfId="3" applyNumberFormat="1" applyFont="1" applyBorder="1" applyAlignment="1">
      <alignment horizontal="center" vertical="center"/>
    </xf>
    <xf numFmtId="10" fontId="36" fillId="0" borderId="15" xfId="13" applyNumberFormat="1" applyFont="1" applyBorder="1" applyAlignment="1">
      <alignment horizontal="center" vertical="center" wrapText="1"/>
    </xf>
    <xf numFmtId="0" fontId="9" fillId="0" borderId="16" xfId="12" applyFont="1" applyBorder="1" applyAlignment="1">
      <alignment horizontal="left" vertical="center" indent="1"/>
    </xf>
    <xf numFmtId="177" fontId="35" fillId="0" borderId="2" xfId="3" applyNumberFormat="1" applyFont="1" applyBorder="1" applyAlignment="1">
      <alignment horizontal="center" vertical="center"/>
    </xf>
    <xf numFmtId="10" fontId="35" fillId="0" borderId="17" xfId="13" applyNumberFormat="1" applyFont="1" applyBorder="1" applyAlignment="1">
      <alignment horizontal="center" vertical="center" wrapText="1"/>
    </xf>
    <xf numFmtId="0" fontId="9" fillId="0" borderId="0" xfId="12" applyAlignment="1">
      <alignment horizontal="center" vertical="center"/>
    </xf>
    <xf numFmtId="39" fontId="9" fillId="0" borderId="0" xfId="12" applyNumberFormat="1" applyAlignment="1">
      <alignment horizontal="center"/>
    </xf>
    <xf numFmtId="0" fontId="19" fillId="0" borderId="18" xfId="9" applyFont="1" applyBorder="1" applyAlignment="1">
      <alignment horizontal="center" vertical="center"/>
    </xf>
    <xf numFmtId="0" fontId="19" fillId="0" borderId="19" xfId="9" applyFont="1" applyBorder="1" applyAlignment="1">
      <alignment horizontal="center" vertical="center"/>
    </xf>
    <xf numFmtId="0" fontId="19" fillId="0" borderId="19" xfId="9" applyFont="1" applyBorder="1" applyAlignment="1">
      <alignment horizontal="center" vertical="center" wrapText="1"/>
    </xf>
    <xf numFmtId="0" fontId="19" fillId="0" borderId="20" xfId="9" applyFont="1" applyBorder="1" applyAlignment="1">
      <alignment horizontal="center" vertical="center" wrapText="1"/>
    </xf>
    <xf numFmtId="0" fontId="19" fillId="0" borderId="18" xfId="9" applyFont="1" applyBorder="1" applyAlignment="1">
      <alignment horizontal="center" vertical="center" wrapText="1"/>
    </xf>
    <xf numFmtId="177" fontId="22" fillId="0" borderId="0" xfId="3" applyNumberFormat="1" applyFont="1" applyAlignment="1">
      <alignment horizontal="center" vertical="center"/>
    </xf>
    <xf numFmtId="0" fontId="22" fillId="0" borderId="0" xfId="9" applyFont="1" applyAlignment="1">
      <alignment horizontal="center" vertical="center"/>
    </xf>
    <xf numFmtId="0" fontId="19" fillId="0" borderId="0" xfId="9" applyFont="1" applyAlignment="1">
      <alignment horizontal="center" vertical="center"/>
    </xf>
    <xf numFmtId="0" fontId="19" fillId="0" borderId="0" xfId="9" applyFont="1" applyBorder="1" applyAlignment="1">
      <alignment horizontal="center" vertical="center" wrapText="1"/>
    </xf>
    <xf numFmtId="0" fontId="19" fillId="0" borderId="7" xfId="9" applyFont="1" applyBorder="1" applyAlignment="1">
      <alignment horizontal="center" vertical="center" wrapText="1"/>
    </xf>
    <xf numFmtId="0" fontId="19" fillId="0" borderId="4" xfId="9" applyFont="1" applyBorder="1" applyAlignment="1">
      <alignment horizontal="center" vertical="center"/>
    </xf>
    <xf numFmtId="0" fontId="9" fillId="0" borderId="7" xfId="9" applyFont="1" applyBorder="1" applyAlignment="1">
      <alignment horizontal="center"/>
    </xf>
    <xf numFmtId="0" fontId="9" fillId="0" borderId="0" xfId="9" quotePrefix="1" applyNumberFormat="1" applyFont="1" applyBorder="1"/>
    <xf numFmtId="177" fontId="16" fillId="0" borderId="0" xfId="4" applyNumberFormat="1" applyFont="1" applyFill="1" applyBorder="1"/>
    <xf numFmtId="177" fontId="9" fillId="0" borderId="0" xfId="4" applyNumberFormat="1" applyFont="1" applyBorder="1"/>
    <xf numFmtId="177" fontId="9" fillId="0" borderId="4" xfId="4" applyNumberFormat="1" applyFont="1" applyBorder="1"/>
    <xf numFmtId="0" fontId="9" fillId="0" borderId="7" xfId="9" applyFont="1" applyBorder="1"/>
    <xf numFmtId="175" fontId="18" fillId="0" borderId="0" xfId="2" applyNumberFormat="1" applyFont="1"/>
    <xf numFmtId="175" fontId="9" fillId="0" borderId="0" xfId="9" applyNumberFormat="1"/>
    <xf numFmtId="0" fontId="9" fillId="0" borderId="0" xfId="9"/>
    <xf numFmtId="177" fontId="9" fillId="0" borderId="0" xfId="9" applyNumberFormat="1"/>
    <xf numFmtId="175" fontId="20" fillId="0" borderId="0" xfId="2" applyNumberFormat="1" applyFont="1"/>
    <xf numFmtId="177" fontId="36" fillId="0" borderId="0" xfId="4" applyNumberFormat="1" applyFont="1" applyBorder="1"/>
    <xf numFmtId="177" fontId="36" fillId="0" borderId="4" xfId="4" applyNumberFormat="1" applyFont="1" applyBorder="1"/>
    <xf numFmtId="177" fontId="9" fillId="0" borderId="7" xfId="9" applyNumberFormat="1" applyFont="1" applyBorder="1"/>
    <xf numFmtId="177" fontId="21" fillId="0" borderId="0" xfId="9" applyNumberFormat="1" applyFont="1"/>
    <xf numFmtId="177" fontId="18" fillId="0" borderId="0" xfId="9" applyNumberFormat="1" applyFont="1"/>
    <xf numFmtId="177" fontId="36" fillId="0" borderId="7" xfId="4" applyNumberFormat="1" applyFont="1" applyBorder="1"/>
    <xf numFmtId="0" fontId="18" fillId="0" borderId="0" xfId="9" applyFont="1"/>
    <xf numFmtId="177" fontId="9" fillId="0" borderId="7" xfId="4" applyNumberFormat="1" applyFont="1" applyBorder="1"/>
    <xf numFmtId="0" fontId="9" fillId="0" borderId="8" xfId="9" applyFont="1" applyBorder="1" applyAlignment="1">
      <alignment horizontal="center"/>
    </xf>
    <xf numFmtId="0" fontId="9" fillId="0" borderId="5" xfId="9" quotePrefix="1" applyNumberFormat="1" applyFont="1" applyBorder="1"/>
    <xf numFmtId="177" fontId="35" fillId="0" borderId="5" xfId="4" applyNumberFormat="1" applyFont="1" applyBorder="1"/>
    <xf numFmtId="177" fontId="35" fillId="0" borderId="6" xfId="4" applyNumberFormat="1" applyFont="1" applyBorder="1"/>
    <xf numFmtId="177" fontId="35" fillId="0" borderId="8" xfId="4" applyNumberFormat="1" applyFont="1" applyBorder="1"/>
    <xf numFmtId="0" fontId="9" fillId="0" borderId="0" xfId="9" applyFont="1"/>
    <xf numFmtId="177" fontId="9" fillId="0" borderId="0" xfId="9" applyNumberFormat="1" applyFont="1"/>
    <xf numFmtId="0" fontId="9" fillId="0" borderId="0" xfId="9" quotePrefix="1" applyNumberFormat="1" applyFont="1"/>
    <xf numFmtId="0" fontId="9" fillId="0" borderId="0" xfId="9" applyNumberFormat="1" applyFont="1" applyFill="1" applyBorder="1"/>
    <xf numFmtId="177" fontId="9" fillId="0" borderId="0" xfId="9" quotePrefix="1" applyNumberFormat="1" applyFont="1"/>
    <xf numFmtId="177" fontId="9" fillId="0" borderId="0" xfId="4" quotePrefix="1" applyNumberFormat="1" applyFont="1"/>
    <xf numFmtId="177" fontId="35" fillId="0" borderId="0" xfId="4" quotePrefix="1" applyNumberFormat="1" applyFont="1"/>
    <xf numFmtId="177" fontId="18" fillId="0" borderId="0" xfId="3" quotePrefix="1" applyNumberFormat="1" applyFont="1"/>
    <xf numFmtId="0" fontId="9" fillId="0" borderId="0" xfId="9" applyNumberFormat="1" applyFont="1" applyAlignment="1">
      <alignment horizontal="center"/>
    </xf>
    <xf numFmtId="177" fontId="9" fillId="0" borderId="0" xfId="3" quotePrefix="1" applyNumberFormat="1" applyFont="1"/>
    <xf numFmtId="177" fontId="9" fillId="0" borderId="0" xfId="4" applyNumberFormat="1" applyFont="1"/>
    <xf numFmtId="0" fontId="19" fillId="0" borderId="7" xfId="9" applyFont="1" applyBorder="1" applyAlignment="1">
      <alignment horizontal="center" vertical="center"/>
    </xf>
    <xf numFmtId="0" fontId="19" fillId="0" borderId="0" xfId="9" applyFont="1" applyBorder="1" applyAlignment="1">
      <alignment horizontal="center" vertical="center"/>
    </xf>
    <xf numFmtId="0" fontId="19" fillId="0" borderId="0" xfId="9" applyFont="1" applyAlignment="1">
      <alignment horizontal="center" vertical="center" wrapText="1"/>
    </xf>
    <xf numFmtId="177" fontId="19" fillId="0" borderId="7" xfId="4" applyNumberFormat="1" applyFont="1" applyBorder="1" applyAlignment="1">
      <alignment horizontal="center" vertical="center"/>
    </xf>
    <xf numFmtId="0" fontId="9" fillId="0" borderId="7" xfId="9" applyBorder="1" applyAlignment="1">
      <alignment horizontal="center"/>
    </xf>
    <xf numFmtId="177" fontId="19" fillId="0" borderId="7" xfId="4" applyNumberFormat="1" applyFont="1" applyBorder="1" applyAlignment="1">
      <alignment horizontal="center" vertical="center" wrapText="1"/>
    </xf>
    <xf numFmtId="0" fontId="9" fillId="0" borderId="0" xfId="9" quotePrefix="1" applyNumberFormat="1" applyBorder="1"/>
    <xf numFmtId="0" fontId="9" fillId="0" borderId="8" xfId="9" applyBorder="1" applyAlignment="1">
      <alignment horizontal="center"/>
    </xf>
    <xf numFmtId="0" fontId="9" fillId="0" borderId="5" xfId="9" quotePrefix="1" applyNumberFormat="1" applyBorder="1"/>
    <xf numFmtId="177" fontId="35" fillId="0" borderId="4" xfId="4" applyNumberFormat="1" applyFont="1" applyBorder="1"/>
    <xf numFmtId="0" fontId="9" fillId="0" borderId="18" xfId="9" applyBorder="1" applyAlignment="1">
      <alignment horizontal="center"/>
    </xf>
    <xf numFmtId="177" fontId="36" fillId="0" borderId="18" xfId="4" applyNumberFormat="1" applyFont="1" applyBorder="1"/>
    <xf numFmtId="177" fontId="36" fillId="0" borderId="20" xfId="4" applyNumberFormat="1" applyFont="1" applyBorder="1"/>
    <xf numFmtId="178" fontId="35" fillId="0" borderId="7" xfId="4" applyNumberFormat="1" applyFont="1" applyBorder="1" applyAlignment="1">
      <alignment horizontal="center"/>
    </xf>
    <xf numFmtId="178" fontId="35" fillId="0" borderId="4" xfId="4" applyNumberFormat="1" applyFont="1" applyBorder="1" applyAlignment="1">
      <alignment horizontal="center"/>
    </xf>
    <xf numFmtId="0" fontId="9" fillId="0" borderId="7" xfId="4" applyNumberFormat="1" applyFont="1" applyBorder="1" applyAlignment="1">
      <alignment horizontal="center"/>
    </xf>
    <xf numFmtId="0" fontId="9" fillId="0" borderId="4" xfId="4" applyNumberFormat="1" applyFont="1" applyBorder="1" applyAlignment="1">
      <alignment horizontal="center"/>
    </xf>
    <xf numFmtId="0" fontId="26" fillId="0" borderId="7" xfId="4" applyNumberFormat="1" applyFont="1" applyBorder="1" applyAlignment="1">
      <alignment horizontal="center"/>
    </xf>
    <xf numFmtId="0" fontId="26" fillId="0" borderId="4" xfId="4" applyNumberFormat="1" applyFont="1" applyBorder="1" applyAlignment="1">
      <alignment horizontal="center"/>
    </xf>
    <xf numFmtId="0" fontId="23" fillId="0" borderId="8" xfId="4" applyNumberFormat="1" applyFont="1" applyBorder="1" applyAlignment="1">
      <alignment horizontal="center"/>
    </xf>
    <xf numFmtId="0" fontId="23" fillId="0" borderId="6" xfId="4" applyNumberFormat="1" applyFont="1" applyBorder="1" applyAlignment="1">
      <alignment horizontal="center"/>
    </xf>
    <xf numFmtId="0" fontId="9" fillId="0" borderId="0" xfId="9" quotePrefix="1" applyNumberFormat="1"/>
    <xf numFmtId="177" fontId="36" fillId="0" borderId="0" xfId="4" quotePrefix="1" applyNumberFormat="1" applyFont="1"/>
    <xf numFmtId="177" fontId="35" fillId="0" borderId="0" xfId="4" applyNumberFormat="1" applyFont="1"/>
    <xf numFmtId="0" fontId="19" fillId="0" borderId="0" xfId="9" applyNumberFormat="1" applyFont="1"/>
    <xf numFmtId="0" fontId="8" fillId="0" borderId="0" xfId="8" applyFont="1"/>
    <xf numFmtId="0" fontId="15" fillId="0" borderId="0" xfId="8" applyFont="1"/>
    <xf numFmtId="0" fontId="6" fillId="0" borderId="0" xfId="8" applyAlignment="1">
      <alignment horizontal="center"/>
    </xf>
    <xf numFmtId="171" fontId="9" fillId="0" borderId="0" xfId="13" applyNumberFormat="1" applyFont="1" applyAlignment="1">
      <alignment horizontal="center"/>
    </xf>
    <xf numFmtId="176" fontId="9" fillId="0" borderId="0" xfId="3" applyNumberFormat="1" applyFont="1"/>
    <xf numFmtId="177" fontId="36" fillId="0" borderId="0" xfId="3" applyNumberFormat="1" applyFont="1"/>
    <xf numFmtId="175" fontId="9" fillId="0" borderId="0" xfId="1" applyNumberFormat="1" applyFont="1" applyBorder="1"/>
    <xf numFmtId="14" fontId="8" fillId="0" borderId="0" xfId="9" applyNumberFormat="1" applyFont="1" applyAlignment="1">
      <alignment horizontal="center"/>
    </xf>
    <xf numFmtId="177" fontId="35" fillId="0" borderId="0" xfId="3" quotePrefix="1" applyNumberFormat="1" applyFont="1"/>
    <xf numFmtId="177" fontId="36" fillId="0" borderId="0" xfId="3" quotePrefix="1" applyNumberFormat="1" applyFont="1"/>
    <xf numFmtId="173" fontId="9" fillId="0" borderId="0" xfId="0" applyFont="1" applyAlignment="1"/>
    <xf numFmtId="0" fontId="9" fillId="0" borderId="0" xfId="0" quotePrefix="1" applyNumberFormat="1" applyFont="1"/>
    <xf numFmtId="173" fontId="40" fillId="0" borderId="0" xfId="0" applyFont="1" applyAlignment="1">
      <alignment horizontal="center"/>
    </xf>
    <xf numFmtId="173" fontId="40" fillId="0" borderId="0" xfId="0" applyFont="1" applyBorder="1" applyAlignment="1">
      <alignment horizontal="center"/>
    </xf>
    <xf numFmtId="0" fontId="9" fillId="0" borderId="0" xfId="9" applyFont="1" applyBorder="1"/>
    <xf numFmtId="173" fontId="9" fillId="0" borderId="0" xfId="0" applyFont="1" applyBorder="1" applyAlignment="1"/>
    <xf numFmtId="0" fontId="9" fillId="0" borderId="0" xfId="9" applyFont="1" applyBorder="1" applyAlignment="1">
      <alignment horizontal="center"/>
    </xf>
    <xf numFmtId="177" fontId="9" fillId="0" borderId="0" xfId="3" applyNumberFormat="1" applyFont="1" applyBorder="1" applyAlignment="1"/>
    <xf numFmtId="0" fontId="8" fillId="0" borderId="0" xfId="9" applyFont="1" applyBorder="1" applyAlignment="1"/>
    <xf numFmtId="173" fontId="8" fillId="0" borderId="0" xfId="0" applyFont="1" applyBorder="1" applyAlignment="1">
      <alignment horizontal="center"/>
    </xf>
    <xf numFmtId="0" fontId="9" fillId="0" borderId="0" xfId="0" quotePrefix="1" applyNumberFormat="1" applyFont="1" applyAlignment="1">
      <alignment wrapText="1"/>
    </xf>
    <xf numFmtId="177" fontId="36" fillId="0" borderId="0" xfId="3" applyNumberFormat="1" applyFont="1" applyBorder="1" applyAlignment="1"/>
    <xf numFmtId="173" fontId="41" fillId="0" borderId="0" xfId="0" applyFont="1" applyAlignment="1">
      <alignment horizontal="center"/>
    </xf>
    <xf numFmtId="0" fontId="8" fillId="0" borderId="0" xfId="9" applyFont="1" applyBorder="1" applyAlignment="1">
      <alignment horizontal="center" vertical="center"/>
    </xf>
    <xf numFmtId="177" fontId="8" fillId="0" borderId="0" xfId="3" applyNumberFormat="1" applyFont="1" applyBorder="1" applyAlignment="1">
      <alignment horizontal="center"/>
    </xf>
    <xf numFmtId="173" fontId="41" fillId="0" borderId="0" xfId="0" applyFont="1" applyBorder="1" applyAlignment="1">
      <alignment horizontal="center"/>
    </xf>
    <xf numFmtId="0" fontId="8" fillId="0" borderId="0" xfId="9" applyFont="1" applyBorder="1" applyAlignment="1">
      <alignment horizontal="center"/>
    </xf>
    <xf numFmtId="173" fontId="38" fillId="0" borderId="0" xfId="0" applyFont="1" applyAlignment="1"/>
    <xf numFmtId="177" fontId="35" fillId="0" borderId="0" xfId="3" applyNumberFormat="1" applyFont="1" applyBorder="1" applyAlignment="1"/>
    <xf numFmtId="0" fontId="9" fillId="0" borderId="0" xfId="0" applyNumberFormat="1" applyFont="1"/>
    <xf numFmtId="177" fontId="9" fillId="0" borderId="0" xfId="3" applyNumberFormat="1" applyFont="1" applyAlignment="1"/>
    <xf numFmtId="0" fontId="6" fillId="0" borderId="0" xfId="8" applyFont="1"/>
    <xf numFmtId="0" fontId="9" fillId="0" borderId="0" xfId="8" applyFont="1" applyAlignment="1"/>
    <xf numFmtId="37" fontId="45" fillId="0" borderId="0" xfId="0" applyNumberFormat="1" applyFont="1" applyFill="1" applyAlignment="1" applyProtection="1">
      <alignment horizontal="left"/>
      <protection locked="0"/>
    </xf>
    <xf numFmtId="37" fontId="16" fillId="0" borderId="0" xfId="0" applyNumberFormat="1" applyFont="1" applyFill="1" applyAlignment="1" applyProtection="1">
      <alignment horizontal="left"/>
      <protection locked="0"/>
    </xf>
    <xf numFmtId="173" fontId="26" fillId="0" borderId="0" xfId="0" applyFont="1" applyAlignment="1"/>
    <xf numFmtId="177" fontId="36" fillId="0" borderId="0" xfId="3" applyNumberFormat="1" applyFont="1" applyAlignment="1"/>
    <xf numFmtId="173" fontId="46" fillId="0" borderId="0" xfId="0" applyFont="1" applyAlignment="1">
      <alignment horizontal="left" indent="6"/>
    </xf>
    <xf numFmtId="0" fontId="9" fillId="0" borderId="0" xfId="9" applyNumberFormat="1" applyFont="1" applyAlignment="1">
      <alignment horizontal="left"/>
    </xf>
    <xf numFmtId="0" fontId="10" fillId="0" borderId="16" xfId="8" applyFont="1" applyBorder="1" applyAlignment="1">
      <alignment horizontal="center" vertical="center"/>
    </xf>
    <xf numFmtId="177" fontId="47" fillId="0" borderId="9" xfId="3" applyNumberFormat="1" applyFont="1" applyBorder="1" applyAlignment="1">
      <alignment vertical="center"/>
    </xf>
    <xf numFmtId="177" fontId="48" fillId="0" borderId="9" xfId="3" applyNumberFormat="1" applyFont="1" applyBorder="1" applyAlignment="1">
      <alignment vertical="center"/>
    </xf>
    <xf numFmtId="0" fontId="0" fillId="0" borderId="0" xfId="0" applyNumberFormat="1" applyAlignment="1">
      <alignment horizontal="center"/>
    </xf>
    <xf numFmtId="0" fontId="0" fillId="0" borderId="0" xfId="0" applyNumberFormat="1"/>
    <xf numFmtId="177" fontId="59" fillId="0" borderId="0" xfId="3" applyNumberFormat="1" applyFont="1"/>
    <xf numFmtId="0" fontId="60" fillId="0" borderId="0" xfId="0" applyNumberFormat="1" applyFont="1" applyAlignment="1">
      <alignment horizontal="center"/>
    </xf>
    <xf numFmtId="177" fontId="0" fillId="0" borderId="0" xfId="3" applyNumberFormat="1" applyFont="1"/>
    <xf numFmtId="175" fontId="0" fillId="0" borderId="0" xfId="1" applyNumberFormat="1" applyFont="1"/>
    <xf numFmtId="43" fontId="2" fillId="0" borderId="0" xfId="10" applyNumberFormat="1" applyFont="1"/>
    <xf numFmtId="0" fontId="61" fillId="0" borderId="0" xfId="0" applyNumberFormat="1" applyFont="1"/>
    <xf numFmtId="0" fontId="62" fillId="0" borderId="0" xfId="0" applyNumberFormat="1" applyFont="1"/>
    <xf numFmtId="0" fontId="63" fillId="0" borderId="0" xfId="0" applyNumberFormat="1" applyFont="1" applyAlignment="1">
      <alignment horizontal="center"/>
    </xf>
    <xf numFmtId="0" fontId="63" fillId="0" borderId="0" xfId="0" applyNumberFormat="1" applyFont="1"/>
    <xf numFmtId="175" fontId="64" fillId="0" borderId="0" xfId="1" applyNumberFormat="1" applyFont="1"/>
    <xf numFmtId="175" fontId="65" fillId="0" borderId="5" xfId="1" applyNumberFormat="1" applyFont="1" applyBorder="1"/>
    <xf numFmtId="0" fontId="9" fillId="0" borderId="0" xfId="0" applyNumberFormat="1" applyFont="1" applyAlignment="1">
      <alignment horizontal="left" indent="1"/>
    </xf>
    <xf numFmtId="175" fontId="9" fillId="0" borderId="0" xfId="0" applyNumberFormat="1" applyFont="1"/>
    <xf numFmtId="175" fontId="9" fillId="6" borderId="1" xfId="1" applyNumberFormat="1" applyFont="1" applyFill="1" applyBorder="1"/>
    <xf numFmtId="175" fontId="9" fillId="0" borderId="0" xfId="1" applyNumberFormat="1" applyFont="1" applyFill="1" applyBorder="1"/>
    <xf numFmtId="0" fontId="66" fillId="0" borderId="0" xfId="0" applyNumberFormat="1" applyFont="1" applyAlignment="1">
      <alignment horizontal="center"/>
    </xf>
    <xf numFmtId="177" fontId="9" fillId="0" borderId="0" xfId="12" applyNumberFormat="1" applyFont="1" applyAlignment="1">
      <alignment horizontal="center"/>
    </xf>
    <xf numFmtId="0" fontId="39" fillId="0" borderId="0" xfId="0" applyNumberFormat="1" applyFont="1"/>
    <xf numFmtId="0" fontId="39" fillId="0" borderId="0" xfId="0" applyNumberFormat="1" applyFont="1" applyAlignment="1">
      <alignment horizontal="left"/>
    </xf>
    <xf numFmtId="0" fontId="9" fillId="0" borderId="0" xfId="12" applyFont="1" applyAlignment="1"/>
    <xf numFmtId="177" fontId="9" fillId="0" borderId="0" xfId="12" applyNumberFormat="1" applyFont="1" applyAlignment="1">
      <alignment vertical="center"/>
    </xf>
    <xf numFmtId="0" fontId="39" fillId="0" borderId="0" xfId="0" applyNumberFormat="1" applyFont="1" applyAlignment="1">
      <alignment horizontal="center"/>
    </xf>
    <xf numFmtId="0" fontId="39" fillId="0" borderId="0" xfId="0" applyNumberFormat="1" applyFont="1" applyAlignment="1">
      <alignment horizontal="left" indent="1"/>
    </xf>
    <xf numFmtId="0" fontId="39" fillId="0" borderId="0" xfId="0" applyNumberFormat="1" applyFont="1" applyFill="1"/>
    <xf numFmtId="0" fontId="39" fillId="0" borderId="0" xfId="0" applyNumberFormat="1" applyFont="1" applyAlignment="1">
      <alignment horizontal="left" indent="2"/>
    </xf>
    <xf numFmtId="0" fontId="67" fillId="0" borderId="0" xfId="0" applyNumberFormat="1" applyFont="1" applyAlignment="1">
      <alignment horizontal="left"/>
    </xf>
    <xf numFmtId="43" fontId="9" fillId="0" borderId="0" xfId="10" applyNumberFormat="1" applyFont="1"/>
    <xf numFmtId="174" fontId="9" fillId="0" borderId="0" xfId="10" applyFont="1"/>
    <xf numFmtId="175" fontId="9" fillId="0" borderId="0" xfId="10" applyNumberFormat="1" applyFont="1"/>
    <xf numFmtId="0" fontId="24" fillId="0" borderId="0" xfId="8" applyFont="1" applyBorder="1" applyAlignment="1">
      <alignment vertical="center"/>
    </xf>
    <xf numFmtId="175" fontId="9" fillId="0" borderId="0" xfId="10" applyNumberFormat="1" applyFont="1" applyBorder="1"/>
    <xf numFmtId="43" fontId="9" fillId="0" borderId="0" xfId="10" applyNumberFormat="1" applyFont="1" applyBorder="1"/>
    <xf numFmtId="174" fontId="9" fillId="0" borderId="0" xfId="10" applyFont="1" applyBorder="1"/>
    <xf numFmtId="175" fontId="24" fillId="0" borderId="0" xfId="10" applyNumberFormat="1" applyFont="1" applyBorder="1" applyAlignment="1">
      <alignment horizontal="center"/>
    </xf>
    <xf numFmtId="175" fontId="8" fillId="0" borderId="0" xfId="10" applyNumberFormat="1" applyFont="1" applyBorder="1" applyAlignment="1">
      <alignment horizontal="center"/>
    </xf>
    <xf numFmtId="43" fontId="8" fillId="0" borderId="0" xfId="10" applyNumberFormat="1" applyFont="1" applyBorder="1" applyAlignment="1">
      <alignment horizontal="center"/>
    </xf>
    <xf numFmtId="174" fontId="24" fillId="0" borderId="0" xfId="10" applyFont="1" applyBorder="1"/>
    <xf numFmtId="175" fontId="9" fillId="0" borderId="0" xfId="3" applyNumberFormat="1" applyFont="1" applyFill="1" applyBorder="1"/>
    <xf numFmtId="43" fontId="9" fillId="0" borderId="0" xfId="10" applyNumberFormat="1" applyFont="1" applyFill="1" applyBorder="1"/>
    <xf numFmtId="177" fontId="27" fillId="0" borderId="0" xfId="4" applyNumberFormat="1" applyFont="1" applyFill="1" applyBorder="1"/>
    <xf numFmtId="175" fontId="27" fillId="0" borderId="0" xfId="4" applyNumberFormat="1" applyFont="1" applyFill="1" applyBorder="1"/>
    <xf numFmtId="0" fontId="63" fillId="0" borderId="0" xfId="0" applyNumberFormat="1" applyFont="1" applyAlignment="1">
      <alignment horizontal="left" indent="1"/>
    </xf>
    <xf numFmtId="44" fontId="9" fillId="0" borderId="0" xfId="3" applyFont="1" applyFill="1" applyBorder="1"/>
    <xf numFmtId="171" fontId="9" fillId="0" borderId="0" xfId="13" applyNumberFormat="1" applyFont="1" applyFill="1" applyBorder="1" applyAlignment="1">
      <alignment horizontal="center"/>
    </xf>
    <xf numFmtId="0" fontId="65" fillId="0" borderId="0" xfId="0" applyNumberFormat="1" applyFont="1" applyBorder="1" applyAlignment="1">
      <alignment horizontal="left" indent="2"/>
    </xf>
    <xf numFmtId="43" fontId="9" fillId="0" borderId="0" xfId="1" applyFont="1" applyFill="1" applyBorder="1"/>
    <xf numFmtId="175" fontId="36" fillId="0" borderId="0" xfId="1" applyNumberFormat="1" applyFont="1" applyFill="1" applyBorder="1"/>
    <xf numFmtId="43" fontId="36" fillId="0" borderId="0" xfId="1" applyFont="1" applyFill="1" applyBorder="1"/>
    <xf numFmtId="174" fontId="9" fillId="0" borderId="0" xfId="10" applyFont="1" applyBorder="1" applyAlignment="1">
      <alignment horizontal="left" indent="1"/>
    </xf>
    <xf numFmtId="43" fontId="9" fillId="0" borderId="0" xfId="1" applyFont="1" applyBorder="1"/>
    <xf numFmtId="0" fontId="65" fillId="0" borderId="0" xfId="0" applyNumberFormat="1" applyFont="1" applyAlignment="1">
      <alignment horizontal="left" indent="2"/>
    </xf>
    <xf numFmtId="175" fontId="9" fillId="0" borderId="0" xfId="3" applyNumberFormat="1" applyFont="1" applyBorder="1"/>
    <xf numFmtId="44" fontId="9" fillId="0" borderId="0" xfId="3" applyFont="1" applyBorder="1"/>
    <xf numFmtId="0" fontId="65" fillId="0" borderId="0" xfId="0" applyNumberFormat="1" applyFont="1" applyAlignment="1">
      <alignment horizontal="left" indent="1"/>
    </xf>
    <xf numFmtId="0" fontId="65" fillId="0" borderId="0" xfId="0" applyNumberFormat="1" applyFont="1" applyAlignment="1"/>
    <xf numFmtId="43" fontId="9" fillId="0" borderId="0" xfId="1" applyFont="1"/>
    <xf numFmtId="175" fontId="9" fillId="0" borderId="0" xfId="10" applyNumberFormat="1" applyFont="1" applyAlignment="1">
      <alignment horizontal="center"/>
    </xf>
    <xf numFmtId="0" fontId="63" fillId="0" borderId="0" xfId="0" applyNumberFormat="1" applyFont="1" applyAlignment="1">
      <alignment horizontal="left" indent="2"/>
    </xf>
    <xf numFmtId="175" fontId="9" fillId="6" borderId="1" xfId="3" applyNumberFormat="1" applyFont="1" applyFill="1" applyBorder="1"/>
    <xf numFmtId="175" fontId="9" fillId="0" borderId="0" xfId="3" applyNumberFormat="1" applyFont="1"/>
    <xf numFmtId="175" fontId="65" fillId="0" borderId="0" xfId="0" applyNumberFormat="1" applyFont="1" applyAlignment="1">
      <alignment horizontal="left" indent="2"/>
    </xf>
    <xf numFmtId="0" fontId="63" fillId="0" borderId="0" xfId="0" applyNumberFormat="1" applyFont="1" applyAlignment="1"/>
    <xf numFmtId="0" fontId="63" fillId="0" borderId="0" xfId="0" applyNumberFormat="1" applyFont="1" applyFill="1" applyAlignment="1"/>
    <xf numFmtId="175" fontId="9" fillId="0" borderId="0" xfId="1" applyNumberFormat="1" applyFont="1" applyFill="1" applyBorder="1" applyAlignment="1">
      <alignment horizontal="center"/>
    </xf>
    <xf numFmtId="174" fontId="24" fillId="0" borderId="0" xfId="10" applyFont="1"/>
    <xf numFmtId="175" fontId="35" fillId="0" borderId="0" xfId="3" applyNumberFormat="1" applyFont="1"/>
    <xf numFmtId="44" fontId="35" fillId="0" borderId="0" xfId="3" applyFont="1"/>
    <xf numFmtId="44" fontId="9" fillId="0" borderId="0" xfId="3" applyFont="1"/>
    <xf numFmtId="174" fontId="9" fillId="0" borderId="0" xfId="10" applyFont="1" applyAlignment="1">
      <alignment horizontal="center"/>
    </xf>
    <xf numFmtId="175" fontId="35" fillId="0" borderId="0" xfId="10" applyNumberFormat="1" applyFont="1"/>
    <xf numFmtId="174" fontId="19" fillId="0" borderId="0" xfId="10" applyFont="1"/>
    <xf numFmtId="177" fontId="9" fillId="0" borderId="0" xfId="0" applyNumberFormat="1" applyFont="1"/>
    <xf numFmtId="0" fontId="9" fillId="0" borderId="0" xfId="0" applyNumberFormat="1" applyFont="1" applyAlignment="1">
      <alignment horizontal="center"/>
    </xf>
    <xf numFmtId="0" fontId="9" fillId="0" borderId="0" xfId="0" applyNumberFormat="1" applyFont="1" applyAlignment="1"/>
    <xf numFmtId="0" fontId="9" fillId="0" borderId="0" xfId="0" applyNumberFormat="1" applyFont="1" applyAlignment="1">
      <alignment horizontal="left"/>
    </xf>
    <xf numFmtId="175" fontId="65" fillId="0" borderId="0" xfId="1" applyNumberFormat="1" applyFont="1"/>
    <xf numFmtId="177" fontId="9" fillId="6" borderId="1" xfId="0" applyNumberFormat="1" applyFont="1" applyFill="1" applyBorder="1"/>
    <xf numFmtId="177" fontId="64" fillId="0" borderId="0" xfId="3" applyNumberFormat="1" applyFont="1"/>
    <xf numFmtId="177" fontId="68" fillId="0" borderId="0" xfId="0" applyNumberFormat="1" applyFont="1"/>
    <xf numFmtId="177" fontId="9" fillId="0" borderId="0" xfId="1" applyNumberFormat="1" applyFont="1"/>
    <xf numFmtId="177" fontId="9" fillId="6" borderId="0" xfId="1" applyNumberFormat="1" applyFont="1" applyFill="1"/>
    <xf numFmtId="177" fontId="9" fillId="6" borderId="0" xfId="1" applyNumberFormat="1" applyFont="1" applyFill="1" applyBorder="1"/>
    <xf numFmtId="177" fontId="64" fillId="0" borderId="0" xfId="1" applyNumberFormat="1" applyFont="1"/>
    <xf numFmtId="177" fontId="9" fillId="0" borderId="0" xfId="0" applyNumberFormat="1" applyFont="1" applyFill="1" applyBorder="1"/>
    <xf numFmtId="0" fontId="65" fillId="0" borderId="0" xfId="0" applyNumberFormat="1" applyFont="1" applyAlignment="1">
      <alignment horizontal="center"/>
    </xf>
    <xf numFmtId="177" fontId="69" fillId="0" borderId="0" xfId="3" applyNumberFormat="1" applyFont="1"/>
    <xf numFmtId="0" fontId="69" fillId="0" borderId="0" xfId="0" applyNumberFormat="1" applyFont="1"/>
    <xf numFmtId="44" fontId="69" fillId="0" borderId="0" xfId="0" applyNumberFormat="1" applyFont="1"/>
    <xf numFmtId="0" fontId="65" fillId="0" borderId="0" xfId="0" applyNumberFormat="1" applyFont="1"/>
    <xf numFmtId="43" fontId="64" fillId="0" borderId="0" xfId="1" applyFont="1"/>
    <xf numFmtId="43" fontId="65" fillId="0" borderId="0" xfId="1" applyFont="1"/>
    <xf numFmtId="177" fontId="65" fillId="0" borderId="0" xfId="1" applyNumberFormat="1" applyFont="1"/>
    <xf numFmtId="177" fontId="9" fillId="0" borderId="0" xfId="1" applyNumberFormat="1" applyFont="1" applyFill="1" applyBorder="1"/>
    <xf numFmtId="177" fontId="65" fillId="0" borderId="0" xfId="1" applyNumberFormat="1" applyFont="1" applyFill="1" applyBorder="1"/>
    <xf numFmtId="177" fontId="9" fillId="6" borderId="1" xfId="3" applyNumberFormat="1" applyFont="1" applyFill="1" applyBorder="1"/>
    <xf numFmtId="177" fontId="65" fillId="0" borderId="0" xfId="0" applyNumberFormat="1" applyFont="1"/>
    <xf numFmtId="0" fontId="65" fillId="0" borderId="0" xfId="0" applyNumberFormat="1" applyFont="1" applyAlignment="1">
      <alignment horizontal="left" indent="3"/>
    </xf>
    <xf numFmtId="0" fontId="66" fillId="0" borderId="0" xfId="0" applyNumberFormat="1" applyFont="1" applyAlignment="1">
      <alignment horizontal="left"/>
    </xf>
    <xf numFmtId="177" fontId="9" fillId="6" borderId="0" xfId="3" applyNumberFormat="1" applyFont="1" applyFill="1"/>
    <xf numFmtId="177" fontId="65" fillId="6" borderId="0" xfId="3" applyNumberFormat="1" applyFont="1" applyFill="1"/>
    <xf numFmtId="177" fontId="65" fillId="0" borderId="0" xfId="3" applyNumberFormat="1" applyFont="1"/>
    <xf numFmtId="177" fontId="65" fillId="0" borderId="0" xfId="3" applyNumberFormat="1" applyFont="1" applyFill="1"/>
    <xf numFmtId="0" fontId="9" fillId="0" borderId="0" xfId="0" applyNumberFormat="1" applyFont="1" applyAlignment="1">
      <alignment horizontal="left" indent="2"/>
    </xf>
    <xf numFmtId="175" fontId="69" fillId="0" borderId="0" xfId="0" applyNumberFormat="1" applyFont="1"/>
    <xf numFmtId="175" fontId="9" fillId="0" borderId="5" xfId="1" applyNumberFormat="1" applyFont="1" applyBorder="1"/>
    <xf numFmtId="175" fontId="9" fillId="6" borderId="0" xfId="1" applyNumberFormat="1" applyFont="1" applyFill="1"/>
    <xf numFmtId="175" fontId="9" fillId="6" borderId="0" xfId="1" applyNumberFormat="1" applyFont="1" applyFill="1" applyBorder="1"/>
    <xf numFmtId="0" fontId="35" fillId="0" borderId="0" xfId="0" applyNumberFormat="1" applyFont="1"/>
    <xf numFmtId="177" fontId="35" fillId="0" borderId="0" xfId="0" applyNumberFormat="1" applyFont="1"/>
    <xf numFmtId="0" fontId="9" fillId="0" borderId="0" xfId="9" quotePrefix="1" applyNumberFormat="1" applyFont="1" applyBorder="1" applyAlignment="1">
      <alignment horizontal="center"/>
    </xf>
    <xf numFmtId="177" fontId="9" fillId="0" borderId="0" xfId="3" applyNumberFormat="1" applyFont="1" applyFill="1" applyBorder="1"/>
    <xf numFmtId="0" fontId="9" fillId="0" borderId="0" xfId="0" quotePrefix="1" applyNumberFormat="1" applyFont="1" applyAlignment="1">
      <alignment horizontal="center"/>
    </xf>
    <xf numFmtId="175" fontId="36" fillId="0" borderId="0" xfId="1" applyNumberFormat="1" applyFont="1"/>
    <xf numFmtId="177" fontId="23" fillId="0" borderId="0" xfId="0" applyNumberFormat="1" applyFont="1"/>
    <xf numFmtId="0" fontId="6" fillId="0" borderId="9" xfId="8" applyFont="1" applyBorder="1" applyAlignment="1">
      <alignment horizontal="center" vertical="center"/>
    </xf>
    <xf numFmtId="0" fontId="6" fillId="0" borderId="9" xfId="8" applyFont="1" applyBorder="1" applyAlignment="1">
      <alignment horizontal="left" vertical="center" wrapText="1" indent="1"/>
    </xf>
    <xf numFmtId="175" fontId="28" fillId="0" borderId="0" xfId="12" applyNumberFormat="1" applyFont="1" applyAlignment="1">
      <alignment horizontal="left" indent="1"/>
    </xf>
    <xf numFmtId="177" fontId="9" fillId="0" borderId="0" xfId="3" applyNumberFormat="1" applyFont="1" applyFill="1" applyBorder="1" applyAlignment="1"/>
    <xf numFmtId="178" fontId="9" fillId="0" borderId="0" xfId="9" applyNumberFormat="1" applyFont="1"/>
    <xf numFmtId="178" fontId="9" fillId="0" borderId="0" xfId="9" applyNumberFormat="1"/>
    <xf numFmtId="175" fontId="35" fillId="0" borderId="0" xfId="1" applyNumberFormat="1" applyFont="1"/>
    <xf numFmtId="177" fontId="36" fillId="0" borderId="0" xfId="3" applyNumberFormat="1" applyFont="1" applyFill="1" applyBorder="1" applyAlignment="1"/>
    <xf numFmtId="44" fontId="71" fillId="0" borderId="0" xfId="3" applyFont="1" applyAlignment="1"/>
    <xf numFmtId="0" fontId="63" fillId="0" borderId="0" xfId="0" applyNumberFormat="1" applyFont="1" applyAlignment="1">
      <alignment horizontal="center"/>
    </xf>
    <xf numFmtId="175" fontId="9" fillId="0" borderId="0" xfId="1" applyNumberFormat="1" applyFont="1" applyFill="1" applyAlignment="1">
      <alignment horizontal="center"/>
    </xf>
    <xf numFmtId="175" fontId="9" fillId="0" borderId="0" xfId="12" applyNumberFormat="1" applyFont="1" applyAlignment="1"/>
    <xf numFmtId="177" fontId="9" fillId="0" borderId="0" xfId="4" applyNumberFormat="1" applyFont="1" applyFill="1" applyBorder="1"/>
    <xf numFmtId="0" fontId="9" fillId="0" borderId="0" xfId="0" applyNumberFormat="1" applyFont="1" applyFill="1"/>
    <xf numFmtId="0" fontId="18" fillId="0" borderId="0" xfId="0" applyNumberFormat="1" applyFont="1" applyFill="1"/>
    <xf numFmtId="0" fontId="45" fillId="0" borderId="0" xfId="0" applyNumberFormat="1" applyFont="1" applyFill="1"/>
    <xf numFmtId="0" fontId="65" fillId="0" borderId="0" xfId="0" applyNumberFormat="1" applyFont="1" applyFill="1"/>
    <xf numFmtId="177" fontId="64" fillId="0" borderId="0" xfId="3" applyNumberFormat="1" applyFont="1" applyFill="1"/>
    <xf numFmtId="173" fontId="2" fillId="0" borderId="0" xfId="0" applyFont="1" applyAlignment="1">
      <alignment vertical="center"/>
    </xf>
    <xf numFmtId="0" fontId="2" fillId="0" borderId="0" xfId="0" applyNumberFormat="1" applyFont="1" applyAlignment="1" applyProtection="1">
      <alignment vertical="center"/>
      <protection locked="0"/>
    </xf>
    <xf numFmtId="0" fontId="2" fillId="0" borderId="0" xfId="0" applyNumberFormat="1" applyFont="1" applyAlignment="1" applyProtection="1">
      <alignment horizontal="left" vertical="center"/>
      <protection locked="0"/>
    </xf>
    <xf numFmtId="0" fontId="2" fillId="0" borderId="0" xfId="0" applyNumberFormat="1" applyFont="1" applyAlignment="1" applyProtection="1">
      <alignment horizontal="right" vertical="center"/>
      <protection locked="0"/>
    </xf>
    <xf numFmtId="0" fontId="2" fillId="0" borderId="0" xfId="0" applyNumberFormat="1" applyFont="1" applyAlignment="1">
      <alignment vertical="center"/>
    </xf>
    <xf numFmtId="0" fontId="2" fillId="0" borderId="0" xfId="0" applyNumberFormat="1" applyFont="1" applyAlignment="1" applyProtection="1">
      <alignment horizontal="center" vertical="center"/>
      <protection locked="0"/>
    </xf>
    <xf numFmtId="0" fontId="2" fillId="0" borderId="0" xfId="0" applyNumberFormat="1" applyFont="1" applyAlignment="1">
      <alignment horizontal="right" vertical="center"/>
    </xf>
    <xf numFmtId="0" fontId="2" fillId="0" borderId="0" xfId="0" applyNumberFormat="1" applyFont="1" applyAlignment="1">
      <alignment horizontal="center" vertical="center"/>
    </xf>
    <xf numFmtId="0" fontId="2" fillId="4" borderId="0" xfId="0" applyNumberFormat="1" applyFont="1" applyFill="1" applyAlignment="1" applyProtection="1">
      <alignment vertical="center"/>
      <protection locked="0"/>
    </xf>
    <xf numFmtId="173" fontId="2" fillId="4" borderId="0" xfId="0" applyFont="1" applyFill="1" applyAlignment="1">
      <alignment vertical="center"/>
    </xf>
    <xf numFmtId="0" fontId="2" fillId="4" borderId="0" xfId="0" applyNumberFormat="1" applyFont="1" applyFill="1" applyAlignment="1">
      <alignment vertical="center"/>
    </xf>
    <xf numFmtId="0" fontId="2" fillId="4" borderId="0" xfId="0" applyNumberFormat="1" applyFont="1" applyFill="1" applyAlignment="1" applyProtection="1">
      <alignment horizontal="right" vertical="center"/>
      <protection locked="0"/>
    </xf>
    <xf numFmtId="3" fontId="2" fillId="0" borderId="0" xfId="0" applyNumberFormat="1" applyFont="1" applyAlignment="1">
      <alignment vertical="center"/>
    </xf>
    <xf numFmtId="49" fontId="2" fillId="4" borderId="0" xfId="0" applyNumberFormat="1" applyFont="1" applyFill="1" applyAlignment="1">
      <alignment vertical="center"/>
    </xf>
    <xf numFmtId="49" fontId="2" fillId="0" borderId="0" xfId="0" applyNumberFormat="1" applyFont="1" applyAlignment="1">
      <alignment vertical="center"/>
    </xf>
    <xf numFmtId="0" fontId="2" fillId="0" borderId="2" xfId="0" applyNumberFormat="1" applyFont="1" applyBorder="1" applyAlignment="1" applyProtection="1">
      <alignment horizontal="center" vertical="center"/>
      <protection locked="0"/>
    </xf>
    <xf numFmtId="42" fontId="2" fillId="0" borderId="0" xfId="0" applyNumberFormat="1" applyFont="1" applyAlignment="1">
      <alignment vertical="center"/>
    </xf>
    <xf numFmtId="0" fontId="2" fillId="0" borderId="2" xfId="0" applyNumberFormat="1" applyFont="1" applyBorder="1" applyAlignment="1" applyProtection="1">
      <alignment horizontal="centerContinuous" vertical="center"/>
      <protection locked="0"/>
    </xf>
    <xf numFmtId="166" fontId="2" fillId="0" borderId="0" xfId="0" applyNumberFormat="1" applyFont="1" applyAlignment="1">
      <alignment vertical="center"/>
    </xf>
    <xf numFmtId="3" fontId="2" fillId="4" borderId="0" xfId="0" applyNumberFormat="1" applyFont="1" applyFill="1" applyAlignment="1">
      <alignment vertical="center"/>
    </xf>
    <xf numFmtId="3" fontId="2" fillId="7" borderId="0" xfId="0" applyNumberFormat="1" applyFont="1" applyFill="1" applyAlignment="1">
      <alignment vertical="center"/>
    </xf>
    <xf numFmtId="3" fontId="2" fillId="0" borderId="2" xfId="0" applyNumberFormat="1" applyFont="1" applyBorder="1" applyAlignment="1">
      <alignment vertical="center"/>
    </xf>
    <xf numFmtId="3" fontId="2" fillId="0" borderId="0" xfId="0" applyNumberFormat="1" applyFont="1" applyAlignment="1">
      <alignment horizontal="fill" vertical="center"/>
    </xf>
    <xf numFmtId="0" fontId="2" fillId="0" borderId="0" xfId="0" applyNumberFormat="1" applyFont="1" applyFill="1" applyAlignment="1">
      <alignment horizontal="center" vertical="center"/>
    </xf>
    <xf numFmtId="173" fontId="2" fillId="0" borderId="0" xfId="0" applyFont="1" applyFill="1" applyAlignment="1">
      <alignment vertical="center"/>
    </xf>
    <xf numFmtId="0" fontId="2" fillId="0" borderId="0" xfId="0" applyNumberFormat="1" applyFont="1" applyFill="1" applyAlignment="1">
      <alignment vertical="center"/>
    </xf>
    <xf numFmtId="3" fontId="2" fillId="0" borderId="0" xfId="0" applyNumberFormat="1" applyFont="1" applyFill="1" applyAlignment="1">
      <alignment vertical="center"/>
    </xf>
    <xf numFmtId="166" fontId="38" fillId="0" borderId="0" xfId="0" applyNumberFormat="1" applyFont="1" applyFill="1" applyAlignment="1">
      <alignment vertical="center"/>
    </xf>
    <xf numFmtId="0" fontId="38" fillId="0" borderId="0" xfId="0" applyNumberFormat="1" applyFont="1" applyFill="1" applyAlignment="1">
      <alignment vertical="center"/>
    </xf>
    <xf numFmtId="175" fontId="0" fillId="0" borderId="0" xfId="1" applyNumberFormat="1" applyFont="1" applyFill="1" applyBorder="1" applyAlignment="1">
      <alignment vertical="center"/>
    </xf>
    <xf numFmtId="175" fontId="38" fillId="7" borderId="0" xfId="1" applyNumberFormat="1" applyFont="1" applyFill="1" applyBorder="1" applyAlignment="1">
      <alignment vertical="center"/>
    </xf>
    <xf numFmtId="0" fontId="2" fillId="0" borderId="0" xfId="0" applyNumberFormat="1" applyFont="1" applyFill="1" applyAlignment="1" applyProtection="1">
      <alignment horizontal="center" vertical="center"/>
      <protection locked="0"/>
    </xf>
    <xf numFmtId="0" fontId="2" fillId="0" borderId="0" xfId="15" applyNumberFormat="1" applyFont="1" applyFill="1" applyAlignment="1">
      <alignment vertical="center"/>
    </xf>
    <xf numFmtId="3" fontId="2" fillId="0" borderId="0" xfId="0" applyNumberFormat="1" applyFont="1" applyFill="1" applyAlignment="1">
      <alignment horizontal="fill" vertical="center"/>
    </xf>
    <xf numFmtId="42" fontId="2" fillId="0" borderId="3" xfId="0" applyNumberFormat="1" applyFont="1" applyFill="1" applyBorder="1" applyAlignment="1" applyProtection="1">
      <alignment horizontal="right" vertical="center"/>
      <protection locked="0"/>
    </xf>
    <xf numFmtId="0" fontId="0" fillId="0" borderId="0" xfId="0" applyNumberFormat="1" applyFont="1" applyBorder="1" applyAlignment="1">
      <alignment vertical="center"/>
    </xf>
    <xf numFmtId="0" fontId="38" fillId="0" borderId="18" xfId="11" applyFont="1" applyBorder="1" applyAlignment="1">
      <alignment horizontal="center" vertical="center" wrapText="1"/>
    </xf>
    <xf numFmtId="170" fontId="38" fillId="0" borderId="20" xfId="11" applyNumberFormat="1" applyFont="1" applyBorder="1" applyAlignment="1">
      <alignment horizontal="center" vertical="center" wrapText="1"/>
    </xf>
    <xf numFmtId="0" fontId="38" fillId="0" borderId="1" xfId="11" applyFont="1" applyFill="1" applyBorder="1" applyAlignment="1">
      <alignment horizontal="center" vertical="center" wrapText="1"/>
    </xf>
    <xf numFmtId="173" fontId="10" fillId="0" borderId="1" xfId="0" applyFont="1" applyBorder="1" applyAlignment="1">
      <alignment horizontal="left" vertical="center"/>
    </xf>
    <xf numFmtId="177" fontId="0" fillId="0" borderId="1" xfId="3" applyNumberFormat="1" applyFont="1" applyBorder="1" applyAlignment="1">
      <alignment vertical="center"/>
    </xf>
    <xf numFmtId="175" fontId="0" fillId="0" borderId="1" xfId="1" applyNumberFormat="1" applyFont="1" applyFill="1" applyBorder="1" applyAlignment="1">
      <alignment vertical="center"/>
    </xf>
    <xf numFmtId="177" fontId="43" fillId="0" borderId="1" xfId="3" applyNumberFormat="1" applyFont="1" applyBorder="1" applyAlignment="1">
      <alignment vertical="center"/>
    </xf>
    <xf numFmtId="175" fontId="43" fillId="0" borderId="1" xfId="1" applyNumberFormat="1" applyFont="1" applyFill="1" applyBorder="1" applyAlignment="1">
      <alignment vertical="center"/>
    </xf>
    <xf numFmtId="173" fontId="10" fillId="0" borderId="1" xfId="0" applyFont="1" applyFill="1" applyBorder="1" applyAlignment="1">
      <alignment horizontal="center" vertical="center"/>
    </xf>
    <xf numFmtId="177" fontId="44" fillId="0" borderId="1" xfId="3" applyNumberFormat="1" applyFont="1" applyBorder="1" applyAlignment="1">
      <alignment vertical="center"/>
    </xf>
    <xf numFmtId="175" fontId="44" fillId="0" borderId="1" xfId="1" applyNumberFormat="1" applyFont="1" applyBorder="1" applyAlignment="1">
      <alignment vertical="center"/>
    </xf>
    <xf numFmtId="173" fontId="10" fillId="0" borderId="0" xfId="0" applyFont="1" applyAlignment="1">
      <alignment horizontal="center" vertical="center"/>
    </xf>
    <xf numFmtId="173" fontId="2" fillId="0" borderId="0" xfId="0" applyFont="1" applyBorder="1" applyAlignment="1">
      <alignment vertical="center"/>
    </xf>
    <xf numFmtId="3" fontId="2" fillId="0" borderId="0" xfId="0" applyNumberFormat="1" applyFont="1" applyFill="1" applyBorder="1" applyAlignment="1">
      <alignment vertical="center"/>
    </xf>
    <xf numFmtId="3" fontId="2" fillId="4" borderId="0" xfId="0" applyNumberFormat="1" applyFont="1" applyFill="1" applyBorder="1" applyAlignment="1">
      <alignment vertical="center"/>
    </xf>
    <xf numFmtId="3" fontId="2" fillId="4" borderId="2" xfId="0" applyNumberFormat="1" applyFont="1" applyFill="1" applyBorder="1" applyAlignment="1">
      <alignment vertical="center"/>
    </xf>
    <xf numFmtId="168" fontId="2" fillId="0" borderId="0" xfId="0" applyNumberFormat="1" applyFont="1" applyAlignment="1">
      <alignment vertical="center"/>
    </xf>
    <xf numFmtId="168" fontId="2" fillId="0" borderId="0" xfId="0" applyNumberFormat="1" applyFont="1" applyAlignment="1">
      <alignment horizontal="center" vertical="center"/>
    </xf>
    <xf numFmtId="173" fontId="2" fillId="0" borderId="0" xfId="0" applyFont="1" applyAlignment="1">
      <alignment horizontal="center" vertical="center"/>
    </xf>
    <xf numFmtId="172" fontId="2" fillId="0" borderId="0" xfId="0" applyNumberFormat="1" applyFont="1" applyAlignment="1">
      <alignment vertical="center"/>
    </xf>
    <xf numFmtId="172" fontId="2" fillId="4" borderId="0" xfId="0" applyNumberFormat="1" applyFont="1" applyFill="1" applyAlignment="1" applyProtection="1">
      <alignment vertical="center"/>
      <protection locked="0"/>
    </xf>
    <xf numFmtId="172" fontId="2" fillId="0" borderId="0" xfId="0" applyNumberFormat="1" applyFont="1" applyAlignment="1" applyProtection="1">
      <alignment vertical="center"/>
      <protection locked="0"/>
    </xf>
    <xf numFmtId="169" fontId="2" fillId="0" borderId="0" xfId="0" applyNumberFormat="1" applyFont="1" applyAlignment="1">
      <alignment vertical="center"/>
    </xf>
    <xf numFmtId="0" fontId="2" fillId="0" borderId="0" xfId="0" applyNumberFormat="1" applyFont="1" applyAlignment="1">
      <alignment horizontal="lef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3" fontId="5" fillId="0" borderId="0" xfId="0" applyNumberFormat="1" applyFont="1" applyAlignment="1">
      <alignment horizontal="center" vertical="center"/>
    </xf>
    <xf numFmtId="0" fontId="5" fillId="0" borderId="0" xfId="0" applyNumberFormat="1" applyFont="1" applyAlignment="1" applyProtection="1">
      <alignment horizontal="center" vertical="center"/>
      <protection locked="0"/>
    </xf>
    <xf numFmtId="0" fontId="5" fillId="0" borderId="0" xfId="0" applyNumberFormat="1" applyFont="1" applyAlignment="1">
      <alignment vertical="center"/>
    </xf>
    <xf numFmtId="173" fontId="5" fillId="0" borderId="0" xfId="0" applyFont="1" applyAlignment="1">
      <alignment horizontal="center" vertical="center"/>
    </xf>
    <xf numFmtId="3" fontId="5" fillId="0" borderId="0" xfId="0" applyNumberFormat="1" applyFont="1" applyAlignment="1">
      <alignment vertical="center"/>
    </xf>
    <xf numFmtId="0" fontId="38" fillId="0" borderId="0" xfId="11" applyFont="1" applyBorder="1" applyAlignment="1">
      <alignment horizontal="center" vertical="center" wrapText="1"/>
    </xf>
    <xf numFmtId="173" fontId="0" fillId="0" borderId="0" xfId="0" applyFont="1" applyBorder="1" applyAlignment="1">
      <alignment vertical="center"/>
    </xf>
    <xf numFmtId="165" fontId="2" fillId="0" borderId="0" xfId="0" applyNumberFormat="1" applyFont="1" applyAlignment="1">
      <alignment vertical="center"/>
    </xf>
    <xf numFmtId="0" fontId="38" fillId="0" borderId="0" xfId="11" applyFont="1" applyBorder="1" applyAlignment="1">
      <alignment horizontal="center" vertical="center"/>
    </xf>
    <xf numFmtId="10" fontId="38" fillId="0" borderId="0" xfId="13" applyNumberFormat="1" applyFont="1" applyBorder="1" applyAlignment="1">
      <alignment horizontal="center" vertical="center"/>
    </xf>
    <xf numFmtId="173" fontId="0" fillId="0" borderId="0" xfId="0" applyFont="1" applyBorder="1" applyAlignment="1">
      <alignment horizontal="center" vertical="center"/>
    </xf>
    <xf numFmtId="10" fontId="0" fillId="0" borderId="1" xfId="0" applyNumberFormat="1" applyFont="1" applyBorder="1" applyAlignment="1">
      <alignment vertical="center"/>
    </xf>
    <xf numFmtId="10" fontId="43" fillId="0" borderId="1" xfId="0" applyNumberFormat="1" applyFont="1" applyBorder="1" applyAlignment="1">
      <alignment vertical="center"/>
    </xf>
    <xf numFmtId="10" fontId="44" fillId="0" borderId="1" xfId="0" applyNumberFormat="1" applyFont="1" applyBorder="1" applyAlignment="1">
      <alignment vertical="center"/>
    </xf>
    <xf numFmtId="164" fontId="2" fillId="0" borderId="0" xfId="0" applyNumberFormat="1" applyFont="1" applyAlignment="1">
      <alignment horizontal="center" vertical="center"/>
    </xf>
    <xf numFmtId="0" fontId="2" fillId="0" borderId="0" xfId="0" applyNumberFormat="1" applyFont="1" applyAlignment="1">
      <alignment horizontal="fill" vertical="center"/>
    </xf>
    <xf numFmtId="165" fontId="2" fillId="0" borderId="0" xfId="0" applyNumberFormat="1" applyFont="1" applyAlignment="1">
      <alignment horizontal="right" vertical="center"/>
    </xf>
    <xf numFmtId="3" fontId="2" fillId="0" borderId="0" xfId="0" applyNumberFormat="1" applyFont="1" applyAlignment="1">
      <alignment horizontal="center" vertical="center"/>
    </xf>
    <xf numFmtId="173" fontId="2" fillId="0" borderId="2" xfId="0" applyFont="1" applyBorder="1" applyAlignment="1">
      <alignment vertical="center"/>
    </xf>
    <xf numFmtId="3" fontId="2" fillId="0" borderId="3" xfId="0" applyNumberFormat="1" applyFont="1" applyBorder="1" applyAlignment="1">
      <alignment vertical="center"/>
    </xf>
    <xf numFmtId="3" fontId="2" fillId="0" borderId="24" xfId="0" applyNumberFormat="1" applyFont="1" applyBorder="1" applyAlignment="1">
      <alignment vertical="center"/>
    </xf>
    <xf numFmtId="0" fontId="72" fillId="0" borderId="0" xfId="0" applyNumberFormat="1" applyFont="1" applyAlignment="1">
      <alignment vertical="center"/>
    </xf>
    <xf numFmtId="173" fontId="72" fillId="0" borderId="0" xfId="0" applyFont="1" applyAlignment="1">
      <alignment vertical="center"/>
    </xf>
    <xf numFmtId="3" fontId="2" fillId="0" borderId="0" xfId="0" applyNumberFormat="1" applyFont="1" applyAlignment="1">
      <alignment horizontal="right" vertical="center"/>
    </xf>
    <xf numFmtId="0" fontId="2" fillId="0" borderId="0" xfId="0" applyNumberFormat="1" applyFont="1" applyFill="1" applyAlignment="1">
      <alignment horizontal="fill" vertical="center"/>
    </xf>
    <xf numFmtId="3" fontId="2" fillId="0" borderId="0" xfId="0" applyNumberFormat="1" applyFont="1" applyAlignment="1">
      <alignment horizontal="left" vertical="center"/>
    </xf>
    <xf numFmtId="166" fontId="2" fillId="0" borderId="0" xfId="0" applyNumberFormat="1" applyFont="1" applyAlignment="1">
      <alignment horizontal="right" vertical="center"/>
    </xf>
    <xf numFmtId="10" fontId="2" fillId="0" borderId="0" xfId="0" applyNumberFormat="1" applyFont="1" applyAlignment="1">
      <alignment horizontal="left" vertical="center"/>
    </xf>
    <xf numFmtId="166" fontId="2" fillId="0" borderId="0" xfId="0" applyNumberFormat="1" applyFont="1" applyAlignment="1">
      <alignment horizontal="center" vertical="center"/>
    </xf>
    <xf numFmtId="164" fontId="2" fillId="0" borderId="0" xfId="0" applyNumberFormat="1" applyFont="1" applyAlignment="1">
      <alignment horizontal="left" vertical="center"/>
    </xf>
    <xf numFmtId="10" fontId="2" fillId="0" borderId="0" xfId="0" applyNumberFormat="1" applyFont="1" applyFill="1" applyAlignment="1">
      <alignment horizontal="right" vertical="center"/>
    </xf>
    <xf numFmtId="169" fontId="2" fillId="0" borderId="0" xfId="0" applyNumberFormat="1" applyFont="1" applyFill="1" applyAlignment="1">
      <alignment horizontal="right" vertical="center"/>
    </xf>
    <xf numFmtId="164" fontId="2" fillId="0" borderId="0" xfId="0" applyNumberFormat="1" applyFont="1" applyAlignment="1" applyProtection="1">
      <alignment horizontal="left" vertical="center"/>
      <protection locked="0"/>
    </xf>
    <xf numFmtId="3" fontId="2" fillId="0" borderId="0" xfId="0" applyNumberFormat="1" applyFont="1" applyFill="1" applyAlignment="1">
      <alignment horizontal="right" vertical="center"/>
    </xf>
    <xf numFmtId="167" fontId="2" fillId="0" borderId="0" xfId="0" applyNumberFormat="1" applyFont="1" applyAlignment="1">
      <alignment vertical="center"/>
    </xf>
    <xf numFmtId="3" fontId="2" fillId="0" borderId="0" xfId="0" applyNumberFormat="1" applyFont="1" applyBorder="1" applyAlignment="1">
      <alignment vertical="center"/>
    </xf>
    <xf numFmtId="175" fontId="2" fillId="4" borderId="0" xfId="1" applyNumberFormat="1" applyFont="1" applyFill="1" applyBorder="1" applyAlignment="1">
      <alignment vertical="center"/>
    </xf>
    <xf numFmtId="175" fontId="2" fillId="0" borderId="0" xfId="1" applyNumberFormat="1" applyFont="1" applyAlignment="1">
      <alignment vertical="center"/>
    </xf>
    <xf numFmtId="175" fontId="2" fillId="0" borderId="0" xfId="1" applyNumberFormat="1" applyFont="1" applyFill="1" applyBorder="1" applyAlignment="1">
      <alignment vertical="center"/>
    </xf>
    <xf numFmtId="175" fontId="2" fillId="4" borderId="5" xfId="1" applyNumberFormat="1" applyFont="1" applyFill="1" applyBorder="1" applyAlignment="1">
      <alignment vertical="center"/>
    </xf>
    <xf numFmtId="175" fontId="2" fillId="0" borderId="5" xfId="1" applyNumberFormat="1" applyFont="1" applyFill="1" applyBorder="1" applyAlignment="1">
      <alignment vertical="center"/>
    </xf>
    <xf numFmtId="3" fontId="2" fillId="0" borderId="3" xfId="0" applyNumberFormat="1" applyFont="1" applyFill="1" applyBorder="1" applyAlignment="1">
      <alignment vertical="center"/>
    </xf>
    <xf numFmtId="164" fontId="2" fillId="0" borderId="0" xfId="0" applyNumberFormat="1" applyFont="1" applyFill="1" applyAlignment="1">
      <alignment horizontal="center" vertical="center"/>
    </xf>
    <xf numFmtId="173" fontId="2" fillId="0" borderId="0" xfId="0" applyFont="1" applyAlignment="1">
      <alignment horizontal="right" vertical="center"/>
    </xf>
    <xf numFmtId="0" fontId="2" fillId="0" borderId="2" xfId="0" applyNumberFormat="1" applyFont="1" applyBorder="1" applyAlignment="1" applyProtection="1">
      <alignment vertical="center"/>
      <protection locked="0"/>
    </xf>
    <xf numFmtId="0" fontId="2" fillId="0" borderId="2" xfId="0" applyNumberFormat="1" applyFont="1" applyBorder="1" applyAlignment="1">
      <alignment vertical="center"/>
    </xf>
    <xf numFmtId="170" fontId="2" fillId="0" borderId="7" xfId="0" applyNumberFormat="1" applyFont="1" applyBorder="1" applyAlignment="1">
      <alignment vertical="center"/>
    </xf>
    <xf numFmtId="0" fontId="2" fillId="0" borderId="0" xfId="0" applyNumberFormat="1" applyFont="1" applyBorder="1" applyAlignment="1">
      <alignment vertical="center"/>
    </xf>
    <xf numFmtId="170" fontId="2" fillId="4" borderId="8" xfId="0" applyNumberFormat="1" applyFont="1" applyFill="1" applyBorder="1" applyAlignment="1">
      <alignment vertical="center"/>
    </xf>
    <xf numFmtId="0" fontId="2" fillId="0" borderId="7" xfId="0" applyNumberFormat="1" applyFont="1" applyBorder="1" applyAlignment="1">
      <alignment horizontal="center" vertical="center"/>
    </xf>
    <xf numFmtId="173" fontId="73" fillId="0" borderId="0" xfId="0" applyFont="1" applyBorder="1" applyAlignment="1">
      <alignment vertical="center"/>
    </xf>
    <xf numFmtId="0" fontId="2" fillId="0" borderId="0" xfId="0" applyNumberFormat="1" applyFont="1" applyBorder="1" applyAlignment="1">
      <alignment horizontal="center" vertical="center"/>
    </xf>
    <xf numFmtId="170" fontId="2" fillId="4" borderId="7" xfId="0" applyNumberFormat="1" applyFont="1" applyFill="1" applyBorder="1" applyAlignment="1">
      <alignment vertical="center"/>
    </xf>
    <xf numFmtId="3" fontId="2" fillId="0" borderId="2" xfId="0" applyNumberFormat="1" applyFont="1" applyBorder="1" applyAlignment="1">
      <alignment horizontal="center" vertical="center"/>
    </xf>
    <xf numFmtId="170" fontId="2" fillId="0" borderId="7" xfId="0" applyNumberFormat="1" applyFont="1" applyFill="1" applyBorder="1" applyAlignment="1">
      <alignment vertical="center"/>
    </xf>
    <xf numFmtId="4" fontId="2" fillId="0" borderId="0" xfId="0" applyNumberFormat="1" applyFont="1" applyAlignment="1">
      <alignment vertical="center"/>
    </xf>
    <xf numFmtId="170" fontId="2" fillId="0" borderId="8" xfId="0" applyNumberFormat="1" applyFont="1" applyBorder="1" applyAlignment="1">
      <alignment vertical="center"/>
    </xf>
    <xf numFmtId="173" fontId="2" fillId="0" borderId="5" xfId="0" applyFont="1" applyBorder="1" applyAlignment="1">
      <alignment vertical="center"/>
    </xf>
    <xf numFmtId="170" fontId="2" fillId="0" borderId="0" xfId="0" applyNumberFormat="1" applyFont="1" applyBorder="1" applyAlignment="1">
      <alignment vertical="center"/>
    </xf>
    <xf numFmtId="3" fontId="2" fillId="0" borderId="0" xfId="0" applyNumberFormat="1" applyFont="1" applyBorder="1" applyAlignment="1">
      <alignment horizontal="center" vertical="center"/>
    </xf>
    <xf numFmtId="166" fontId="2" fillId="0" borderId="0" xfId="0" applyNumberFormat="1" applyFont="1" applyAlignment="1" applyProtection="1">
      <alignment horizontal="center" vertical="center"/>
      <protection locked="0"/>
    </xf>
    <xf numFmtId="170" fontId="2" fillId="4" borderId="0" xfId="0" applyNumberFormat="1" applyFont="1" applyFill="1" applyAlignment="1">
      <alignment vertical="center"/>
    </xf>
    <xf numFmtId="9" fontId="2" fillId="0" borderId="0" xfId="0" applyNumberFormat="1" applyFont="1" applyAlignment="1">
      <alignment vertical="center"/>
    </xf>
    <xf numFmtId="10" fontId="2" fillId="0" borderId="0" xfId="0" applyNumberFormat="1" applyFont="1" applyAlignment="1">
      <alignment vertical="center"/>
    </xf>
    <xf numFmtId="3" fontId="2" fillId="0" borderId="0" xfId="0" quotePrefix="1" applyNumberFormat="1" applyFont="1" applyAlignment="1">
      <alignment vertical="center"/>
    </xf>
    <xf numFmtId="9" fontId="2" fillId="0" borderId="2" xfId="0" applyNumberFormat="1" applyFont="1" applyBorder="1" applyAlignment="1">
      <alignment vertical="center"/>
    </xf>
    <xf numFmtId="169" fontId="2" fillId="0" borderId="2" xfId="0" applyNumberFormat="1" applyFont="1" applyBorder="1" applyAlignment="1">
      <alignment vertical="center"/>
    </xf>
    <xf numFmtId="9" fontId="2" fillId="0" borderId="0" xfId="0" applyNumberFormat="1" applyFont="1" applyFill="1" applyAlignment="1">
      <alignment vertical="center"/>
    </xf>
    <xf numFmtId="10" fontId="2" fillId="4" borderId="0" xfId="0" applyNumberFormat="1" applyFont="1" applyFill="1" applyAlignment="1">
      <alignment vertical="center"/>
    </xf>
    <xf numFmtId="3" fontId="2" fillId="0" borderId="0" xfId="0" applyNumberFormat="1" applyFont="1" applyFill="1" applyAlignment="1">
      <alignment horizontal="center" vertical="center"/>
    </xf>
    <xf numFmtId="0" fontId="2" fillId="0" borderId="2" xfId="0" applyNumberFormat="1" applyFont="1" applyFill="1" applyBorder="1" applyAlignment="1" applyProtection="1">
      <alignment horizontal="center" vertical="center"/>
      <protection locked="0"/>
    </xf>
    <xf numFmtId="10" fontId="2" fillId="0" borderId="0" xfId="13" applyNumberFormat="1" applyFont="1" applyAlignment="1">
      <alignment vertical="center"/>
    </xf>
    <xf numFmtId="0" fontId="2" fillId="0" borderId="0" xfId="0" applyNumberFormat="1" applyFont="1" applyFill="1" applyAlignment="1" applyProtection="1">
      <alignment vertical="center"/>
      <protection locked="0"/>
    </xf>
    <xf numFmtId="0" fontId="2" fillId="0" borderId="0" xfId="16" applyNumberFormat="1" applyFont="1" applyFill="1" applyAlignment="1">
      <alignment horizontal="center" vertical="center"/>
    </xf>
    <xf numFmtId="173" fontId="2" fillId="0" borderId="0" xfId="0" applyFont="1" applyFill="1" applyBorder="1" applyAlignment="1">
      <alignment vertical="center"/>
    </xf>
    <xf numFmtId="0" fontId="74" fillId="0" borderId="0" xfId="16" applyFont="1" applyFill="1" applyAlignment="1">
      <alignment vertical="center"/>
    </xf>
    <xf numFmtId="3" fontId="2" fillId="0" borderId="0" xfId="16" applyNumberFormat="1" applyFont="1" applyFill="1" applyAlignment="1">
      <alignment vertical="center"/>
    </xf>
    <xf numFmtId="0" fontId="2" fillId="0" borderId="0" xfId="16" applyFont="1" applyFill="1" applyAlignment="1">
      <alignment horizontal="right" vertical="center"/>
    </xf>
    <xf numFmtId="164" fontId="2" fillId="0" borderId="0" xfId="16" applyNumberFormat="1" applyFont="1" applyFill="1" applyAlignment="1">
      <alignment vertical="center"/>
    </xf>
    <xf numFmtId="173" fontId="2" fillId="0" borderId="0" xfId="0" applyFont="1" applyFill="1" applyAlignment="1" applyProtection="1">
      <alignment vertical="center"/>
    </xf>
    <xf numFmtId="0" fontId="2" fillId="0" borderId="0" xfId="0" applyNumberFormat="1" applyFont="1" applyBorder="1" applyAlignment="1" applyProtection="1">
      <alignment vertical="center"/>
      <protection locked="0"/>
    </xf>
    <xf numFmtId="172" fontId="2" fillId="0" borderId="0" xfId="0" applyNumberFormat="1" applyFont="1" applyBorder="1" applyAlignment="1" applyProtection="1">
      <alignment vertical="center"/>
      <protection locked="0"/>
    </xf>
    <xf numFmtId="170" fontId="2" fillId="0" borderId="0" xfId="0" applyNumberFormat="1" applyFont="1" applyFill="1" applyBorder="1" applyAlignment="1" applyProtection="1">
      <alignment vertical="center"/>
    </xf>
    <xf numFmtId="170" fontId="2" fillId="4" borderId="0" xfId="0" applyNumberFormat="1" applyFont="1" applyFill="1" applyBorder="1" applyAlignment="1" applyProtection="1">
      <alignment vertical="center"/>
    </xf>
    <xf numFmtId="170" fontId="2" fillId="4" borderId="0" xfId="0" applyNumberFormat="1" applyFont="1" applyFill="1" applyBorder="1" applyAlignment="1" applyProtection="1">
      <alignment vertical="center"/>
      <protection locked="0"/>
    </xf>
    <xf numFmtId="0" fontId="2" fillId="0" borderId="0" xfId="0" applyNumberFormat="1" applyFont="1" applyFill="1" applyBorder="1" applyAlignment="1" applyProtection="1">
      <alignment vertical="center"/>
      <protection locked="0"/>
    </xf>
    <xf numFmtId="0" fontId="2" fillId="0" borderId="2" xfId="0" applyNumberFormat="1" applyFont="1" applyBorder="1" applyAlignment="1" applyProtection="1">
      <alignment horizontal="left" vertical="center"/>
      <protection locked="0"/>
    </xf>
    <xf numFmtId="170" fontId="2" fillId="4" borderId="2" xfId="0" applyNumberFormat="1" applyFont="1" applyFill="1" applyBorder="1" applyAlignment="1" applyProtection="1">
      <alignment vertical="center"/>
      <protection locked="0"/>
    </xf>
    <xf numFmtId="173" fontId="2" fillId="0" borderId="0" xfId="0" applyNumberFormat="1" applyFont="1" applyAlignment="1" applyProtection="1">
      <alignment vertical="center"/>
      <protection locked="0"/>
    </xf>
    <xf numFmtId="3" fontId="2" fillId="0" borderId="0" xfId="0" applyNumberFormat="1" applyFont="1" applyAlignment="1" applyProtection="1">
      <alignment vertical="center"/>
      <protection locked="0"/>
    </xf>
    <xf numFmtId="170" fontId="2" fillId="0" borderId="0" xfId="0" applyNumberFormat="1" applyFont="1" applyAlignment="1" applyProtection="1">
      <alignment horizontal="right" vertical="center"/>
      <protection locked="0"/>
    </xf>
    <xf numFmtId="170" fontId="2" fillId="0" borderId="0" xfId="0" applyNumberFormat="1" applyFont="1" applyAlignment="1" applyProtection="1">
      <alignment vertical="center"/>
      <protection locked="0"/>
    </xf>
    <xf numFmtId="3" fontId="2" fillId="0" borderId="0" xfId="0" applyNumberFormat="1" applyFont="1" applyFill="1" applyAlignment="1" applyProtection="1">
      <alignment vertical="center"/>
    </xf>
    <xf numFmtId="0" fontId="2" fillId="0" borderId="0" xfId="0" applyNumberFormat="1" applyFont="1" applyAlignment="1" applyProtection="1">
      <alignment horizontal="center" vertical="center" wrapText="1"/>
      <protection locked="0"/>
    </xf>
    <xf numFmtId="0" fontId="2" fillId="0" borderId="0" xfId="0" applyNumberFormat="1" applyFont="1" applyFill="1" applyAlignment="1" applyProtection="1">
      <alignment horizontal="left" vertical="center" wrapText="1"/>
      <protection locked="0"/>
    </xf>
    <xf numFmtId="0" fontId="2" fillId="0" borderId="0" xfId="0" applyNumberFormat="1" applyFont="1" applyFill="1" applyAlignment="1" applyProtection="1">
      <alignment vertical="center" wrapText="1"/>
      <protection locked="0"/>
    </xf>
    <xf numFmtId="10" fontId="2" fillId="4" borderId="0" xfId="0" applyNumberFormat="1" applyFont="1" applyFill="1" applyAlignment="1" applyProtection="1">
      <alignment vertical="center" wrapText="1"/>
      <protection locked="0"/>
    </xf>
    <xf numFmtId="3" fontId="2" fillId="0" borderId="0" xfId="0" applyNumberFormat="1" applyFont="1" applyAlignment="1">
      <alignment vertical="center" wrapText="1"/>
    </xf>
    <xf numFmtId="0" fontId="2" fillId="0" borderId="0" xfId="0" applyNumberFormat="1" applyFont="1" applyAlignment="1" applyProtection="1">
      <alignment vertical="center" wrapText="1"/>
      <protection locked="0"/>
    </xf>
    <xf numFmtId="0" fontId="2" fillId="0" borderId="0" xfId="0" applyNumberFormat="1" applyFont="1" applyFill="1" applyAlignment="1" applyProtection="1">
      <alignment horizontal="left" vertical="center"/>
      <protection locked="0"/>
    </xf>
    <xf numFmtId="173" fontId="2" fillId="0" borderId="0" xfId="0" applyFont="1" applyAlignment="1">
      <alignment horizontal="center" vertical="center" wrapText="1"/>
    </xf>
    <xf numFmtId="173" fontId="2" fillId="0" borderId="0" xfId="0" applyFont="1" applyFill="1" applyAlignment="1">
      <alignment horizontal="center" vertical="center" wrapText="1"/>
    </xf>
    <xf numFmtId="0" fontId="2" fillId="0" borderId="0" xfId="0" applyNumberFormat="1" applyFont="1" applyFill="1" applyAlignment="1">
      <alignment horizontal="left" vertical="center" wrapText="1"/>
    </xf>
    <xf numFmtId="0" fontId="2" fillId="0" borderId="0" xfId="0" applyNumberFormat="1" applyFont="1" applyFill="1" applyAlignment="1">
      <alignment vertical="center" wrapText="1"/>
    </xf>
    <xf numFmtId="173" fontId="9" fillId="0" borderId="0" xfId="0" applyFont="1" applyAlignment="1">
      <alignment horizontal="center"/>
    </xf>
    <xf numFmtId="0" fontId="26" fillId="0" borderId="0" xfId="12" applyFont="1" applyFill="1" applyAlignment="1"/>
    <xf numFmtId="0" fontId="9" fillId="0" borderId="0" xfId="12" applyFill="1" applyAlignment="1"/>
    <xf numFmtId="175" fontId="9" fillId="0" borderId="0" xfId="1" applyNumberFormat="1" applyFont="1" applyFill="1" applyAlignment="1">
      <alignment horizontal="left" indent="1"/>
    </xf>
    <xf numFmtId="0" fontId="9" fillId="0" borderId="0" xfId="12" applyFill="1" applyAlignment="1">
      <alignment horizontal="center"/>
    </xf>
    <xf numFmtId="175" fontId="36" fillId="0" borderId="0" xfId="1" applyNumberFormat="1" applyFont="1" applyFill="1"/>
    <xf numFmtId="177" fontId="35" fillId="0" borderId="0" xfId="3" applyNumberFormat="1" applyFont="1" applyFill="1"/>
    <xf numFmtId="173" fontId="46" fillId="0" borderId="0" xfId="0" applyFont="1" applyAlignment="1">
      <alignment horizontal="center"/>
    </xf>
    <xf numFmtId="177" fontId="76" fillId="0" borderId="0" xfId="3" applyNumberFormat="1" applyFont="1" applyAlignment="1">
      <alignment vertical="center"/>
    </xf>
    <xf numFmtId="173" fontId="73" fillId="0" borderId="0" xfId="0" applyFont="1" applyAlignment="1">
      <alignment horizontal="center"/>
    </xf>
    <xf numFmtId="177" fontId="2" fillId="0" borderId="0" xfId="3" applyNumberFormat="1" applyFont="1" applyAlignment="1"/>
    <xf numFmtId="177" fontId="77" fillId="0" borderId="0" xfId="3" applyNumberFormat="1" applyFont="1" applyAlignment="1">
      <alignment vertical="center"/>
    </xf>
    <xf numFmtId="177" fontId="77" fillId="0" borderId="0" xfId="3" applyNumberFormat="1" applyFont="1" applyAlignment="1"/>
    <xf numFmtId="177" fontId="71" fillId="0" borderId="0" xfId="3" applyNumberFormat="1" applyFont="1" applyAlignment="1">
      <alignment vertical="center"/>
    </xf>
    <xf numFmtId="177" fontId="71" fillId="0" borderId="0" xfId="3" applyNumberFormat="1" applyFont="1" applyAlignment="1"/>
    <xf numFmtId="10" fontId="2" fillId="0" borderId="0" xfId="13" applyNumberFormat="1" applyFont="1" applyAlignment="1">
      <alignment horizontal="center" vertical="center"/>
    </xf>
    <xf numFmtId="177" fontId="78" fillId="0" borderId="0" xfId="3" applyNumberFormat="1" applyFont="1" applyAlignment="1"/>
    <xf numFmtId="170" fontId="9" fillId="0" borderId="0" xfId="0" applyNumberFormat="1" applyFont="1" applyAlignment="1"/>
    <xf numFmtId="177" fontId="8" fillId="0" borderId="0" xfId="3" applyNumberFormat="1" applyFont="1" applyAlignment="1">
      <alignment horizontal="center"/>
    </xf>
    <xf numFmtId="177" fontId="9" fillId="0" borderId="0" xfId="3" applyNumberFormat="1" applyFont="1" applyAlignment="1">
      <alignment horizontal="center"/>
    </xf>
    <xf numFmtId="177" fontId="69" fillId="0" borderId="0" xfId="0" applyNumberFormat="1" applyFont="1"/>
    <xf numFmtId="177" fontId="81" fillId="0" borderId="0" xfId="3" applyNumberFormat="1" applyFont="1" applyAlignment="1">
      <alignment vertical="center"/>
    </xf>
    <xf numFmtId="177" fontId="82" fillId="0" borderId="0" xfId="3" applyNumberFormat="1" applyFont="1" applyAlignment="1">
      <alignment horizontal="center" vertical="center"/>
    </xf>
    <xf numFmtId="177" fontId="82" fillId="0" borderId="0" xfId="3" applyNumberFormat="1" applyFont="1" applyAlignment="1">
      <alignment vertical="center"/>
    </xf>
    <xf numFmtId="177" fontId="76" fillId="0" borderId="0" xfId="3" applyNumberFormat="1" applyFont="1" applyBorder="1" applyAlignment="1">
      <alignment vertical="center"/>
    </xf>
    <xf numFmtId="177" fontId="82" fillId="0" borderId="0" xfId="3" applyNumberFormat="1" applyFont="1" applyBorder="1" applyAlignment="1">
      <alignment vertical="center"/>
    </xf>
    <xf numFmtId="173" fontId="2" fillId="0" borderId="7" xfId="0" applyFont="1" applyBorder="1" applyAlignment="1">
      <alignment vertical="center"/>
    </xf>
    <xf numFmtId="173" fontId="5" fillId="0" borderId="0" xfId="0" applyFont="1" applyBorder="1" applyAlignment="1">
      <alignment vertical="center"/>
    </xf>
    <xf numFmtId="0" fontId="2" fillId="0" borderId="7" xfId="0" applyNumberFormat="1" applyFont="1" applyBorder="1" applyAlignment="1"/>
    <xf numFmtId="3" fontId="2" fillId="0" borderId="0" xfId="0" applyNumberFormat="1" applyFont="1" applyBorder="1" applyAlignment="1"/>
    <xf numFmtId="0" fontId="2" fillId="0" borderId="0" xfId="0" applyNumberFormat="1" applyFont="1" applyBorder="1" applyAlignment="1"/>
    <xf numFmtId="175" fontId="2" fillId="7" borderId="2" xfId="1" applyNumberFormat="1" applyFont="1" applyFill="1" applyBorder="1" applyAlignment="1">
      <alignment vertical="center"/>
    </xf>
    <xf numFmtId="175" fontId="2" fillId="7" borderId="0" xfId="1" applyNumberFormat="1" applyFont="1" applyFill="1" applyAlignment="1">
      <alignment vertical="center"/>
    </xf>
    <xf numFmtId="175" fontId="2" fillId="0" borderId="0" xfId="1" applyNumberFormat="1" applyFont="1" applyFill="1" applyAlignment="1">
      <alignment vertical="center"/>
    </xf>
    <xf numFmtId="43" fontId="2" fillId="7" borderId="2" xfId="1" applyNumberFormat="1" applyFont="1" applyFill="1" applyBorder="1" applyAlignment="1">
      <alignment vertical="center"/>
    </xf>
    <xf numFmtId="0" fontId="18" fillId="0" borderId="0" xfId="0" applyNumberFormat="1" applyFont="1" applyFill="1" applyAlignment="1">
      <alignment horizontal="center"/>
    </xf>
    <xf numFmtId="173" fontId="2" fillId="0" borderId="0" xfId="0" applyNumberFormat="1" applyFont="1" applyAlignment="1"/>
    <xf numFmtId="173" fontId="83" fillId="0" borderId="0" xfId="0" applyNumberFormat="1" applyFont="1" applyAlignment="1">
      <alignment horizontal="center"/>
    </xf>
    <xf numFmtId="177" fontId="2" fillId="0" borderId="0" xfId="3" applyNumberFormat="1" applyFont="1" applyBorder="1" applyAlignment="1"/>
    <xf numFmtId="177" fontId="73" fillId="0" borderId="0" xfId="3" applyNumberFormat="1" applyFont="1" applyBorder="1" applyAlignment="1"/>
    <xf numFmtId="177" fontId="73" fillId="0" borderId="0" xfId="3" applyNumberFormat="1" applyFont="1" applyAlignment="1"/>
    <xf numFmtId="177" fontId="71" fillId="0" borderId="0" xfId="0" applyNumberFormat="1" applyFont="1" applyAlignment="1">
      <alignment vertical="center"/>
    </xf>
    <xf numFmtId="173" fontId="9" fillId="0" borderId="0" xfId="0" applyFont="1" applyFill="1" applyAlignment="1"/>
    <xf numFmtId="171" fontId="44" fillId="0" borderId="0" xfId="13" applyNumberFormat="1" applyFont="1" applyAlignment="1">
      <alignment horizontal="center" vertical="center"/>
    </xf>
    <xf numFmtId="170" fontId="2" fillId="0" borderId="0" xfId="0" applyNumberFormat="1" applyFont="1" applyAlignment="1">
      <alignment vertical="center"/>
    </xf>
    <xf numFmtId="177" fontId="76" fillId="0" borderId="0" xfId="3" applyNumberFormat="1" applyFont="1" applyAlignment="1">
      <alignment horizontal="center" vertical="center"/>
    </xf>
    <xf numFmtId="44" fontId="79" fillId="0" borderId="0" xfId="3" applyFont="1" applyAlignment="1">
      <alignment vertical="center"/>
    </xf>
    <xf numFmtId="0" fontId="9" fillId="0" borderId="0" xfId="8" applyFont="1" applyAlignment="1">
      <alignment horizontal="left" vertical="center" wrapText="1" indent="1"/>
    </xf>
    <xf numFmtId="44" fontId="84" fillId="0" borderId="0" xfId="3" applyFont="1" applyAlignment="1">
      <alignment vertical="center"/>
    </xf>
    <xf numFmtId="0" fontId="2" fillId="0" borderId="0" xfId="0" applyNumberFormat="1" applyFont="1" applyFill="1" applyAlignment="1">
      <alignment horizontal="left" vertical="center" wrapText="1"/>
    </xf>
    <xf numFmtId="0" fontId="2" fillId="0" borderId="0" xfId="0" applyNumberFormat="1" applyFont="1" applyFill="1" applyAlignment="1">
      <alignment vertical="center" wrapText="1"/>
    </xf>
    <xf numFmtId="0" fontId="2" fillId="0" borderId="0" xfId="0" applyNumberFormat="1" applyFont="1" applyFill="1" applyAlignment="1" applyProtection="1">
      <alignment vertical="center" wrapText="1"/>
      <protection locked="0"/>
    </xf>
    <xf numFmtId="0" fontId="2" fillId="0" borderId="0" xfId="0" applyNumberFormat="1" applyFont="1" applyAlignment="1" applyProtection="1">
      <alignment vertical="center" wrapText="1"/>
      <protection locked="0"/>
    </xf>
    <xf numFmtId="0" fontId="0" fillId="0" borderId="0" xfId="0" applyNumberFormat="1" applyFont="1" applyAlignment="1">
      <alignment horizontal="center" vertical="center"/>
    </xf>
    <xf numFmtId="173" fontId="72" fillId="0" borderId="0" xfId="0" applyFont="1" applyAlignment="1">
      <alignment horizontal="left" vertical="center" wrapText="1"/>
    </xf>
    <xf numFmtId="0" fontId="72" fillId="0" borderId="0" xfId="0" applyNumberFormat="1" applyFont="1" applyAlignment="1" applyProtection="1">
      <alignment vertical="center" wrapText="1"/>
      <protection locked="0"/>
    </xf>
    <xf numFmtId="3" fontId="2" fillId="0" borderId="0" xfId="0" applyNumberFormat="1" applyFont="1" applyAlignment="1">
      <alignment horizontal="right" vertical="center"/>
    </xf>
    <xf numFmtId="0" fontId="2" fillId="0" borderId="18" xfId="0" applyNumberFormat="1" applyFont="1" applyBorder="1" applyAlignment="1">
      <alignment horizontal="center"/>
    </xf>
    <xf numFmtId="0" fontId="2" fillId="0" borderId="19" xfId="0" applyNumberFormat="1" applyFont="1" applyBorder="1" applyAlignment="1">
      <alignment horizontal="center"/>
    </xf>
    <xf numFmtId="0" fontId="2" fillId="0" borderId="20" xfId="0" applyNumberFormat="1" applyFont="1" applyBorder="1" applyAlignment="1">
      <alignment horizontal="center"/>
    </xf>
    <xf numFmtId="173" fontId="8" fillId="0" borderId="0" xfId="0" applyFont="1" applyBorder="1" applyAlignment="1">
      <alignment horizontal="center"/>
    </xf>
    <xf numFmtId="14" fontId="8" fillId="0" borderId="0" xfId="9" quotePrefix="1" applyNumberFormat="1" applyFont="1" applyAlignment="1">
      <alignment horizontal="center"/>
    </xf>
    <xf numFmtId="3" fontId="23" fillId="0" borderId="5" xfId="4" applyNumberFormat="1" applyFont="1" applyBorder="1" applyAlignment="1">
      <alignment horizontal="center"/>
    </xf>
    <xf numFmtId="0" fontId="36" fillId="0" borderId="0" xfId="9" applyNumberFormat="1" applyFont="1" applyBorder="1" applyAlignment="1">
      <alignment horizontal="center"/>
    </xf>
    <xf numFmtId="0" fontId="36" fillId="0" borderId="0" xfId="9" quotePrefix="1" applyNumberFormat="1" applyFont="1" applyBorder="1" applyAlignment="1">
      <alignment horizontal="center"/>
    </xf>
    <xf numFmtId="0" fontId="36" fillId="0" borderId="19" xfId="9" applyNumberFormat="1" applyFont="1" applyBorder="1" applyAlignment="1">
      <alignment horizontal="center"/>
    </xf>
    <xf numFmtId="0" fontId="36" fillId="0" borderId="19" xfId="9" quotePrefix="1" applyNumberFormat="1" applyFont="1" applyBorder="1" applyAlignment="1">
      <alignment horizontal="center"/>
    </xf>
    <xf numFmtId="14" fontId="36" fillId="0" borderId="0" xfId="4" applyNumberFormat="1" applyFont="1" applyBorder="1" applyAlignment="1">
      <alignment horizontal="center"/>
    </xf>
    <xf numFmtId="3" fontId="9" fillId="0" borderId="0" xfId="4" applyNumberFormat="1" applyFont="1" applyFill="1" applyBorder="1" applyAlignment="1">
      <alignment horizontal="center"/>
    </xf>
    <xf numFmtId="3" fontId="26" fillId="0" borderId="0" xfId="4" applyNumberFormat="1" applyFont="1" applyFill="1" applyBorder="1" applyAlignment="1">
      <alignment horizontal="center"/>
    </xf>
    <xf numFmtId="0" fontId="9" fillId="0" borderId="0" xfId="8" applyFont="1" applyAlignment="1">
      <alignment horizontal="center" vertical="center" wrapText="1"/>
    </xf>
    <xf numFmtId="0" fontId="36" fillId="0" borderId="0" xfId="12" applyFont="1" applyAlignment="1">
      <alignment horizontal="center"/>
    </xf>
    <xf numFmtId="0" fontId="39" fillId="0" borderId="0" xfId="0" applyNumberFormat="1" applyFont="1" applyBorder="1" applyAlignment="1">
      <alignment horizontal="center" vertical="center" wrapText="1"/>
    </xf>
    <xf numFmtId="0" fontId="29" fillId="0" borderId="18" xfId="12" applyFont="1" applyBorder="1" applyAlignment="1">
      <alignment horizontal="center" vertical="center" wrapText="1"/>
    </xf>
    <xf numFmtId="0" fontId="29" fillId="0" borderId="20" xfId="12" applyFont="1" applyBorder="1" applyAlignment="1">
      <alignment horizontal="center" vertical="center" wrapText="1"/>
    </xf>
    <xf numFmtId="0" fontId="29" fillId="0" borderId="7" xfId="12" applyFont="1" applyBorder="1" applyAlignment="1">
      <alignment horizontal="center" vertical="center" wrapText="1"/>
    </xf>
    <xf numFmtId="0" fontId="29" fillId="0" borderId="4" xfId="12" applyFont="1" applyBorder="1" applyAlignment="1">
      <alignment horizontal="center" vertical="center" wrapText="1"/>
    </xf>
    <xf numFmtId="0" fontId="29" fillId="0" borderId="8" xfId="12" applyFont="1" applyBorder="1" applyAlignment="1">
      <alignment horizontal="center" vertical="center" wrapText="1"/>
    </xf>
    <xf numFmtId="0" fontId="29" fillId="0" borderId="6" xfId="12" applyFont="1" applyBorder="1" applyAlignment="1">
      <alignment horizontal="center" vertical="center" wrapText="1"/>
    </xf>
    <xf numFmtId="0" fontId="8" fillId="0" borderId="21" xfId="12" applyFont="1" applyBorder="1" applyAlignment="1">
      <alignment horizontal="center" vertical="center"/>
    </xf>
    <xf numFmtId="0" fontId="8" fillId="0" borderId="22" xfId="12" applyFont="1" applyBorder="1" applyAlignment="1">
      <alignment horizontal="center" vertical="center"/>
    </xf>
    <xf numFmtId="0" fontId="8" fillId="0" borderId="23" xfId="12" applyFont="1" applyBorder="1" applyAlignment="1">
      <alignment horizontal="center" vertical="center"/>
    </xf>
    <xf numFmtId="0" fontId="67" fillId="0" borderId="0" xfId="0" applyNumberFormat="1" applyFont="1" applyAlignment="1">
      <alignment horizontal="center"/>
    </xf>
    <xf numFmtId="174" fontId="24" fillId="0" borderId="0" xfId="10" applyFont="1" applyAlignment="1">
      <alignment horizontal="center"/>
    </xf>
    <xf numFmtId="0" fontId="63" fillId="0" borderId="0" xfId="0" applyNumberFormat="1" applyFont="1" applyAlignment="1">
      <alignment horizontal="center"/>
    </xf>
    <xf numFmtId="0" fontId="9" fillId="0" borderId="0" xfId="0" applyNumberFormat="1" applyFont="1" applyAlignment="1">
      <alignment horizontal="center"/>
    </xf>
    <xf numFmtId="0" fontId="70" fillId="0" borderId="0" xfId="0" applyNumberFormat="1" applyFont="1" applyAlignment="1">
      <alignment horizontal="center"/>
    </xf>
    <xf numFmtId="0" fontId="53" fillId="0" borderId="0" xfId="0" applyNumberFormat="1" applyFont="1" applyAlignment="1">
      <alignment horizontal="center"/>
    </xf>
  </cellXfs>
  <cellStyles count="30">
    <cellStyle name="Comma" xfId="1" builtinId="3"/>
    <cellStyle name="Comma 2" xfId="2"/>
    <cellStyle name="Comma 2 2" xfId="20"/>
    <cellStyle name="Comma 3" xfId="17"/>
    <cellStyle name="Currency" xfId="3" builtinId="4"/>
    <cellStyle name="Currency 2" xfId="4"/>
    <cellStyle name="Currency 2 2" xfId="21"/>
    <cellStyle name="Grey" xfId="5"/>
    <cellStyle name="Input [yellow]" xfId="6"/>
    <cellStyle name="Normal" xfId="0" builtinId="0"/>
    <cellStyle name="Normal - Style1" xfId="7"/>
    <cellStyle name="Normal 10" xfId="26"/>
    <cellStyle name="Normal 2" xfId="8"/>
    <cellStyle name="Normal 2 2" xfId="9"/>
    <cellStyle name="Normal 2 3" xfId="22"/>
    <cellStyle name="Normal 3" xfId="16"/>
    <cellStyle name="Normal 4" xfId="27"/>
    <cellStyle name="Normal 5" xfId="23"/>
    <cellStyle name="Normal 6" xfId="28"/>
    <cellStyle name="Normal 9" xfId="25"/>
    <cellStyle name="Normal_ATE-4  Attachment  O Populated (3)" xfId="15"/>
    <cellStyle name="Normal_Debt Service" xfId="10"/>
    <cellStyle name="Normal_GRE_Rate_Zones_Allocation_11042004" xfId="11"/>
    <cellStyle name="Normal_SALALLOC2005" xfId="12"/>
    <cellStyle name="Percent" xfId="13" builtinId="5"/>
    <cellStyle name="Percent [2]" xfId="14"/>
    <cellStyle name="Percent 2" xfId="19"/>
    <cellStyle name="Percent 3" xfId="18"/>
    <cellStyle name="Percent 4" xfId="24"/>
    <cellStyle name="Percent 5" xfId="2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3"/>
  <sheetViews>
    <sheetView tabSelected="1" zoomScale="75" zoomScaleNormal="75" zoomScaleSheetLayoutView="75" workbookViewId="0">
      <selection activeCell="I36" sqref="I36"/>
    </sheetView>
  </sheetViews>
  <sheetFormatPr defaultColWidth="8.90625" defaultRowHeight="15.6"/>
  <cols>
    <col min="1" max="1" width="6" style="382" customWidth="1"/>
    <col min="2" max="2" width="47.36328125" style="382" customWidth="1"/>
    <col min="3" max="3" width="27.453125" style="382" customWidth="1"/>
    <col min="4" max="4" width="11.90625" style="382" customWidth="1"/>
    <col min="5" max="5" width="6.36328125" style="382" customWidth="1"/>
    <col min="6" max="6" width="4.6328125" style="382" customWidth="1"/>
    <col min="7" max="7" width="8.7265625" style="382" customWidth="1"/>
    <col min="8" max="8" width="3.90625" style="382" customWidth="1"/>
    <col min="9" max="9" width="10.90625" style="382" customWidth="1"/>
    <col min="10" max="10" width="2.08984375" style="382" customWidth="1"/>
    <col min="11" max="11" width="9.1796875" style="382" customWidth="1"/>
    <col min="12" max="12" width="8.90625" style="382"/>
    <col min="13" max="13" width="10.36328125" style="382" bestFit="1" customWidth="1"/>
    <col min="14" max="14" width="16.81640625" style="382" customWidth="1"/>
    <col min="15" max="15" width="12" style="382" customWidth="1"/>
    <col min="16" max="16" width="13.08984375" style="382" bestFit="1" customWidth="1"/>
    <col min="17" max="17" width="15.08984375" style="2" bestFit="1" customWidth="1"/>
    <col min="18" max="18" width="10.26953125" style="2" bestFit="1" customWidth="1"/>
    <col min="19" max="19" width="10.54296875" style="2" bestFit="1" customWidth="1"/>
    <col min="20" max="20" width="8.90625" style="2"/>
    <col min="21" max="21" width="10.1796875" style="2" bestFit="1" customWidth="1"/>
    <col min="22" max="25" width="8.90625" style="2"/>
    <col min="26" max="26" width="8.90625" style="2" customWidth="1"/>
    <col min="27" max="16384" width="8.90625" style="2"/>
  </cols>
  <sheetData>
    <row r="1" spans="1:16">
      <c r="A1" s="382" t="s">
        <v>185</v>
      </c>
      <c r="B1" s="383"/>
      <c r="C1" s="383"/>
      <c r="D1" s="384"/>
      <c r="E1" s="383"/>
      <c r="F1" s="383"/>
      <c r="G1" s="383"/>
      <c r="H1" s="383"/>
      <c r="I1" s="385"/>
      <c r="J1" s="385"/>
      <c r="K1" s="385" t="s">
        <v>683</v>
      </c>
      <c r="L1" s="386"/>
      <c r="N1" s="386"/>
      <c r="O1" s="386"/>
      <c r="P1" s="386"/>
    </row>
    <row r="2" spans="1:16">
      <c r="A2" s="382" t="s">
        <v>245</v>
      </c>
      <c r="B2" s="383"/>
      <c r="C2" s="383"/>
      <c r="D2" s="384"/>
      <c r="E2" s="383"/>
      <c r="F2" s="383"/>
      <c r="G2" s="383"/>
      <c r="H2" s="383"/>
      <c r="I2" s="385"/>
      <c r="J2" s="385"/>
      <c r="K2" s="385" t="s">
        <v>684</v>
      </c>
      <c r="L2" s="386"/>
      <c r="N2" s="386"/>
      <c r="O2" s="386"/>
      <c r="P2" s="386"/>
    </row>
    <row r="3" spans="1:16">
      <c r="B3" s="383"/>
      <c r="C3" s="387"/>
      <c r="D3" s="384"/>
      <c r="E3" s="383"/>
      <c r="F3" s="383"/>
      <c r="G3" s="383"/>
      <c r="H3" s="383"/>
      <c r="I3" s="385"/>
      <c r="J3" s="385"/>
      <c r="K3" s="385"/>
      <c r="L3" s="386"/>
      <c r="N3" s="386"/>
      <c r="O3" s="386"/>
      <c r="P3" s="386"/>
    </row>
    <row r="4" spans="1:16">
      <c r="B4" s="383"/>
      <c r="C4" s="383"/>
      <c r="D4" s="384"/>
      <c r="E4" s="383"/>
      <c r="F4" s="383"/>
      <c r="G4" s="383"/>
      <c r="H4" s="383"/>
      <c r="J4" s="388"/>
      <c r="K4" s="388" t="s">
        <v>1127</v>
      </c>
      <c r="L4" s="386"/>
      <c r="N4" s="386"/>
      <c r="O4" s="386"/>
      <c r="P4" s="386"/>
    </row>
    <row r="5" spans="1:16">
      <c r="B5" s="383"/>
      <c r="C5" s="383"/>
      <c r="D5" s="384"/>
      <c r="E5" s="383"/>
      <c r="F5" s="383"/>
      <c r="G5" s="383"/>
      <c r="H5" s="383"/>
      <c r="I5" s="386"/>
      <c r="K5" s="388" t="s">
        <v>172</v>
      </c>
      <c r="L5" s="386"/>
      <c r="N5" s="386"/>
      <c r="O5" s="386"/>
      <c r="P5" s="386"/>
    </row>
    <row r="6" spans="1:16">
      <c r="B6" s="383"/>
      <c r="C6" s="383"/>
      <c r="D6" s="384"/>
      <c r="E6" s="383"/>
      <c r="F6" s="383"/>
      <c r="G6" s="383"/>
      <c r="H6" s="383"/>
      <c r="I6" s="383"/>
      <c r="J6" s="386"/>
      <c r="K6" s="389"/>
      <c r="L6" s="386"/>
      <c r="N6" s="386"/>
      <c r="O6" s="386"/>
      <c r="P6" s="386"/>
    </row>
    <row r="7" spans="1:16">
      <c r="B7" s="383" t="s">
        <v>0</v>
      </c>
      <c r="C7" s="383"/>
      <c r="D7" s="384" t="s">
        <v>1</v>
      </c>
      <c r="E7" s="383"/>
      <c r="F7" s="383"/>
      <c r="G7" s="383"/>
      <c r="H7" s="390"/>
      <c r="I7" s="391"/>
      <c r="J7" s="392"/>
      <c r="K7" s="393" t="s">
        <v>1128</v>
      </c>
      <c r="L7" s="386"/>
      <c r="N7" s="386"/>
      <c r="O7" s="386"/>
      <c r="P7" s="386"/>
    </row>
    <row r="8" spans="1:16">
      <c r="B8" s="383" t="s">
        <v>1129</v>
      </c>
      <c r="C8" s="394" t="s">
        <v>2</v>
      </c>
      <c r="D8" s="394" t="s">
        <v>3</v>
      </c>
      <c r="E8" s="394"/>
      <c r="F8" s="394"/>
      <c r="G8" s="394"/>
      <c r="H8" s="383"/>
      <c r="I8" s="383"/>
      <c r="J8" s="386"/>
      <c r="K8" s="386"/>
      <c r="L8" s="386"/>
      <c r="N8" s="386"/>
      <c r="O8" s="386"/>
      <c r="P8" s="386"/>
    </row>
    <row r="9" spans="1:16">
      <c r="B9" s="386"/>
      <c r="C9" s="386"/>
      <c r="D9" s="386"/>
      <c r="E9" s="386"/>
      <c r="F9" s="386"/>
      <c r="G9" s="386"/>
      <c r="H9" s="386"/>
      <c r="I9" s="386"/>
      <c r="J9" s="386"/>
      <c r="K9" s="386"/>
      <c r="L9" s="386"/>
      <c r="N9" s="386"/>
      <c r="O9" s="386"/>
      <c r="P9" s="386"/>
    </row>
    <row r="10" spans="1:16">
      <c r="A10" s="387"/>
      <c r="B10" s="386"/>
      <c r="C10" s="386"/>
      <c r="D10" s="395" t="s">
        <v>294</v>
      </c>
      <c r="E10" s="392"/>
      <c r="F10" s="386"/>
      <c r="G10" s="386"/>
      <c r="H10" s="386"/>
      <c r="I10" s="386"/>
      <c r="J10" s="386"/>
      <c r="K10" s="386"/>
      <c r="L10" s="386"/>
      <c r="N10" s="386"/>
      <c r="O10" s="386"/>
      <c r="P10" s="386"/>
    </row>
    <row r="11" spans="1:16">
      <c r="A11" s="387"/>
      <c r="B11" s="386"/>
      <c r="C11" s="386"/>
      <c r="D11" s="396"/>
      <c r="E11" s="386"/>
      <c r="F11" s="386"/>
      <c r="G11" s="386"/>
      <c r="H11" s="386"/>
      <c r="I11" s="386"/>
      <c r="J11" s="386"/>
      <c r="K11" s="386"/>
      <c r="L11" s="386"/>
      <c r="N11" s="386"/>
      <c r="O11" s="386"/>
      <c r="P11" s="386"/>
    </row>
    <row r="12" spans="1:16">
      <c r="A12" s="387" t="s">
        <v>4</v>
      </c>
      <c r="B12" s="386"/>
      <c r="C12" s="386"/>
      <c r="D12" s="396"/>
      <c r="E12" s="386"/>
      <c r="F12" s="386"/>
      <c r="G12" s="386"/>
      <c r="H12" s="386"/>
      <c r="I12" s="387" t="s">
        <v>5</v>
      </c>
      <c r="J12" s="386"/>
      <c r="K12" s="386"/>
      <c r="L12" s="386"/>
      <c r="N12" s="386"/>
      <c r="O12" s="386"/>
      <c r="P12" s="386"/>
    </row>
    <row r="13" spans="1:16" ht="16.2" thickBot="1">
      <c r="A13" s="397" t="s">
        <v>6</v>
      </c>
      <c r="B13" s="386"/>
      <c r="C13" s="386"/>
      <c r="D13" s="386"/>
      <c r="E13" s="386"/>
      <c r="F13" s="386"/>
      <c r="G13" s="386"/>
      <c r="H13" s="386"/>
      <c r="I13" s="397" t="s">
        <v>7</v>
      </c>
      <c r="J13" s="386"/>
      <c r="K13" s="386"/>
      <c r="L13" s="386"/>
      <c r="N13" s="386"/>
      <c r="O13" s="386"/>
      <c r="P13" s="386"/>
    </row>
    <row r="14" spans="1:16">
      <c r="A14" s="387">
        <v>1</v>
      </c>
      <c r="B14" s="386" t="s">
        <v>246</v>
      </c>
      <c r="C14" s="386"/>
      <c r="D14" s="394"/>
      <c r="E14" s="386"/>
      <c r="F14" s="386"/>
      <c r="G14" s="386"/>
      <c r="H14" s="386"/>
      <c r="I14" s="398">
        <f>+I226</f>
        <v>6326690.1571909469</v>
      </c>
      <c r="J14" s="386"/>
      <c r="K14" s="386"/>
      <c r="L14" s="386"/>
      <c r="N14" s="386"/>
      <c r="O14" s="386"/>
      <c r="P14" s="386"/>
    </row>
    <row r="15" spans="1:16">
      <c r="A15" s="387"/>
      <c r="B15" s="386"/>
      <c r="C15" s="386"/>
      <c r="D15" s="386"/>
      <c r="E15" s="386"/>
      <c r="F15" s="386"/>
      <c r="G15" s="386"/>
      <c r="H15" s="386"/>
      <c r="I15" s="394"/>
      <c r="J15" s="386"/>
      <c r="K15" s="386"/>
      <c r="L15" s="386"/>
      <c r="N15" s="386"/>
      <c r="O15" s="386"/>
      <c r="P15" s="386"/>
    </row>
    <row r="16" spans="1:16" ht="16.2" thickBot="1">
      <c r="A16" s="387" t="s">
        <v>2</v>
      </c>
      <c r="B16" s="386" t="s">
        <v>8</v>
      </c>
      <c r="C16" s="394" t="s">
        <v>162</v>
      </c>
      <c r="D16" s="397" t="s">
        <v>9</v>
      </c>
      <c r="E16" s="394"/>
      <c r="F16" s="399" t="s">
        <v>10</v>
      </c>
      <c r="G16" s="399"/>
      <c r="H16" s="386"/>
      <c r="I16" s="394"/>
      <c r="J16" s="386"/>
      <c r="K16" s="386"/>
      <c r="L16" s="386"/>
      <c r="N16" s="386"/>
      <c r="O16" s="386"/>
      <c r="P16" s="386"/>
    </row>
    <row r="17" spans="1:16">
      <c r="A17" s="387">
        <v>2</v>
      </c>
      <c r="B17" s="386" t="s">
        <v>11</v>
      </c>
      <c r="C17" s="394" t="s">
        <v>1130</v>
      </c>
      <c r="D17" s="394">
        <f>I307</f>
        <v>1155348.29</v>
      </c>
      <c r="E17" s="394"/>
      <c r="F17" s="394" t="s">
        <v>12</v>
      </c>
      <c r="G17" s="400">
        <f>I257</f>
        <v>1</v>
      </c>
      <c r="H17" s="394"/>
      <c r="I17" s="394">
        <f>+G17*D17</f>
        <v>1155348.29</v>
      </c>
      <c r="J17" s="386"/>
      <c r="K17" s="386"/>
      <c r="L17" s="386"/>
      <c r="N17" s="386"/>
      <c r="O17" s="386"/>
      <c r="P17" s="386"/>
    </row>
    <row r="18" spans="1:16">
      <c r="A18" s="387">
        <v>3</v>
      </c>
      <c r="B18" s="386" t="s">
        <v>190</v>
      </c>
      <c r="C18" s="394" t="s">
        <v>1131</v>
      </c>
      <c r="D18" s="394">
        <f>I314</f>
        <v>0</v>
      </c>
      <c r="E18" s="394"/>
      <c r="F18" s="394" t="str">
        <f>+F17</f>
        <v>TP</v>
      </c>
      <c r="G18" s="400">
        <f>+G17</f>
        <v>1</v>
      </c>
      <c r="H18" s="394"/>
      <c r="I18" s="394">
        <f>+G18*D18</f>
        <v>0</v>
      </c>
      <c r="J18" s="386"/>
      <c r="K18" s="386"/>
      <c r="N18" s="386"/>
      <c r="O18" s="386"/>
      <c r="P18" s="386"/>
    </row>
    <row r="19" spans="1:16">
      <c r="A19" s="387">
        <v>4</v>
      </c>
      <c r="B19" s="386" t="s">
        <v>13</v>
      </c>
      <c r="C19" s="394"/>
      <c r="D19" s="401">
        <v>0</v>
      </c>
      <c r="E19" s="394"/>
      <c r="F19" s="394" t="s">
        <v>12</v>
      </c>
      <c r="G19" s="400">
        <f>+G17</f>
        <v>1</v>
      </c>
      <c r="H19" s="394"/>
      <c r="I19" s="394">
        <f>+G19*D19</f>
        <v>0</v>
      </c>
      <c r="J19" s="386"/>
      <c r="K19" s="386"/>
      <c r="L19" s="386" t="s">
        <v>177</v>
      </c>
      <c r="N19" s="386"/>
      <c r="O19" s="386"/>
      <c r="P19" s="386"/>
    </row>
    <row r="20" spans="1:16" ht="16.2" thickBot="1">
      <c r="A20" s="387">
        <v>5</v>
      </c>
      <c r="B20" s="386" t="s">
        <v>14</v>
      </c>
      <c r="C20" s="394"/>
      <c r="D20" s="402">
        <v>0</v>
      </c>
      <c r="E20" s="394"/>
      <c r="F20" s="394" t="s">
        <v>12</v>
      </c>
      <c r="G20" s="400">
        <f>+G17</f>
        <v>1</v>
      </c>
      <c r="H20" s="394"/>
      <c r="I20" s="403">
        <f>+G20*D20</f>
        <v>0</v>
      </c>
      <c r="J20" s="386"/>
      <c r="K20" s="386"/>
      <c r="L20" s="386" t="s">
        <v>178</v>
      </c>
      <c r="N20" s="386"/>
      <c r="O20" s="386"/>
      <c r="P20" s="386"/>
    </row>
    <row r="21" spans="1:16">
      <c r="A21" s="387">
        <v>6</v>
      </c>
      <c r="B21" s="386" t="s">
        <v>15</v>
      </c>
      <c r="C21" s="386"/>
      <c r="D21" s="404" t="s">
        <v>2</v>
      </c>
      <c r="E21" s="394"/>
      <c r="F21" s="394"/>
      <c r="G21" s="400"/>
      <c r="H21" s="394"/>
      <c r="I21" s="394">
        <f>SUM(I17:I20)</f>
        <v>1155348.29</v>
      </c>
      <c r="J21" s="386"/>
      <c r="K21" s="386"/>
      <c r="L21" s="386"/>
      <c r="N21" s="386"/>
      <c r="O21" s="386"/>
      <c r="P21" s="386"/>
    </row>
    <row r="22" spans="1:16">
      <c r="A22" s="387"/>
      <c r="B22" s="386"/>
      <c r="C22" s="386"/>
      <c r="D22" s="404"/>
      <c r="E22" s="394"/>
      <c r="F22" s="394"/>
      <c r="G22" s="400"/>
      <c r="H22" s="394"/>
      <c r="I22" s="394"/>
      <c r="J22" s="386"/>
      <c r="K22" s="386"/>
      <c r="L22" s="386"/>
      <c r="N22" s="386"/>
      <c r="O22" s="386"/>
      <c r="P22" s="386"/>
    </row>
    <row r="23" spans="1:16">
      <c r="A23" s="405" t="s">
        <v>1132</v>
      </c>
      <c r="B23" s="406" t="s">
        <v>1133</v>
      </c>
      <c r="C23" s="407"/>
      <c r="D23" s="408"/>
      <c r="E23" s="407"/>
      <c r="F23" s="407"/>
      <c r="G23" s="409"/>
      <c r="H23" s="410"/>
      <c r="I23" s="580">
        <v>0</v>
      </c>
      <c r="J23" s="386"/>
      <c r="K23" s="386"/>
      <c r="L23" s="386"/>
      <c r="N23" s="386"/>
      <c r="O23" s="386"/>
      <c r="P23" s="386"/>
    </row>
    <row r="24" spans="1:16" ht="16.2" thickBot="1">
      <c r="A24" s="405" t="s">
        <v>1134</v>
      </c>
      <c r="B24" s="406" t="s">
        <v>1135</v>
      </c>
      <c r="C24" s="407"/>
      <c r="D24" s="408"/>
      <c r="E24" s="407"/>
      <c r="F24" s="407"/>
      <c r="G24" s="409"/>
      <c r="H24" s="410"/>
      <c r="I24" s="579">
        <v>0</v>
      </c>
      <c r="J24" s="386"/>
      <c r="K24" s="386"/>
      <c r="L24" s="386"/>
      <c r="N24" s="386"/>
      <c r="O24" s="386"/>
      <c r="P24" s="386"/>
    </row>
    <row r="25" spans="1:16">
      <c r="A25" s="405" t="s">
        <v>1136</v>
      </c>
      <c r="B25" s="406" t="s">
        <v>1137</v>
      </c>
      <c r="C25" s="407" t="s">
        <v>1138</v>
      </c>
      <c r="D25" s="408"/>
      <c r="E25" s="407"/>
      <c r="F25" s="407"/>
      <c r="G25" s="409"/>
      <c r="H25" s="410"/>
      <c r="I25" s="482">
        <f>I23-I24</f>
        <v>0</v>
      </c>
      <c r="J25" s="386"/>
      <c r="K25" s="386"/>
      <c r="L25" s="386"/>
      <c r="N25" s="386"/>
      <c r="O25" s="386"/>
      <c r="P25" s="386"/>
    </row>
    <row r="26" spans="1:16">
      <c r="A26" s="405"/>
      <c r="B26" s="406"/>
      <c r="C26" s="407"/>
      <c r="D26" s="408"/>
      <c r="E26" s="407"/>
      <c r="F26" s="407"/>
      <c r="G26" s="409"/>
      <c r="H26" s="410"/>
      <c r="I26" s="581"/>
      <c r="J26" s="386"/>
      <c r="K26" s="386"/>
      <c r="L26" s="386"/>
      <c r="N26" s="386"/>
      <c r="O26" s="386"/>
      <c r="P26" s="386"/>
    </row>
    <row r="27" spans="1:16">
      <c r="A27" s="405" t="s">
        <v>1139</v>
      </c>
      <c r="B27" s="406" t="s">
        <v>1140</v>
      </c>
      <c r="C27" s="407"/>
      <c r="D27" s="408"/>
      <c r="E27" s="407"/>
      <c r="F27" s="407"/>
      <c r="G27" s="409"/>
      <c r="H27" s="410"/>
      <c r="I27" s="580">
        <v>0</v>
      </c>
      <c r="J27" s="386"/>
      <c r="K27" s="386"/>
      <c r="L27" s="386"/>
      <c r="N27" s="386"/>
      <c r="O27" s="386"/>
      <c r="P27" s="386"/>
    </row>
    <row r="28" spans="1:16" ht="16.2" thickBot="1">
      <c r="A28" s="405" t="s">
        <v>1141</v>
      </c>
      <c r="B28" s="406" t="s">
        <v>1142</v>
      </c>
      <c r="C28" s="407"/>
      <c r="D28" s="408"/>
      <c r="E28" s="407"/>
      <c r="F28" s="407"/>
      <c r="G28" s="409"/>
      <c r="H28" s="410"/>
      <c r="I28" s="579">
        <v>0</v>
      </c>
      <c r="J28" s="386"/>
      <c r="K28" s="386"/>
      <c r="L28" s="386"/>
      <c r="N28" s="386"/>
      <c r="O28" s="386"/>
      <c r="P28" s="386"/>
    </row>
    <row r="29" spans="1:16">
      <c r="A29" s="405" t="s">
        <v>1143</v>
      </c>
      <c r="B29" s="406" t="s">
        <v>1144</v>
      </c>
      <c r="C29" s="407" t="s">
        <v>1145</v>
      </c>
      <c r="D29" s="408"/>
      <c r="E29" s="407"/>
      <c r="F29" s="407"/>
      <c r="G29" s="409"/>
      <c r="H29" s="410"/>
      <c r="I29" s="581">
        <f>I28-I27</f>
        <v>0</v>
      </c>
      <c r="J29" s="386"/>
      <c r="K29" s="386"/>
      <c r="L29" s="386"/>
      <c r="N29" s="386"/>
      <c r="O29" s="386"/>
      <c r="P29" s="386"/>
    </row>
    <row r="30" spans="1:16" ht="16.2" thickBot="1">
      <c r="A30" s="405" t="s">
        <v>1146</v>
      </c>
      <c r="B30" s="406" t="s">
        <v>1147</v>
      </c>
      <c r="C30" s="407"/>
      <c r="D30" s="408"/>
      <c r="E30" s="407"/>
      <c r="F30" s="407"/>
      <c r="G30" s="409"/>
      <c r="H30" s="410"/>
      <c r="I30" s="582">
        <v>0</v>
      </c>
      <c r="J30" s="386"/>
      <c r="K30" s="386"/>
      <c r="L30" s="386"/>
      <c r="N30" s="386"/>
      <c r="O30" s="386"/>
      <c r="P30" s="386"/>
    </row>
    <row r="31" spans="1:16">
      <c r="A31" s="405" t="s">
        <v>1148</v>
      </c>
      <c r="B31" s="406" t="s">
        <v>1149</v>
      </c>
      <c r="C31" s="407" t="s">
        <v>1150</v>
      </c>
      <c r="D31" s="408"/>
      <c r="E31" s="407"/>
      <c r="F31" s="407"/>
      <c r="G31" s="409"/>
      <c r="H31" s="410"/>
      <c r="I31" s="482">
        <f>I29*I30</f>
        <v>0</v>
      </c>
      <c r="J31" s="386"/>
      <c r="K31" s="386"/>
      <c r="L31" s="386"/>
      <c r="N31" s="386"/>
      <c r="O31" s="386"/>
      <c r="P31" s="386"/>
    </row>
    <row r="32" spans="1:16">
      <c r="A32" s="405"/>
      <c r="B32" s="406"/>
      <c r="C32" s="407"/>
      <c r="D32" s="408"/>
      <c r="E32" s="407"/>
      <c r="F32" s="407"/>
      <c r="G32" s="409"/>
      <c r="H32" s="410"/>
      <c r="I32" s="411"/>
      <c r="J32" s="386"/>
      <c r="K32" s="386"/>
      <c r="L32" s="386"/>
      <c r="N32" s="386"/>
      <c r="O32" s="386"/>
      <c r="P32" s="386"/>
    </row>
    <row r="33" spans="1:22">
      <c r="A33" s="405" t="s">
        <v>1151</v>
      </c>
      <c r="B33" s="406" t="s">
        <v>1152</v>
      </c>
      <c r="C33" s="407"/>
      <c r="D33" s="408"/>
      <c r="E33" s="407"/>
      <c r="F33" s="407"/>
      <c r="G33" s="409"/>
      <c r="H33" s="410"/>
      <c r="I33" s="412">
        <v>0</v>
      </c>
      <c r="J33" s="386"/>
      <c r="K33" s="386"/>
      <c r="L33" s="386"/>
      <c r="N33" s="386"/>
      <c r="O33" s="386"/>
      <c r="P33" s="386"/>
    </row>
    <row r="34" spans="1:22">
      <c r="A34" s="413"/>
      <c r="B34" s="407"/>
      <c r="C34" s="406"/>
      <c r="D34" s="406"/>
      <c r="E34" s="406"/>
      <c r="F34" s="406"/>
      <c r="G34" s="406"/>
      <c r="H34" s="406"/>
      <c r="I34" s="408"/>
      <c r="J34" s="386"/>
      <c r="K34" s="386"/>
      <c r="L34" s="386"/>
      <c r="N34" s="386"/>
      <c r="O34" s="386"/>
      <c r="P34" s="386"/>
    </row>
    <row r="35" spans="1:22" ht="16.2" thickBot="1">
      <c r="A35" s="413">
        <v>7</v>
      </c>
      <c r="B35" s="407" t="s">
        <v>16</v>
      </c>
      <c r="C35" s="414" t="s">
        <v>1153</v>
      </c>
      <c r="D35" s="415" t="s">
        <v>2</v>
      </c>
      <c r="E35" s="408"/>
      <c r="F35" s="408"/>
      <c r="G35" s="408"/>
      <c r="H35" s="408"/>
      <c r="I35" s="416">
        <f>+I14-I21+I25+I31+I33</f>
        <v>5171341.8671909468</v>
      </c>
      <c r="J35" s="386"/>
      <c r="K35" s="386"/>
      <c r="L35" s="386"/>
      <c r="N35" s="601" t="s">
        <v>667</v>
      </c>
      <c r="O35" s="601"/>
      <c r="P35" s="417"/>
    </row>
    <row r="36" spans="1:22" ht="16.2" thickTop="1">
      <c r="A36" s="387"/>
      <c r="B36" s="386"/>
      <c r="C36" s="386"/>
      <c r="I36" s="394"/>
      <c r="J36" s="386"/>
      <c r="K36" s="386"/>
      <c r="L36" s="386"/>
      <c r="N36" s="418" t="s">
        <v>670</v>
      </c>
      <c r="O36" s="419" t="s">
        <v>672</v>
      </c>
      <c r="P36" s="420" t="s">
        <v>668</v>
      </c>
    </row>
    <row r="37" spans="1:22">
      <c r="A37" s="387" t="s">
        <v>2</v>
      </c>
      <c r="B37" s="386" t="s">
        <v>17</v>
      </c>
      <c r="C37" s="386"/>
      <c r="D37" s="394"/>
      <c r="E37" s="386"/>
      <c r="F37" s="386"/>
      <c r="G37" s="386"/>
      <c r="H37" s="386"/>
      <c r="I37" s="394"/>
      <c r="J37" s="386"/>
      <c r="K37" s="386"/>
      <c r="L37" s="386"/>
      <c r="N37" s="421" t="s">
        <v>691</v>
      </c>
      <c r="O37" s="422">
        <f>P94*$I$35</f>
        <v>2424437.1941812495</v>
      </c>
      <c r="P37" s="423">
        <v>100417</v>
      </c>
    </row>
    <row r="38" spans="1:22">
      <c r="A38" s="387">
        <v>8</v>
      </c>
      <c r="B38" s="386" t="s">
        <v>18</v>
      </c>
      <c r="D38" s="394"/>
      <c r="E38" s="386"/>
      <c r="F38" s="386"/>
      <c r="G38" s="383" t="s">
        <v>19</v>
      </c>
      <c r="H38" s="386"/>
      <c r="I38" s="401">
        <v>646731</v>
      </c>
      <c r="J38" s="386"/>
      <c r="K38" s="386"/>
      <c r="N38" s="421" t="s">
        <v>673</v>
      </c>
      <c r="O38" s="424">
        <f>P95*$I$35</f>
        <v>2746904.6730096973</v>
      </c>
      <c r="P38" s="425">
        <f>646731</f>
        <v>646731</v>
      </c>
    </row>
    <row r="39" spans="1:22">
      <c r="A39" s="387">
        <v>9</v>
      </c>
      <c r="B39" s="386" t="s">
        <v>20</v>
      </c>
      <c r="C39" s="394"/>
      <c r="D39" s="394"/>
      <c r="E39" s="394"/>
      <c r="F39" s="394"/>
      <c r="G39" s="394" t="s">
        <v>21</v>
      </c>
      <c r="H39" s="394"/>
      <c r="I39" s="401">
        <v>0</v>
      </c>
      <c r="J39" s="386"/>
      <c r="K39" s="386"/>
      <c r="L39" s="386"/>
      <c r="N39" s="426" t="s">
        <v>669</v>
      </c>
      <c r="O39" s="427">
        <f>SUM(O37:O38)</f>
        <v>5171341.8671909468</v>
      </c>
      <c r="P39" s="428"/>
    </row>
    <row r="40" spans="1:22">
      <c r="A40" s="387">
        <v>10</v>
      </c>
      <c r="B40" s="386" t="s">
        <v>22</v>
      </c>
      <c r="C40" s="386"/>
      <c r="D40" s="386"/>
      <c r="E40" s="386"/>
      <c r="F40" s="386"/>
      <c r="G40" s="383" t="s">
        <v>23</v>
      </c>
      <c r="H40" s="386"/>
      <c r="I40" s="401">
        <v>0</v>
      </c>
      <c r="J40" s="386"/>
      <c r="K40" s="386"/>
      <c r="L40" s="386"/>
      <c r="N40" s="429" t="s">
        <v>674</v>
      </c>
      <c r="P40" s="430"/>
    </row>
    <row r="41" spans="1:22">
      <c r="A41" s="387">
        <v>11</v>
      </c>
      <c r="B41" s="431" t="s">
        <v>24</v>
      </c>
      <c r="C41" s="386"/>
      <c r="D41" s="386"/>
      <c r="E41" s="386"/>
      <c r="F41" s="386"/>
      <c r="G41" s="383" t="s">
        <v>25</v>
      </c>
      <c r="H41" s="386"/>
      <c r="I41" s="401">
        <v>0</v>
      </c>
      <c r="J41" s="386"/>
      <c r="K41" s="386"/>
      <c r="L41" s="386"/>
      <c r="O41" s="563"/>
      <c r="P41" s="386"/>
      <c r="S41" s="557"/>
      <c r="T41" s="557"/>
      <c r="U41" s="557"/>
    </row>
    <row r="42" spans="1:22">
      <c r="A42" s="387">
        <v>12</v>
      </c>
      <c r="B42" s="431" t="s">
        <v>26</v>
      </c>
      <c r="C42" s="386"/>
      <c r="D42" s="386"/>
      <c r="E42" s="386"/>
      <c r="F42" s="386"/>
      <c r="G42" s="383"/>
      <c r="H42" s="386"/>
      <c r="I42" s="401">
        <v>0</v>
      </c>
      <c r="J42" s="386"/>
      <c r="K42" s="386"/>
      <c r="L42" s="386"/>
      <c r="N42" s="584"/>
      <c r="O42" s="585"/>
      <c r="P42" s="585"/>
      <c r="Q42" s="557"/>
      <c r="R42" s="557"/>
      <c r="S42" s="557"/>
      <c r="T42" s="557"/>
      <c r="U42" s="557"/>
    </row>
    <row r="43" spans="1:22">
      <c r="A43" s="387">
        <v>13</v>
      </c>
      <c r="B43" s="431" t="s">
        <v>163</v>
      </c>
      <c r="C43" s="386"/>
      <c r="D43" s="386"/>
      <c r="E43" s="386"/>
      <c r="F43" s="386"/>
      <c r="G43" s="383"/>
      <c r="H43" s="386"/>
      <c r="I43" s="432">
        <v>0</v>
      </c>
      <c r="J43" s="386"/>
      <c r="K43" s="386"/>
      <c r="L43" s="386"/>
      <c r="N43" s="584"/>
      <c r="O43" s="586"/>
      <c r="P43" s="558"/>
      <c r="Q43" s="558"/>
      <c r="R43" s="558"/>
      <c r="S43" s="558"/>
      <c r="T43" s="558"/>
      <c r="U43" s="558"/>
      <c r="V43" s="558"/>
    </row>
    <row r="44" spans="1:22" ht="16.2" thickBot="1">
      <c r="A44" s="387">
        <v>14</v>
      </c>
      <c r="B44" s="383" t="s">
        <v>157</v>
      </c>
      <c r="C44" s="386"/>
      <c r="D44" s="386"/>
      <c r="E44" s="386"/>
      <c r="F44" s="386"/>
      <c r="G44" s="386"/>
      <c r="H44" s="386"/>
      <c r="I44" s="433">
        <v>0</v>
      </c>
      <c r="J44" s="386"/>
      <c r="K44" s="386"/>
      <c r="L44" s="386"/>
      <c r="N44" s="584"/>
      <c r="O44" s="587"/>
      <c r="P44" s="588"/>
      <c r="Q44" s="558"/>
      <c r="R44" s="558"/>
      <c r="S44" s="558"/>
      <c r="T44" s="558"/>
      <c r="U44" s="558"/>
      <c r="V44" s="558"/>
    </row>
    <row r="45" spans="1:22" ht="17.399999999999999">
      <c r="A45" s="387">
        <v>15</v>
      </c>
      <c r="B45" s="386" t="s">
        <v>206</v>
      </c>
      <c r="C45" s="386"/>
      <c r="D45" s="386"/>
      <c r="E45" s="386"/>
      <c r="F45" s="386"/>
      <c r="G45" s="386"/>
      <c r="H45" s="386"/>
      <c r="I45" s="394">
        <f>SUM(I38:I44)</f>
        <v>646731</v>
      </c>
      <c r="J45" s="386"/>
      <c r="K45" s="386"/>
      <c r="L45" s="386"/>
      <c r="N45" s="584"/>
      <c r="O45" s="588"/>
      <c r="P45" s="588"/>
      <c r="Q45" s="560"/>
      <c r="R45" s="558"/>
      <c r="S45" s="558"/>
      <c r="T45" s="558"/>
      <c r="U45" s="558"/>
      <c r="V45" s="558"/>
    </row>
    <row r="46" spans="1:22">
      <c r="A46" s="387"/>
      <c r="B46" s="386"/>
      <c r="C46" s="386"/>
      <c r="D46" s="386"/>
      <c r="E46" s="386"/>
      <c r="F46" s="386"/>
      <c r="G46" s="386"/>
      <c r="H46" s="386"/>
      <c r="I46" s="394"/>
      <c r="J46" s="386"/>
      <c r="K46" s="386"/>
      <c r="L46" s="386"/>
      <c r="N46" s="386"/>
      <c r="O46" s="386"/>
      <c r="P46" s="386"/>
      <c r="R46" s="558"/>
      <c r="S46" s="558"/>
      <c r="T46" s="558"/>
      <c r="U46" s="558"/>
      <c r="V46" s="558"/>
    </row>
    <row r="47" spans="1:22" ht="17.399999999999999">
      <c r="A47" s="387">
        <v>16</v>
      </c>
      <c r="B47" s="386" t="s">
        <v>27</v>
      </c>
      <c r="C47" s="386" t="s">
        <v>205</v>
      </c>
      <c r="D47" s="434">
        <f>IF(I45&gt;0,I35/I45,0)</f>
        <v>7.9961249224035136</v>
      </c>
      <c r="E47" s="386"/>
      <c r="F47" s="386"/>
      <c r="G47" s="386"/>
      <c r="H47" s="386"/>
      <c r="J47" s="386"/>
      <c r="K47" s="386"/>
      <c r="L47" s="386"/>
      <c r="N47" s="386"/>
      <c r="O47" s="559"/>
      <c r="P47" s="561"/>
      <c r="Q47" s="562"/>
      <c r="R47" s="562"/>
      <c r="S47" s="562"/>
      <c r="T47" s="562"/>
      <c r="U47" s="562"/>
      <c r="V47" s="564"/>
    </row>
    <row r="48" spans="1:22">
      <c r="A48" s="387">
        <v>17</v>
      </c>
      <c r="B48" s="386" t="s">
        <v>207</v>
      </c>
      <c r="C48" s="386"/>
      <c r="D48" s="434">
        <f>+D47/12</f>
        <v>0.66634374353362613</v>
      </c>
      <c r="E48" s="386"/>
      <c r="F48" s="386"/>
      <c r="G48" s="386"/>
      <c r="H48" s="386"/>
      <c r="J48" s="386"/>
      <c r="K48" s="386"/>
      <c r="L48" s="386"/>
      <c r="N48" s="386"/>
      <c r="O48" s="386"/>
      <c r="P48" s="386"/>
    </row>
    <row r="49" spans="1:16">
      <c r="A49" s="387"/>
      <c r="B49" s="386"/>
      <c r="C49" s="386"/>
      <c r="D49" s="434"/>
      <c r="E49" s="386"/>
      <c r="F49" s="386"/>
      <c r="G49" s="386"/>
      <c r="H49" s="386"/>
      <c r="J49" s="386"/>
      <c r="K49" s="386"/>
      <c r="L49" s="386"/>
      <c r="N49" s="386"/>
      <c r="O49" s="589"/>
      <c r="P49" s="386"/>
    </row>
    <row r="50" spans="1:16">
      <c r="A50" s="387"/>
      <c r="B50" s="386"/>
      <c r="C50" s="386"/>
      <c r="D50" s="435" t="s">
        <v>28</v>
      </c>
      <c r="E50" s="386"/>
      <c r="F50" s="386"/>
      <c r="G50" s="386"/>
      <c r="H50" s="386"/>
      <c r="I50" s="436" t="s">
        <v>29</v>
      </c>
      <c r="J50" s="386"/>
      <c r="K50" s="386"/>
      <c r="L50" s="386"/>
      <c r="N50" s="386"/>
      <c r="O50" s="386"/>
      <c r="P50" s="386"/>
    </row>
    <row r="51" spans="1:16">
      <c r="A51" s="387">
        <v>18</v>
      </c>
      <c r="B51" s="386" t="s">
        <v>30</v>
      </c>
      <c r="C51" s="386" t="s">
        <v>208</v>
      </c>
      <c r="D51" s="434">
        <f>+D47/52</f>
        <v>0.15377163312314449</v>
      </c>
      <c r="E51" s="386"/>
      <c r="F51" s="386"/>
      <c r="G51" s="386"/>
      <c r="H51" s="386"/>
      <c r="I51" s="437">
        <f>+D47/52</f>
        <v>0.15377163312314449</v>
      </c>
      <c r="J51" s="386"/>
      <c r="K51" s="386"/>
      <c r="L51" s="386"/>
      <c r="N51" s="386"/>
      <c r="O51" s="386"/>
      <c r="P51" s="386"/>
    </row>
    <row r="52" spans="1:16">
      <c r="A52" s="387">
        <v>19</v>
      </c>
      <c r="B52" s="386" t="s">
        <v>31</v>
      </c>
      <c r="C52" s="386" t="s">
        <v>247</v>
      </c>
      <c r="D52" s="434">
        <f>+D47/260</f>
        <v>3.0754326624628899E-2</v>
      </c>
      <c r="E52" s="386" t="s">
        <v>32</v>
      </c>
      <c r="G52" s="386"/>
      <c r="H52" s="386"/>
      <c r="I52" s="437">
        <f>+D47/365</f>
        <v>2.1907191568228804E-2</v>
      </c>
      <c r="J52" s="386"/>
      <c r="K52" s="386"/>
      <c r="L52" s="386"/>
      <c r="N52" s="386"/>
      <c r="O52" s="386"/>
      <c r="P52" s="386"/>
    </row>
    <row r="53" spans="1:16">
      <c r="A53" s="387">
        <v>20</v>
      </c>
      <c r="B53" s="386" t="s">
        <v>33</v>
      </c>
      <c r="C53" s="386" t="s">
        <v>248</v>
      </c>
      <c r="D53" s="434">
        <f>+D47/4160*1000</f>
        <v>1.9221454140393062</v>
      </c>
      <c r="E53" s="386" t="s">
        <v>34</v>
      </c>
      <c r="G53" s="386"/>
      <c r="H53" s="386"/>
      <c r="I53" s="437">
        <f>+D47/8760*1000</f>
        <v>0.91279964867620011</v>
      </c>
      <c r="J53" s="386"/>
      <c r="K53" s="386" t="s">
        <v>2</v>
      </c>
      <c r="L53" s="386"/>
      <c r="N53" s="386"/>
      <c r="O53" s="386"/>
      <c r="P53" s="386"/>
    </row>
    <row r="54" spans="1:16">
      <c r="A54" s="387"/>
      <c r="B54" s="386"/>
      <c r="C54" s="386" t="s">
        <v>35</v>
      </c>
      <c r="D54" s="386"/>
      <c r="E54" s="386" t="s">
        <v>36</v>
      </c>
      <c r="G54" s="386"/>
      <c r="H54" s="386"/>
      <c r="J54" s="386"/>
      <c r="K54" s="386" t="s">
        <v>2</v>
      </c>
      <c r="L54" s="386"/>
      <c r="N54" s="386"/>
      <c r="O54" s="386"/>
      <c r="P54" s="386"/>
    </row>
    <row r="55" spans="1:16">
      <c r="A55" s="387"/>
      <c r="B55" s="386"/>
      <c r="C55" s="386"/>
      <c r="D55" s="386"/>
      <c r="E55" s="386"/>
      <c r="G55" s="386"/>
      <c r="H55" s="386"/>
      <c r="J55" s="386"/>
      <c r="K55" s="386" t="s">
        <v>2</v>
      </c>
      <c r="L55" s="386"/>
      <c r="N55" s="386"/>
      <c r="O55" s="386"/>
      <c r="P55" s="386"/>
    </row>
    <row r="56" spans="1:16">
      <c r="A56" s="387">
        <v>21</v>
      </c>
      <c r="B56" s="386" t="s">
        <v>209</v>
      </c>
      <c r="C56" s="386" t="s">
        <v>200</v>
      </c>
      <c r="D56" s="438">
        <v>0</v>
      </c>
      <c r="E56" s="439" t="s">
        <v>37</v>
      </c>
      <c r="F56" s="439"/>
      <c r="G56" s="439"/>
      <c r="H56" s="439"/>
      <c r="I56" s="439">
        <f>D56</f>
        <v>0</v>
      </c>
      <c r="J56" s="439" t="s">
        <v>37</v>
      </c>
      <c r="K56" s="386"/>
      <c r="L56" s="386"/>
      <c r="N56" s="386"/>
      <c r="O56" s="386"/>
      <c r="P56" s="386"/>
    </row>
    <row r="57" spans="1:16">
      <c r="A57" s="387">
        <v>22</v>
      </c>
      <c r="B57" s="386"/>
      <c r="C57" s="386"/>
      <c r="D57" s="438">
        <v>0</v>
      </c>
      <c r="E57" s="439" t="s">
        <v>38</v>
      </c>
      <c r="F57" s="439"/>
      <c r="G57" s="439"/>
      <c r="H57" s="439"/>
      <c r="I57" s="439">
        <f>D57</f>
        <v>0</v>
      </c>
      <c r="J57" s="439" t="s">
        <v>38</v>
      </c>
      <c r="K57" s="386"/>
      <c r="L57" s="386"/>
      <c r="N57" s="386"/>
      <c r="O57" s="386"/>
      <c r="P57" s="386"/>
    </row>
    <row r="58" spans="1:16">
      <c r="J58" s="383"/>
      <c r="K58" s="386"/>
      <c r="L58" s="386"/>
      <c r="N58" s="386"/>
      <c r="O58" s="386"/>
      <c r="P58" s="386"/>
    </row>
    <row r="59" spans="1:16">
      <c r="J59" s="383"/>
      <c r="K59" s="386"/>
      <c r="L59" s="386"/>
      <c r="N59" s="386"/>
      <c r="O59" s="386"/>
      <c r="P59" s="386"/>
    </row>
    <row r="60" spans="1:16">
      <c r="J60" s="383"/>
      <c r="K60" s="386"/>
      <c r="L60" s="386"/>
      <c r="N60" s="386"/>
      <c r="O60" s="386"/>
      <c r="P60" s="386"/>
    </row>
    <row r="61" spans="1:16">
      <c r="J61" s="383"/>
      <c r="K61" s="386"/>
      <c r="L61" s="386"/>
      <c r="N61" s="386"/>
      <c r="O61" s="386"/>
      <c r="P61" s="386"/>
    </row>
    <row r="62" spans="1:16">
      <c r="J62" s="383"/>
      <c r="K62" s="386"/>
      <c r="L62" s="386"/>
      <c r="N62" s="386"/>
      <c r="O62" s="386"/>
      <c r="P62" s="386"/>
    </row>
    <row r="63" spans="1:16">
      <c r="J63" s="383"/>
      <c r="K63" s="386"/>
      <c r="L63" s="386"/>
      <c r="N63" s="386"/>
      <c r="O63" s="386"/>
      <c r="P63" s="386"/>
    </row>
    <row r="64" spans="1:16">
      <c r="J64" s="383"/>
      <c r="K64" s="386"/>
      <c r="L64" s="386"/>
      <c r="N64" s="386"/>
      <c r="O64" s="386"/>
      <c r="P64" s="386"/>
    </row>
    <row r="65" spans="1:16">
      <c r="J65" s="383"/>
      <c r="K65" s="386"/>
      <c r="L65" s="386"/>
      <c r="N65" s="386"/>
      <c r="O65" s="386"/>
      <c r="P65" s="386"/>
    </row>
    <row r="66" spans="1:16">
      <c r="J66" s="383"/>
      <c r="K66" s="386"/>
      <c r="L66" s="386"/>
      <c r="N66" s="386"/>
      <c r="O66" s="386"/>
      <c r="P66" s="386"/>
    </row>
    <row r="67" spans="1:16">
      <c r="J67" s="383"/>
      <c r="K67" s="386"/>
      <c r="L67" s="386"/>
      <c r="N67" s="386"/>
      <c r="O67" s="386"/>
      <c r="P67" s="386"/>
    </row>
    <row r="68" spans="1:16">
      <c r="J68" s="383"/>
      <c r="K68" s="386"/>
      <c r="L68" s="386"/>
      <c r="N68" s="386"/>
      <c r="O68" s="386"/>
      <c r="P68" s="386"/>
    </row>
    <row r="69" spans="1:16">
      <c r="J69" s="383"/>
      <c r="K69" s="386"/>
      <c r="L69" s="386"/>
      <c r="N69" s="386"/>
      <c r="O69" s="386"/>
      <c r="P69" s="386"/>
    </row>
    <row r="70" spans="1:16">
      <c r="J70" s="383"/>
      <c r="K70" s="386"/>
      <c r="L70" s="386"/>
      <c r="N70" s="386"/>
      <c r="O70" s="386"/>
      <c r="P70" s="386"/>
    </row>
    <row r="71" spans="1:16">
      <c r="J71" s="383"/>
      <c r="K71" s="386"/>
      <c r="L71" s="386"/>
      <c r="N71" s="386"/>
      <c r="O71" s="386"/>
      <c r="P71" s="386"/>
    </row>
    <row r="72" spans="1:16">
      <c r="J72" s="383"/>
      <c r="K72" s="386"/>
      <c r="L72" s="386"/>
      <c r="N72" s="386"/>
      <c r="O72" s="386"/>
      <c r="P72" s="386"/>
    </row>
    <row r="73" spans="1:16">
      <c r="J73" s="383"/>
      <c r="K73" s="386"/>
      <c r="L73" s="386"/>
      <c r="N73" s="386"/>
      <c r="O73" s="386"/>
      <c r="P73" s="386"/>
    </row>
    <row r="74" spans="1:16">
      <c r="J74" s="383"/>
      <c r="K74" s="386"/>
      <c r="L74" s="386"/>
      <c r="N74" s="386"/>
      <c r="O74" s="386"/>
      <c r="P74" s="386"/>
    </row>
    <row r="75" spans="1:16">
      <c r="J75" s="383"/>
      <c r="K75" s="386"/>
      <c r="L75" s="386"/>
      <c r="N75" s="386"/>
      <c r="O75" s="386"/>
      <c r="P75" s="386"/>
    </row>
    <row r="76" spans="1:16">
      <c r="J76" s="383"/>
      <c r="K76" s="386"/>
      <c r="L76" s="386"/>
      <c r="N76" s="386"/>
      <c r="O76" s="386"/>
      <c r="P76" s="386"/>
    </row>
    <row r="77" spans="1:16">
      <c r="A77" s="382" t="s">
        <v>678</v>
      </c>
      <c r="B77" s="386"/>
      <c r="C77" s="386"/>
      <c r="D77" s="386"/>
      <c r="E77" s="386"/>
      <c r="F77" s="386"/>
      <c r="G77" s="386"/>
      <c r="H77" s="386"/>
      <c r="I77" s="440"/>
      <c r="J77" s="386"/>
      <c r="K77" s="388" t="s">
        <v>679</v>
      </c>
      <c r="L77" s="386"/>
      <c r="N77" s="386"/>
      <c r="O77" s="386"/>
    </row>
    <row r="78" spans="1:16">
      <c r="A78" s="382" t="s">
        <v>680</v>
      </c>
      <c r="B78" s="386"/>
      <c r="C78" s="386"/>
      <c r="D78" s="386"/>
      <c r="E78" s="386"/>
      <c r="F78" s="386"/>
      <c r="G78" s="386"/>
      <c r="H78" s="386"/>
      <c r="I78" s="440"/>
      <c r="J78" s="386"/>
      <c r="K78" s="386"/>
      <c r="L78" s="386"/>
      <c r="N78" s="386"/>
      <c r="O78" s="386"/>
    </row>
    <row r="79" spans="1:16">
      <c r="A79" s="382" t="s">
        <v>185</v>
      </c>
      <c r="B79" s="383"/>
      <c r="C79" s="383"/>
      <c r="D79" s="384"/>
      <c r="E79" s="383"/>
      <c r="F79" s="383"/>
      <c r="G79" s="383"/>
      <c r="H79" s="383"/>
      <c r="I79" s="385"/>
      <c r="K79" s="385" t="s">
        <v>681</v>
      </c>
      <c r="N79" s="386"/>
      <c r="O79" s="386"/>
      <c r="P79" s="386"/>
    </row>
    <row r="80" spans="1:16">
      <c r="A80" s="382" t="s">
        <v>245</v>
      </c>
      <c r="B80" s="383"/>
      <c r="C80" s="383"/>
      <c r="D80" s="384"/>
      <c r="E80" s="383"/>
      <c r="F80" s="383"/>
      <c r="G80" s="383"/>
      <c r="H80" s="383"/>
      <c r="I80" s="385"/>
      <c r="K80" s="385" t="s">
        <v>682</v>
      </c>
      <c r="N80" s="386"/>
      <c r="O80" s="386"/>
      <c r="P80" s="386"/>
    </row>
    <row r="81" spans="1:17">
      <c r="B81" s="383"/>
      <c r="C81" s="383"/>
      <c r="D81" s="384"/>
      <c r="E81" s="383"/>
      <c r="F81" s="383"/>
      <c r="G81" s="383"/>
      <c r="H81" s="383"/>
      <c r="I81" s="385"/>
      <c r="K81" s="385"/>
      <c r="L81" s="385"/>
      <c r="N81" s="386"/>
      <c r="O81" s="386"/>
      <c r="P81" s="386"/>
    </row>
    <row r="82" spans="1:17">
      <c r="B82" s="383"/>
      <c r="C82" s="383"/>
      <c r="D82" s="384"/>
      <c r="E82" s="383"/>
      <c r="F82" s="383"/>
      <c r="G82" s="383"/>
      <c r="H82" s="383"/>
      <c r="I82" s="383"/>
      <c r="K82" s="388" t="s">
        <v>1127</v>
      </c>
      <c r="L82" s="388"/>
      <c r="N82" s="386"/>
      <c r="O82" s="386"/>
      <c r="P82" s="386"/>
    </row>
    <row r="83" spans="1:17">
      <c r="B83" s="383"/>
      <c r="C83" s="383"/>
      <c r="D83" s="384"/>
      <c r="E83" s="383"/>
      <c r="F83" s="383"/>
      <c r="G83" s="383"/>
      <c r="H83" s="383"/>
      <c r="I83" s="383"/>
      <c r="K83" s="388" t="s">
        <v>173</v>
      </c>
      <c r="L83" s="388"/>
      <c r="N83" s="386"/>
      <c r="O83" s="386"/>
      <c r="P83" s="386"/>
    </row>
    <row r="84" spans="1:17">
      <c r="B84" s="386"/>
      <c r="C84" s="386"/>
      <c r="D84" s="386"/>
      <c r="E84" s="386"/>
      <c r="F84" s="386"/>
      <c r="G84" s="386"/>
      <c r="H84" s="386"/>
      <c r="I84" s="386"/>
      <c r="J84" s="386"/>
      <c r="K84" s="386"/>
      <c r="L84" s="386"/>
      <c r="N84" s="386"/>
      <c r="O84" s="386"/>
      <c r="P84" s="386"/>
    </row>
    <row r="85" spans="1:17">
      <c r="B85" s="386" t="str">
        <f>B7</f>
        <v xml:space="preserve">Formula Rate - Non-Levelized </v>
      </c>
      <c r="C85" s="386"/>
      <c r="D85" s="441" t="str">
        <f>D7</f>
        <v xml:space="preserve">   Rate Formula Template</v>
      </c>
      <c r="E85" s="386"/>
      <c r="F85" s="386"/>
      <c r="G85" s="386"/>
      <c r="H85" s="386"/>
      <c r="J85" s="386"/>
      <c r="K85" s="388" t="str">
        <f>K7</f>
        <v>For the 12 months ended 12/31/2012</v>
      </c>
      <c r="L85" s="386"/>
      <c r="N85" s="386"/>
      <c r="O85" s="386"/>
      <c r="P85" s="386"/>
      <c r="Q85" s="372"/>
    </row>
    <row r="86" spans="1:17">
      <c r="B86" s="386"/>
      <c r="C86" s="394" t="s">
        <v>2</v>
      </c>
      <c r="D86" s="394" t="str">
        <f>D8</f>
        <v>Utilizing EIA Form 412 Data</v>
      </c>
      <c r="E86" s="394"/>
      <c r="F86" s="394"/>
      <c r="G86" s="394"/>
      <c r="H86" s="394"/>
      <c r="I86" s="394"/>
      <c r="J86" s="394"/>
      <c r="K86" s="394"/>
      <c r="L86" s="386"/>
      <c r="N86" s="386"/>
      <c r="O86" s="394"/>
      <c r="P86" s="386"/>
    </row>
    <row r="87" spans="1:17">
      <c r="B87" s="386"/>
      <c r="C87" s="394" t="s">
        <v>2</v>
      </c>
      <c r="D87" s="394" t="s">
        <v>2</v>
      </c>
      <c r="E87" s="394"/>
      <c r="F87" s="394"/>
      <c r="G87" s="394" t="s">
        <v>2</v>
      </c>
      <c r="H87" s="394"/>
      <c r="I87" s="394"/>
      <c r="J87" s="394"/>
      <c r="K87" s="394"/>
      <c r="L87" s="386"/>
      <c r="N87" s="394"/>
      <c r="O87" s="394"/>
      <c r="P87" s="386"/>
    </row>
    <row r="88" spans="1:17">
      <c r="B88" s="386"/>
      <c r="C88" s="386"/>
      <c r="D88" s="394" t="str">
        <f>D10</f>
        <v>MRES</v>
      </c>
      <c r="E88" s="394"/>
      <c r="F88" s="394"/>
      <c r="G88" s="394"/>
      <c r="H88" s="394"/>
      <c r="I88" s="394"/>
      <c r="J88" s="394"/>
      <c r="K88" s="394"/>
      <c r="L88" s="386"/>
      <c r="N88" s="394"/>
      <c r="O88" s="394"/>
      <c r="P88" s="386"/>
    </row>
    <row r="89" spans="1:17">
      <c r="B89" s="389" t="s">
        <v>39</v>
      </c>
      <c r="C89" s="389" t="s">
        <v>40</v>
      </c>
      <c r="D89" s="389" t="s">
        <v>41</v>
      </c>
      <c r="E89" s="394" t="s">
        <v>2</v>
      </c>
      <c r="F89" s="394"/>
      <c r="G89" s="442" t="s">
        <v>42</v>
      </c>
      <c r="H89" s="394"/>
      <c r="I89" s="443" t="s">
        <v>43</v>
      </c>
      <c r="J89" s="394"/>
      <c r="K89" s="389"/>
      <c r="L89" s="386"/>
      <c r="N89" s="389"/>
      <c r="O89" s="394"/>
      <c r="P89" s="386"/>
      <c r="Q89" s="7"/>
    </row>
    <row r="90" spans="1:17">
      <c r="A90" s="387" t="s">
        <v>4</v>
      </c>
      <c r="B90" s="386"/>
      <c r="C90" s="444" t="s">
        <v>44</v>
      </c>
      <c r="D90" s="394"/>
      <c r="E90" s="394"/>
      <c r="F90" s="394"/>
      <c r="G90" s="387"/>
      <c r="H90" s="394"/>
      <c r="I90" s="445" t="s">
        <v>45</v>
      </c>
      <c r="J90" s="394"/>
      <c r="K90" s="389"/>
      <c r="L90" s="386"/>
      <c r="N90" s="389"/>
      <c r="O90" s="389"/>
      <c r="P90" s="386"/>
      <c r="Q90" s="7"/>
    </row>
    <row r="91" spans="1:17" ht="16.2" thickBot="1">
      <c r="A91" s="397" t="s">
        <v>6</v>
      </c>
      <c r="B91" s="446" t="s">
        <v>50</v>
      </c>
      <c r="C91" s="447" t="s">
        <v>46</v>
      </c>
      <c r="D91" s="445" t="s">
        <v>47</v>
      </c>
      <c r="E91" s="448"/>
      <c r="F91" s="445" t="s">
        <v>48</v>
      </c>
      <c r="H91" s="448"/>
      <c r="I91" s="387" t="s">
        <v>49</v>
      </c>
      <c r="J91" s="394"/>
      <c r="K91" s="389"/>
      <c r="L91" s="386"/>
      <c r="N91" s="389"/>
      <c r="O91" s="389"/>
      <c r="P91" s="386"/>
      <c r="Q91" s="7"/>
    </row>
    <row r="92" spans="1:17">
      <c r="A92" s="387"/>
      <c r="B92" s="386" t="s">
        <v>1154</v>
      </c>
      <c r="C92" s="394"/>
      <c r="D92" s="394"/>
      <c r="E92" s="394"/>
      <c r="F92" s="394"/>
      <c r="G92" s="394"/>
      <c r="H92" s="394"/>
      <c r="I92" s="394"/>
      <c r="J92" s="394"/>
      <c r="K92" s="394"/>
      <c r="L92" s="386"/>
      <c r="N92" s="449"/>
      <c r="O92" s="450"/>
      <c r="P92" s="450"/>
    </row>
    <row r="93" spans="1:17">
      <c r="A93" s="387">
        <v>1</v>
      </c>
      <c r="B93" s="386" t="s">
        <v>51</v>
      </c>
      <c r="C93" s="394" t="s">
        <v>249</v>
      </c>
      <c r="D93" s="432">
        <v>279787486</v>
      </c>
      <c r="E93" s="394"/>
      <c r="F93" s="394" t="s">
        <v>52</v>
      </c>
      <c r="G93" s="451" t="s">
        <v>2</v>
      </c>
      <c r="H93" s="394"/>
      <c r="I93" s="394" t="s">
        <v>2</v>
      </c>
      <c r="J93" s="394"/>
      <c r="K93" s="394"/>
      <c r="L93" s="386"/>
      <c r="N93" s="452" t="s">
        <v>670</v>
      </c>
      <c r="O93" s="453" t="s">
        <v>327</v>
      </c>
      <c r="P93" s="454" t="s">
        <v>104</v>
      </c>
    </row>
    <row r="94" spans="1:17">
      <c r="A94" s="387">
        <v>2</v>
      </c>
      <c r="B94" s="386" t="s">
        <v>53</v>
      </c>
      <c r="C94" s="394" t="s">
        <v>1155</v>
      </c>
      <c r="D94" s="432">
        <f>65161204-D95</f>
        <v>59576642</v>
      </c>
      <c r="E94" s="394"/>
      <c r="F94" s="394" t="s">
        <v>12</v>
      </c>
      <c r="G94" s="451">
        <f>I257</f>
        <v>1</v>
      </c>
      <c r="H94" s="394"/>
      <c r="I94" s="394">
        <f>+G94*D94</f>
        <v>59576642</v>
      </c>
      <c r="J94" s="394"/>
      <c r="K94" s="394"/>
      <c r="L94" s="386"/>
      <c r="N94" s="421" t="s">
        <v>691</v>
      </c>
      <c r="O94" s="422">
        <v>27930822</v>
      </c>
      <c r="P94" s="455">
        <f>O94/O96</f>
        <v>0.4688216823495745</v>
      </c>
    </row>
    <row r="95" spans="1:17">
      <c r="A95" s="387" t="s">
        <v>1156</v>
      </c>
      <c r="B95" s="386" t="s">
        <v>1157</v>
      </c>
      <c r="C95" s="394"/>
      <c r="D95" s="432">
        <v>5584562</v>
      </c>
      <c r="E95" s="394"/>
      <c r="F95" s="394" t="s">
        <v>12</v>
      </c>
      <c r="G95" s="451">
        <f>G94</f>
        <v>1</v>
      </c>
      <c r="H95" s="394"/>
      <c r="I95" s="394">
        <f>+G95*D95</f>
        <v>5584562</v>
      </c>
      <c r="J95" s="394"/>
      <c r="K95" s="394"/>
      <c r="L95" s="386"/>
      <c r="N95" s="421" t="s">
        <v>673</v>
      </c>
      <c r="O95" s="424">
        <v>31645821</v>
      </c>
      <c r="P95" s="456">
        <f>O95/O96</f>
        <v>0.53117831765042556</v>
      </c>
    </row>
    <row r="96" spans="1:17">
      <c r="A96" s="387">
        <v>3</v>
      </c>
      <c r="B96" s="386" t="s">
        <v>54</v>
      </c>
      <c r="C96" s="394" t="s">
        <v>250</v>
      </c>
      <c r="D96" s="432">
        <v>0</v>
      </c>
      <c r="E96" s="394"/>
      <c r="F96" s="394" t="s">
        <v>52</v>
      </c>
      <c r="G96" s="451" t="s">
        <v>2</v>
      </c>
      <c r="H96" s="394"/>
      <c r="I96" s="394" t="s">
        <v>2</v>
      </c>
      <c r="J96" s="394"/>
      <c r="K96" s="394"/>
      <c r="L96" s="386"/>
      <c r="N96" s="421" t="s">
        <v>671</v>
      </c>
      <c r="O96" s="427">
        <f>SUM(O94:O95)</f>
        <v>59576643</v>
      </c>
      <c r="P96" s="457">
        <f>SUM(P94:P95)</f>
        <v>1</v>
      </c>
      <c r="Q96" s="372">
        <f>I94-O96</f>
        <v>-1</v>
      </c>
    </row>
    <row r="97" spans="1:16">
      <c r="A97" s="387">
        <v>4</v>
      </c>
      <c r="B97" s="386" t="s">
        <v>55</v>
      </c>
      <c r="C97" s="394" t="s">
        <v>1158</v>
      </c>
      <c r="D97" s="432">
        <v>23510662</v>
      </c>
      <c r="E97" s="394"/>
      <c r="F97" s="394" t="s">
        <v>56</v>
      </c>
      <c r="G97" s="451">
        <f>I273</f>
        <v>0.15192965428736016</v>
      </c>
      <c r="H97" s="394"/>
      <c r="I97" s="394">
        <f>+G97*D97</f>
        <v>3571966.7497269758</v>
      </c>
      <c r="J97" s="394"/>
      <c r="K97" s="394"/>
      <c r="L97" s="386"/>
      <c r="N97" s="429" t="s">
        <v>674</v>
      </c>
    </row>
    <row r="98" spans="1:16" ht="16.2" thickBot="1">
      <c r="A98" s="387">
        <v>5</v>
      </c>
      <c r="B98" s="386" t="s">
        <v>57</v>
      </c>
      <c r="C98" s="394"/>
      <c r="D98" s="433">
        <v>0</v>
      </c>
      <c r="E98" s="394"/>
      <c r="F98" s="394" t="s">
        <v>58</v>
      </c>
      <c r="G98" s="451">
        <f>K277</f>
        <v>0.15192965428736016</v>
      </c>
      <c r="H98" s="394"/>
      <c r="I98" s="403">
        <f>+G98*D98</f>
        <v>0</v>
      </c>
      <c r="J98" s="394"/>
      <c r="K98" s="394"/>
      <c r="L98" s="386"/>
    </row>
    <row r="99" spans="1:16">
      <c r="A99" s="387">
        <v>6</v>
      </c>
      <c r="B99" s="383" t="s">
        <v>210</v>
      </c>
      <c r="C99" s="394"/>
      <c r="D99" s="394">
        <f>SUM(D93:D98)</f>
        <v>368459352</v>
      </c>
      <c r="E99" s="394"/>
      <c r="F99" s="394" t="s">
        <v>59</v>
      </c>
      <c r="G99" s="458">
        <f>IF(I99&gt;0,I99/D99,0)</f>
        <v>0.1865420714025654</v>
      </c>
      <c r="H99" s="394"/>
      <c r="I99" s="394">
        <f>SUM(I93:I98)</f>
        <v>68733170.749726981</v>
      </c>
      <c r="J99" s="394"/>
      <c r="K99" s="458"/>
      <c r="L99" s="386"/>
      <c r="N99" s="584"/>
      <c r="O99" s="585"/>
      <c r="P99" s="585"/>
    </row>
    <row r="100" spans="1:16">
      <c r="B100" s="386"/>
      <c r="C100" s="394"/>
      <c r="D100" s="394"/>
      <c r="E100" s="394"/>
      <c r="F100" s="394"/>
      <c r="G100" s="458"/>
      <c r="H100" s="394"/>
      <c r="I100" s="394"/>
      <c r="J100" s="394"/>
      <c r="K100" s="458"/>
      <c r="L100" s="386"/>
      <c r="N100" s="584"/>
      <c r="O100" s="586"/>
      <c r="P100" s="558"/>
    </row>
    <row r="101" spans="1:16">
      <c r="B101" s="386" t="s">
        <v>1159</v>
      </c>
      <c r="C101" s="394"/>
      <c r="D101" s="394"/>
      <c r="E101" s="394"/>
      <c r="F101" s="394"/>
      <c r="G101" s="394"/>
      <c r="H101" s="394"/>
      <c r="I101" s="394"/>
      <c r="J101" s="394"/>
      <c r="K101" s="394"/>
      <c r="L101" s="386"/>
      <c r="N101" s="584"/>
      <c r="O101" s="587"/>
      <c r="P101" s="588"/>
    </row>
    <row r="102" spans="1:16">
      <c r="A102" s="387">
        <v>7</v>
      </c>
      <c r="B102" s="386" t="str">
        <f>+B93</f>
        <v xml:space="preserve">  Production</v>
      </c>
      <c r="D102" s="401">
        <v>175427025</v>
      </c>
      <c r="E102" s="394"/>
      <c r="F102" s="394" t="str">
        <f>+F93</f>
        <v>NA</v>
      </c>
      <c r="G102" s="451" t="str">
        <f>+G93</f>
        <v xml:space="preserve"> </v>
      </c>
      <c r="H102" s="394"/>
      <c r="I102" s="394" t="s">
        <v>2</v>
      </c>
      <c r="J102" s="394"/>
      <c r="K102" s="394"/>
      <c r="L102" s="386"/>
      <c r="N102" s="584"/>
      <c r="O102" s="588"/>
      <c r="P102" s="588"/>
    </row>
    <row r="103" spans="1:16">
      <c r="A103" s="387">
        <v>8</v>
      </c>
      <c r="B103" s="386" t="str">
        <f>+B94</f>
        <v xml:space="preserve">  Transmission</v>
      </c>
      <c r="D103" s="401">
        <f>33483680-D104</f>
        <v>33420456</v>
      </c>
      <c r="E103" s="394"/>
      <c r="F103" s="394" t="str">
        <f>+F94</f>
        <v>TP</v>
      </c>
      <c r="G103" s="451">
        <f>+G94</f>
        <v>1</v>
      </c>
      <c r="H103" s="394"/>
      <c r="I103" s="394">
        <f>+G103*D103</f>
        <v>33420456</v>
      </c>
      <c r="J103" s="394"/>
      <c r="K103" s="394"/>
      <c r="L103" s="386"/>
      <c r="N103" s="394"/>
      <c r="O103" s="394"/>
      <c r="P103" s="386"/>
    </row>
    <row r="104" spans="1:16">
      <c r="A104" s="387" t="s">
        <v>1160</v>
      </c>
      <c r="B104" s="386" t="s">
        <v>1161</v>
      </c>
      <c r="D104" s="401">
        <v>63224</v>
      </c>
      <c r="E104" s="394"/>
      <c r="F104" s="394" t="s">
        <v>12</v>
      </c>
      <c r="G104" s="451">
        <f>G103</f>
        <v>1</v>
      </c>
      <c r="H104" s="394"/>
      <c r="I104" s="394">
        <f>+G104*D104</f>
        <v>63224</v>
      </c>
      <c r="J104" s="394"/>
      <c r="K104" s="394"/>
      <c r="L104" s="386"/>
      <c r="N104" s="394"/>
      <c r="O104" s="394"/>
      <c r="P104" s="386"/>
    </row>
    <row r="105" spans="1:16">
      <c r="A105" s="387">
        <v>9</v>
      </c>
      <c r="B105" s="386" t="str">
        <f>+B96</f>
        <v xml:space="preserve">  Distribution</v>
      </c>
      <c r="D105" s="401">
        <v>0</v>
      </c>
      <c r="E105" s="394"/>
      <c r="F105" s="394" t="str">
        <f t="shared" ref="F105:G107" si="0">+F96</f>
        <v>NA</v>
      </c>
      <c r="G105" s="451" t="str">
        <f t="shared" si="0"/>
        <v xml:space="preserve"> </v>
      </c>
      <c r="H105" s="394"/>
      <c r="I105" s="394" t="s">
        <v>2</v>
      </c>
      <c r="J105" s="394"/>
      <c r="K105" s="394"/>
      <c r="L105" s="386"/>
      <c r="N105" s="394"/>
      <c r="O105" s="394"/>
      <c r="P105" s="386"/>
    </row>
    <row r="106" spans="1:16">
      <c r="A106" s="387">
        <v>10</v>
      </c>
      <c r="B106" s="386" t="str">
        <f>+B97</f>
        <v xml:space="preserve">  General &amp; Intangible</v>
      </c>
      <c r="D106" s="401">
        <v>14239893</v>
      </c>
      <c r="E106" s="394"/>
      <c r="F106" s="394" t="str">
        <f t="shared" si="0"/>
        <v>W/S</v>
      </c>
      <c r="G106" s="451">
        <f t="shared" si="0"/>
        <v>0.15192965428736016</v>
      </c>
      <c r="H106" s="394"/>
      <c r="I106" s="394">
        <f>+G106*D106</f>
        <v>2163462.020579</v>
      </c>
      <c r="J106" s="394"/>
      <c r="K106" s="394"/>
      <c r="L106" s="386"/>
      <c r="N106" s="394"/>
      <c r="O106" s="389"/>
      <c r="P106" s="386"/>
    </row>
    <row r="107" spans="1:16" ht="16.2" thickBot="1">
      <c r="A107" s="387">
        <v>11</v>
      </c>
      <c r="B107" s="386" t="str">
        <f>+B98</f>
        <v xml:space="preserve">  Common</v>
      </c>
      <c r="C107" s="394"/>
      <c r="D107" s="433">
        <v>0</v>
      </c>
      <c r="E107" s="394"/>
      <c r="F107" s="394" t="str">
        <f t="shared" si="0"/>
        <v>CE</v>
      </c>
      <c r="G107" s="451">
        <f t="shared" si="0"/>
        <v>0.15192965428736016</v>
      </c>
      <c r="H107" s="394"/>
      <c r="I107" s="403">
        <f>+G107*D107</f>
        <v>0</v>
      </c>
      <c r="J107" s="394"/>
      <c r="K107" s="394"/>
      <c r="L107" s="386"/>
      <c r="N107" s="394"/>
      <c r="O107" s="389"/>
      <c r="P107" s="386"/>
    </row>
    <row r="108" spans="1:16">
      <c r="A108" s="387">
        <v>12</v>
      </c>
      <c r="B108" s="386" t="s">
        <v>211</v>
      </c>
      <c r="C108" s="394"/>
      <c r="D108" s="394">
        <f>SUM(D102:D107)</f>
        <v>223150598</v>
      </c>
      <c r="E108" s="394"/>
      <c r="F108" s="394"/>
      <c r="G108" s="394"/>
      <c r="H108" s="394"/>
      <c r="I108" s="394">
        <f>SUM(I102:I107)</f>
        <v>35647142.020579003</v>
      </c>
      <c r="J108" s="394"/>
      <c r="K108" s="394"/>
      <c r="L108" s="386"/>
      <c r="N108" s="459"/>
      <c r="O108" s="394"/>
      <c r="P108" s="386"/>
    </row>
    <row r="109" spans="1:16">
      <c r="A109" s="387"/>
      <c r="C109" s="394" t="s">
        <v>2</v>
      </c>
      <c r="E109" s="394"/>
      <c r="F109" s="394"/>
      <c r="G109" s="458"/>
      <c r="H109" s="394"/>
      <c r="J109" s="394"/>
      <c r="K109" s="458"/>
      <c r="L109" s="386"/>
      <c r="N109" s="394"/>
      <c r="O109" s="394"/>
      <c r="P109" s="386"/>
    </row>
    <row r="110" spans="1:16">
      <c r="A110" s="387"/>
      <c r="B110" s="386" t="s">
        <v>1162</v>
      </c>
      <c r="C110" s="394"/>
      <c r="D110" s="394"/>
      <c r="E110" s="394"/>
      <c r="F110" s="394"/>
      <c r="G110" s="394"/>
      <c r="H110" s="394"/>
      <c r="I110" s="394"/>
      <c r="J110" s="394"/>
      <c r="K110" s="394"/>
      <c r="L110" s="386"/>
      <c r="N110" s="394"/>
      <c r="O110" s="394"/>
      <c r="P110" s="386"/>
    </row>
    <row r="111" spans="1:16">
      <c r="A111" s="387">
        <v>13</v>
      </c>
      <c r="B111" s="386" t="str">
        <f>+B102</f>
        <v xml:space="preserve">  Production</v>
      </c>
      <c r="C111" s="394" t="s">
        <v>212</v>
      </c>
      <c r="D111" s="394">
        <f>D93-D102</f>
        <v>104360461</v>
      </c>
      <c r="E111" s="394"/>
      <c r="F111" s="394"/>
      <c r="G111" s="458"/>
      <c r="H111" s="394"/>
      <c r="I111" s="394" t="s">
        <v>2</v>
      </c>
      <c r="J111" s="394"/>
      <c r="K111" s="458"/>
      <c r="L111" s="386"/>
      <c r="N111" s="394"/>
      <c r="O111" s="394"/>
      <c r="P111" s="386"/>
    </row>
    <row r="112" spans="1:16">
      <c r="A112" s="387">
        <v>14</v>
      </c>
      <c r="B112" s="386" t="str">
        <f>+B103</f>
        <v xml:space="preserve">  Transmission</v>
      </c>
      <c r="C112" s="394" t="s">
        <v>213</v>
      </c>
      <c r="D112" s="394">
        <f>D94-D103</f>
        <v>26156186</v>
      </c>
      <c r="E112" s="394"/>
      <c r="F112" s="394"/>
      <c r="G112" s="451"/>
      <c r="H112" s="394"/>
      <c r="I112" s="394">
        <f>I94-I103</f>
        <v>26156186</v>
      </c>
      <c r="J112" s="394"/>
      <c r="K112" s="458"/>
      <c r="L112" s="386"/>
      <c r="N112" s="394"/>
      <c r="O112" s="394"/>
      <c r="P112" s="386"/>
    </row>
    <row r="113" spans="1:16">
      <c r="A113" s="387" t="s">
        <v>1163</v>
      </c>
      <c r="B113" s="386" t="s">
        <v>1164</v>
      </c>
      <c r="C113" s="394"/>
      <c r="D113" s="394">
        <f t="shared" ref="D113" si="1">D95-D104</f>
        <v>5521338</v>
      </c>
      <c r="E113" s="394"/>
      <c r="F113" s="394"/>
      <c r="G113" s="451"/>
      <c r="H113" s="394"/>
      <c r="I113" s="394">
        <f>I95-I104</f>
        <v>5521338</v>
      </c>
      <c r="J113" s="394"/>
      <c r="K113" s="458"/>
      <c r="L113" s="386"/>
      <c r="N113" s="394"/>
      <c r="O113" s="394"/>
      <c r="P113" s="386"/>
    </row>
    <row r="114" spans="1:16">
      <c r="A114" s="387">
        <v>15</v>
      </c>
      <c r="B114" s="386" t="str">
        <f>+B105</f>
        <v xml:space="preserve">  Distribution</v>
      </c>
      <c r="C114" s="394" t="s">
        <v>214</v>
      </c>
      <c r="D114" s="394">
        <f>D96-D105</f>
        <v>0</v>
      </c>
      <c r="E114" s="394"/>
      <c r="F114" s="394"/>
      <c r="G114" s="458"/>
      <c r="H114" s="394"/>
      <c r="I114" s="394" t="s">
        <v>2</v>
      </c>
      <c r="J114" s="394"/>
      <c r="K114" s="458"/>
      <c r="L114" s="386"/>
      <c r="N114" s="394"/>
      <c r="O114" s="394"/>
      <c r="P114" s="386"/>
    </row>
    <row r="115" spans="1:16">
      <c r="A115" s="387">
        <v>16</v>
      </c>
      <c r="B115" s="386" t="str">
        <f>+B106</f>
        <v xml:space="preserve">  General &amp; Intangible</v>
      </c>
      <c r="C115" s="394" t="s">
        <v>215</v>
      </c>
      <c r="D115" s="394">
        <f>D97-D106</f>
        <v>9270769</v>
      </c>
      <c r="E115" s="394"/>
      <c r="F115" s="394"/>
      <c r="G115" s="458"/>
      <c r="H115" s="394"/>
      <c r="I115" s="394">
        <f>I97-I106</f>
        <v>1408504.7291479758</v>
      </c>
      <c r="J115" s="394"/>
      <c r="K115" s="458"/>
      <c r="L115" s="386"/>
      <c r="N115" s="394"/>
      <c r="O115" s="389"/>
      <c r="P115" s="386"/>
    </row>
    <row r="116" spans="1:16" ht="16.2" thickBot="1">
      <c r="A116" s="387">
        <v>17</v>
      </c>
      <c r="B116" s="386" t="str">
        <f>+B107</f>
        <v xml:space="preserve">  Common</v>
      </c>
      <c r="C116" s="394" t="s">
        <v>216</v>
      </c>
      <c r="D116" s="403">
        <f>D98-D107</f>
        <v>0</v>
      </c>
      <c r="E116" s="394"/>
      <c r="F116" s="394"/>
      <c r="G116" s="458"/>
      <c r="H116" s="394"/>
      <c r="I116" s="403">
        <f>I98-I107</f>
        <v>0</v>
      </c>
      <c r="J116" s="394"/>
      <c r="K116" s="458"/>
      <c r="L116" s="386"/>
      <c r="N116" s="394"/>
      <c r="O116" s="389"/>
      <c r="P116" s="386"/>
    </row>
    <row r="117" spans="1:16">
      <c r="A117" s="387">
        <v>18</v>
      </c>
      <c r="B117" s="386" t="s">
        <v>217</v>
      </c>
      <c r="C117" s="394"/>
      <c r="D117" s="394">
        <f>SUM(D111:D116)</f>
        <v>145308754</v>
      </c>
      <c r="E117" s="394"/>
      <c r="F117" s="394" t="s">
        <v>60</v>
      </c>
      <c r="G117" s="458">
        <f>IF(I117&gt;0,I117/D117,0)</f>
        <v>0.227694669580251</v>
      </c>
      <c r="H117" s="394"/>
      <c r="I117" s="394">
        <f>SUM(I111:I116)</f>
        <v>33086028.729147974</v>
      </c>
      <c r="J117" s="394"/>
      <c r="K117" s="394"/>
      <c r="L117" s="386"/>
      <c r="N117" s="404"/>
      <c r="O117" s="394"/>
      <c r="P117" s="386"/>
    </row>
    <row r="118" spans="1:16">
      <c r="A118" s="387"/>
      <c r="B118" s="386"/>
      <c r="C118" s="394"/>
      <c r="D118" s="394"/>
      <c r="E118" s="394"/>
      <c r="F118" s="394"/>
      <c r="G118" s="458"/>
      <c r="H118" s="394"/>
      <c r="I118" s="394"/>
      <c r="J118" s="394"/>
      <c r="K118" s="394"/>
      <c r="L118" s="386"/>
      <c r="N118" s="404"/>
      <c r="O118" s="394"/>
      <c r="P118" s="386"/>
    </row>
    <row r="119" spans="1:16">
      <c r="A119" s="387" t="s">
        <v>1165</v>
      </c>
      <c r="B119" s="407" t="s">
        <v>1166</v>
      </c>
      <c r="C119" s="394"/>
      <c r="D119" s="402">
        <v>18711655</v>
      </c>
      <c r="E119" s="394"/>
      <c r="F119" s="394" t="s">
        <v>52</v>
      </c>
      <c r="G119" s="451">
        <v>1</v>
      </c>
      <c r="H119" s="394"/>
      <c r="I119" s="394">
        <f>G119*D119</f>
        <v>18711655</v>
      </c>
      <c r="J119" s="394"/>
      <c r="K119" s="394"/>
      <c r="L119" s="386"/>
      <c r="N119" s="404"/>
      <c r="O119" s="394"/>
      <c r="P119" s="386"/>
    </row>
    <row r="120" spans="1:16">
      <c r="A120" s="387"/>
      <c r="C120" s="394"/>
      <c r="E120" s="394"/>
      <c r="H120" s="394"/>
      <c r="J120" s="394"/>
      <c r="K120" s="458"/>
      <c r="L120" s="386"/>
      <c r="N120" s="394"/>
      <c r="O120" s="394"/>
      <c r="P120" s="386"/>
    </row>
    <row r="121" spans="1:16">
      <c r="A121" s="387"/>
      <c r="B121" s="383" t="s">
        <v>218</v>
      </c>
      <c r="C121" s="394"/>
      <c r="D121" s="394"/>
      <c r="E121" s="394"/>
      <c r="F121" s="394"/>
      <c r="G121" s="394"/>
      <c r="H121" s="394"/>
      <c r="I121" s="394"/>
      <c r="J121" s="394"/>
      <c r="K121" s="394"/>
      <c r="L121" s="386"/>
      <c r="N121" s="394" t="s">
        <v>2</v>
      </c>
      <c r="O121" s="394"/>
      <c r="P121" s="386"/>
    </row>
    <row r="122" spans="1:16">
      <c r="A122" s="387">
        <v>19</v>
      </c>
      <c r="B122" s="386" t="s">
        <v>1167</v>
      </c>
      <c r="C122" s="394"/>
      <c r="D122" s="401">
        <v>0</v>
      </c>
      <c r="E122" s="394"/>
      <c r="F122" s="394"/>
      <c r="G122" s="460" t="s">
        <v>164</v>
      </c>
      <c r="H122" s="394"/>
      <c r="I122" s="394">
        <v>0</v>
      </c>
      <c r="J122" s="394"/>
      <c r="K122" s="458"/>
      <c r="L122" s="386"/>
      <c r="N122" s="458"/>
      <c r="O122" s="389"/>
      <c r="P122" s="386"/>
    </row>
    <row r="123" spans="1:16">
      <c r="A123" s="387">
        <v>20</v>
      </c>
      <c r="B123" s="386" t="s">
        <v>62</v>
      </c>
      <c r="C123" s="394"/>
      <c r="D123" s="401">
        <v>0</v>
      </c>
      <c r="E123" s="394"/>
      <c r="F123" s="394" t="s">
        <v>61</v>
      </c>
      <c r="G123" s="451">
        <f>+G117</f>
        <v>0.227694669580251</v>
      </c>
      <c r="H123" s="394"/>
      <c r="I123" s="394">
        <f>D123*G123</f>
        <v>0</v>
      </c>
      <c r="J123" s="394"/>
      <c r="K123" s="458"/>
      <c r="L123" s="386"/>
      <c r="N123" s="458"/>
      <c r="O123" s="389"/>
      <c r="P123" s="386"/>
    </row>
    <row r="124" spans="1:16">
      <c r="A124" s="387">
        <v>21</v>
      </c>
      <c r="B124" s="386" t="s">
        <v>63</v>
      </c>
      <c r="C124" s="394"/>
      <c r="D124" s="432">
        <v>0</v>
      </c>
      <c r="E124" s="394"/>
      <c r="F124" s="394" t="s">
        <v>61</v>
      </c>
      <c r="G124" s="451">
        <f>+G123</f>
        <v>0.227694669580251</v>
      </c>
      <c r="H124" s="394"/>
      <c r="I124" s="394">
        <f>D124*G124</f>
        <v>0</v>
      </c>
      <c r="J124" s="394"/>
      <c r="K124" s="458"/>
      <c r="L124" s="386"/>
      <c r="N124" s="458"/>
      <c r="O124" s="389"/>
      <c r="P124" s="386"/>
    </row>
    <row r="125" spans="1:16">
      <c r="A125" s="387">
        <v>22</v>
      </c>
      <c r="B125" s="386" t="s">
        <v>64</v>
      </c>
      <c r="C125" s="394"/>
      <c r="D125" s="432">
        <v>0</v>
      </c>
      <c r="E125" s="394"/>
      <c r="F125" s="394" t="str">
        <f>+F124</f>
        <v>NP</v>
      </c>
      <c r="G125" s="451">
        <f>+G124</f>
        <v>0.227694669580251</v>
      </c>
      <c r="H125" s="394"/>
      <c r="I125" s="394">
        <f>D125*G125</f>
        <v>0</v>
      </c>
      <c r="J125" s="394"/>
      <c r="K125" s="458"/>
      <c r="L125" s="386"/>
      <c r="N125" s="458"/>
      <c r="O125" s="389"/>
      <c r="P125" s="386"/>
    </row>
    <row r="126" spans="1:16">
      <c r="A126" s="387">
        <v>23</v>
      </c>
      <c r="B126" s="382" t="s">
        <v>65</v>
      </c>
      <c r="C126" s="394"/>
      <c r="D126" s="432">
        <v>0</v>
      </c>
      <c r="E126" s="394"/>
      <c r="F126" s="394" t="s">
        <v>61</v>
      </c>
      <c r="G126" s="451">
        <f>G124</f>
        <v>0.227694669580251</v>
      </c>
      <c r="H126" s="394"/>
      <c r="I126" s="394">
        <f>G126*D126</f>
        <v>0</v>
      </c>
      <c r="J126" s="394"/>
      <c r="K126" s="458"/>
      <c r="L126" s="386"/>
      <c r="N126" s="458"/>
      <c r="O126" s="389"/>
      <c r="P126" s="386"/>
    </row>
    <row r="127" spans="1:16" ht="16.2" thickBot="1">
      <c r="A127" s="387" t="s">
        <v>1168</v>
      </c>
      <c r="B127" s="382" t="s">
        <v>1169</v>
      </c>
      <c r="D127" s="433">
        <v>0</v>
      </c>
      <c r="E127" s="394"/>
      <c r="F127" s="394" t="s">
        <v>52</v>
      </c>
      <c r="G127" s="451">
        <v>1</v>
      </c>
      <c r="H127" s="394"/>
      <c r="I127" s="403">
        <f t="shared" ref="I127" si="2">G127*D127</f>
        <v>0</v>
      </c>
      <c r="J127" s="394"/>
      <c r="K127" s="394"/>
      <c r="L127" s="386"/>
      <c r="N127" s="459"/>
      <c r="O127" s="394"/>
      <c r="P127" s="386"/>
    </row>
    <row r="128" spans="1:16">
      <c r="A128" s="387">
        <v>24</v>
      </c>
      <c r="B128" s="386" t="s">
        <v>66</v>
      </c>
      <c r="C128" s="394"/>
      <c r="D128" s="394">
        <f>SUM(D122:D127)</f>
        <v>0</v>
      </c>
      <c r="E128" s="394"/>
      <c r="F128" s="394"/>
      <c r="G128" s="394"/>
      <c r="H128" s="394"/>
      <c r="I128" s="394">
        <f>SUM(I122:I127)</f>
        <v>0</v>
      </c>
      <c r="J128" s="394"/>
      <c r="K128" s="458"/>
      <c r="L128" s="386"/>
      <c r="N128" s="394"/>
      <c r="O128" s="394"/>
      <c r="P128" s="386"/>
    </row>
    <row r="129" spans="1:16">
      <c r="A129" s="387"/>
      <c r="B129" s="386"/>
      <c r="C129" s="394"/>
      <c r="D129" s="394"/>
      <c r="E129" s="394"/>
      <c r="F129" s="394"/>
      <c r="G129" s="394"/>
      <c r="H129" s="394"/>
      <c r="I129" s="394"/>
      <c r="J129" s="394"/>
      <c r="K129" s="458"/>
      <c r="L129" s="386"/>
      <c r="N129" s="394"/>
      <c r="O129" s="394"/>
      <c r="P129" s="386"/>
    </row>
    <row r="130" spans="1:16">
      <c r="A130" s="387">
        <v>25</v>
      </c>
      <c r="B130" s="383" t="s">
        <v>1170</v>
      </c>
      <c r="C130" s="394" t="s">
        <v>251</v>
      </c>
      <c r="D130" s="401">
        <v>0</v>
      </c>
      <c r="E130" s="394"/>
      <c r="F130" s="394" t="str">
        <f>+F103</f>
        <v>TP</v>
      </c>
      <c r="G130" s="451">
        <f>+G103</f>
        <v>1</v>
      </c>
      <c r="H130" s="394"/>
      <c r="I130" s="394">
        <f>+G130*D130</f>
        <v>0</v>
      </c>
      <c r="J130" s="394"/>
      <c r="K130" s="394"/>
      <c r="L130" s="386"/>
      <c r="N130" s="394"/>
      <c r="O130" s="394"/>
      <c r="P130" s="386"/>
    </row>
    <row r="131" spans="1:16">
      <c r="A131" s="387"/>
      <c r="B131" s="386"/>
      <c r="C131" s="394"/>
      <c r="D131" s="394"/>
      <c r="E131" s="394"/>
      <c r="F131" s="394"/>
      <c r="G131" s="394"/>
      <c r="H131" s="394"/>
      <c r="I131" s="394"/>
      <c r="J131" s="394"/>
      <c r="K131" s="394"/>
      <c r="L131" s="386"/>
      <c r="N131" s="394"/>
      <c r="O131" s="394"/>
      <c r="P131" s="386"/>
    </row>
    <row r="132" spans="1:16">
      <c r="A132" s="387"/>
      <c r="B132" s="386" t="s">
        <v>67</v>
      </c>
      <c r="C132" s="394" t="s">
        <v>69</v>
      </c>
      <c r="D132" s="394"/>
      <c r="E132" s="394"/>
      <c r="F132" s="394"/>
      <c r="G132" s="394"/>
      <c r="H132" s="394"/>
      <c r="I132" s="394"/>
      <c r="J132" s="394"/>
      <c r="K132" s="394"/>
      <c r="L132" s="386"/>
      <c r="N132" s="394"/>
      <c r="O132" s="394"/>
      <c r="P132" s="386"/>
    </row>
    <row r="133" spans="1:16">
      <c r="A133" s="387">
        <v>26</v>
      </c>
      <c r="B133" s="386" t="s">
        <v>68</v>
      </c>
      <c r="D133" s="394">
        <f>D180/8</f>
        <v>1416364.875</v>
      </c>
      <c r="E133" s="394"/>
      <c r="F133" s="394"/>
      <c r="G133" s="458"/>
      <c r="H133" s="394"/>
      <c r="I133" s="394">
        <f>I180/8</f>
        <v>530167.38210266875</v>
      </c>
      <c r="J133" s="386"/>
      <c r="K133" s="458"/>
      <c r="L133" s="386"/>
      <c r="N133" s="461"/>
      <c r="O133" s="441"/>
      <c r="P133" s="386"/>
    </row>
    <row r="134" spans="1:16">
      <c r="A134" s="387">
        <v>27</v>
      </c>
      <c r="B134" s="386" t="s">
        <v>1171</v>
      </c>
      <c r="C134" s="382" t="s">
        <v>219</v>
      </c>
      <c r="D134" s="401">
        <v>291628</v>
      </c>
      <c r="E134" s="394"/>
      <c r="F134" s="394" t="s">
        <v>70</v>
      </c>
      <c r="G134" s="451">
        <f>I266</f>
        <v>0.99089271201118911</v>
      </c>
      <c r="H134" s="394"/>
      <c r="I134" s="394">
        <f>G134*D134</f>
        <v>288972.05981839908</v>
      </c>
      <c r="J134" s="394" t="s">
        <v>2</v>
      </c>
      <c r="K134" s="458"/>
      <c r="L134" s="386"/>
      <c r="N134" s="461"/>
      <c r="O134" s="389"/>
      <c r="P134" s="386"/>
    </row>
    <row r="135" spans="1:16" ht="16.2" thickBot="1">
      <c r="A135" s="387">
        <v>28</v>
      </c>
      <c r="B135" s="386" t="s">
        <v>1172</v>
      </c>
      <c r="C135" s="382" t="s">
        <v>252</v>
      </c>
      <c r="D135" s="433">
        <v>2234230</v>
      </c>
      <c r="E135" s="394"/>
      <c r="F135" s="394" t="s">
        <v>71</v>
      </c>
      <c r="G135" s="451">
        <f>+G99</f>
        <v>0.1865420714025654</v>
      </c>
      <c r="H135" s="394"/>
      <c r="I135" s="403">
        <f>+G135*D135</f>
        <v>416777.89218975371</v>
      </c>
      <c r="J135" s="394"/>
      <c r="K135" s="458"/>
      <c r="L135" s="386"/>
      <c r="N135" s="461"/>
      <c r="O135" s="389"/>
      <c r="P135" s="386"/>
    </row>
    <row r="136" spans="1:16">
      <c r="A136" s="387">
        <v>29</v>
      </c>
      <c r="B136" s="386" t="s">
        <v>220</v>
      </c>
      <c r="C136" s="386"/>
      <c r="D136" s="394">
        <f>D133+D134+D135</f>
        <v>3942222.875</v>
      </c>
      <c r="E136" s="386"/>
      <c r="F136" s="386"/>
      <c r="G136" s="386"/>
      <c r="H136" s="386"/>
      <c r="I136" s="394">
        <f>I133+I134+I135</f>
        <v>1235917.3341108216</v>
      </c>
      <c r="J136" s="386"/>
      <c r="K136" s="386"/>
      <c r="L136" s="386"/>
      <c r="N136" s="459"/>
      <c r="O136" s="394"/>
      <c r="P136" s="386"/>
    </row>
    <row r="137" spans="1:16" ht="16.2" thickBot="1">
      <c r="C137" s="394"/>
      <c r="D137" s="462"/>
      <c r="E137" s="394"/>
      <c r="F137" s="394"/>
      <c r="G137" s="394"/>
      <c r="H137" s="394"/>
      <c r="I137" s="462"/>
      <c r="J137" s="394"/>
      <c r="K137" s="394"/>
      <c r="L137" s="386"/>
      <c r="N137" s="394"/>
      <c r="O137" s="394"/>
      <c r="P137" s="386"/>
    </row>
    <row r="138" spans="1:16" ht="16.2" thickBot="1">
      <c r="A138" s="387">
        <v>30</v>
      </c>
      <c r="B138" s="407" t="s">
        <v>1173</v>
      </c>
      <c r="C138" s="394"/>
      <c r="D138" s="463">
        <f>+D136+D130+D128+D117-D113-D127</f>
        <v>143729638.875</v>
      </c>
      <c r="E138" s="394"/>
      <c r="F138" s="394"/>
      <c r="G138" s="458"/>
      <c r="H138" s="394"/>
      <c r="I138" s="463">
        <f>+I136+I130+I128+I117-I113-I127</f>
        <v>28800608.063258797</v>
      </c>
      <c r="J138" s="394"/>
      <c r="K138" s="458"/>
      <c r="L138" s="386"/>
      <c r="N138" s="394"/>
      <c r="O138" s="394"/>
      <c r="P138" s="386"/>
    </row>
    <row r="139" spans="1:16" s="3" customFormat="1" ht="16.8" thickTop="1" thickBot="1">
      <c r="A139" s="387"/>
      <c r="B139" s="407"/>
      <c r="C139" s="394"/>
      <c r="D139" s="394"/>
      <c r="E139" s="394"/>
      <c r="F139" s="394"/>
      <c r="G139" s="394"/>
      <c r="H139" s="394"/>
      <c r="I139" s="394"/>
      <c r="J139" s="394"/>
      <c r="K139" s="394"/>
      <c r="L139" s="386"/>
      <c r="M139" s="382"/>
      <c r="N139" s="394"/>
      <c r="O139" s="394"/>
      <c r="P139" s="386"/>
    </row>
    <row r="140" spans="1:16" ht="16.2" thickBot="1">
      <c r="A140" s="387" t="s">
        <v>1174</v>
      </c>
      <c r="B140" s="407" t="s">
        <v>1175</v>
      </c>
      <c r="C140" s="394"/>
      <c r="D140" s="464">
        <f>D113+D119+D127</f>
        <v>24232993</v>
      </c>
      <c r="E140" s="394"/>
      <c r="F140" s="394"/>
      <c r="G140" s="394"/>
      <c r="H140" s="394"/>
      <c r="I140" s="464">
        <f>I113+I119+I127</f>
        <v>24232993</v>
      </c>
      <c r="J140" s="394"/>
      <c r="K140" s="394"/>
      <c r="L140" s="386"/>
      <c r="N140" s="394"/>
      <c r="O140" s="394"/>
      <c r="P140" s="386"/>
    </row>
    <row r="141" spans="1:16" ht="16.2" thickTop="1">
      <c r="A141" s="387"/>
      <c r="B141" s="386"/>
      <c r="C141" s="394"/>
      <c r="D141" s="394"/>
      <c r="E141" s="394"/>
      <c r="F141" s="394"/>
      <c r="G141" s="394"/>
      <c r="H141" s="394"/>
      <c r="I141" s="394"/>
      <c r="J141" s="394"/>
      <c r="K141" s="394"/>
      <c r="L141" s="386"/>
      <c r="N141" s="394"/>
      <c r="O141" s="394"/>
      <c r="P141" s="386"/>
    </row>
    <row r="142" spans="1:16">
      <c r="A142" s="387"/>
      <c r="B142" s="386"/>
      <c r="C142" s="394"/>
      <c r="D142" s="394"/>
      <c r="E142" s="394"/>
      <c r="F142" s="394"/>
      <c r="G142" s="394"/>
      <c r="H142" s="394"/>
      <c r="I142" s="394"/>
      <c r="J142" s="394"/>
      <c r="K142" s="394"/>
      <c r="L142" s="386"/>
      <c r="N142" s="394"/>
      <c r="O142" s="394"/>
      <c r="P142" s="386"/>
    </row>
    <row r="143" spans="1:16">
      <c r="A143" s="387"/>
      <c r="B143" s="386"/>
      <c r="C143" s="394"/>
      <c r="D143" s="394"/>
      <c r="E143" s="394"/>
      <c r="F143" s="394"/>
      <c r="G143" s="394"/>
      <c r="H143" s="394"/>
      <c r="I143" s="394"/>
      <c r="J143" s="394"/>
      <c r="K143" s="394"/>
      <c r="L143" s="386"/>
      <c r="N143" s="394"/>
      <c r="O143" s="394"/>
      <c r="P143" s="386"/>
    </row>
    <row r="144" spans="1:16">
      <c r="A144" s="387"/>
      <c r="B144" s="386"/>
      <c r="C144" s="394"/>
      <c r="D144" s="394"/>
      <c r="E144" s="394"/>
      <c r="F144" s="394"/>
      <c r="G144" s="394"/>
      <c r="H144" s="394"/>
      <c r="I144" s="394"/>
      <c r="J144" s="394"/>
      <c r="K144" s="394"/>
      <c r="L144" s="386"/>
      <c r="N144" s="394"/>
      <c r="O144" s="394"/>
      <c r="P144" s="386"/>
    </row>
    <row r="145" spans="1:16">
      <c r="A145" s="387"/>
      <c r="B145" s="386"/>
      <c r="C145" s="394"/>
      <c r="D145" s="394"/>
      <c r="E145" s="394"/>
      <c r="F145" s="394"/>
      <c r="G145" s="394"/>
      <c r="H145" s="394"/>
      <c r="I145" s="394"/>
      <c r="J145" s="394"/>
      <c r="K145" s="394"/>
      <c r="L145" s="386"/>
      <c r="N145" s="394"/>
      <c r="O145" s="394"/>
      <c r="P145" s="386"/>
    </row>
    <row r="146" spans="1:16">
      <c r="A146" s="387"/>
      <c r="B146" s="386"/>
      <c r="C146" s="394"/>
      <c r="D146" s="394"/>
      <c r="E146" s="394"/>
      <c r="F146" s="394"/>
      <c r="G146" s="394"/>
      <c r="H146" s="394"/>
      <c r="I146" s="394"/>
      <c r="J146" s="394"/>
      <c r="K146" s="394"/>
      <c r="L146" s="386"/>
      <c r="N146" s="394"/>
      <c r="O146" s="394"/>
      <c r="P146" s="386"/>
    </row>
    <row r="147" spans="1:16">
      <c r="A147" s="387"/>
      <c r="B147" s="386"/>
      <c r="C147" s="394"/>
      <c r="D147" s="394"/>
      <c r="E147" s="394"/>
      <c r="F147" s="394"/>
      <c r="G147" s="394"/>
      <c r="H147" s="394"/>
      <c r="I147" s="394"/>
      <c r="J147" s="394"/>
      <c r="K147" s="394"/>
      <c r="L147" s="386"/>
      <c r="N147" s="394"/>
      <c r="O147" s="394"/>
      <c r="P147" s="386"/>
    </row>
    <row r="148" spans="1:16">
      <c r="A148" s="387"/>
      <c r="B148" s="386"/>
      <c r="C148" s="394"/>
      <c r="D148" s="394"/>
      <c r="E148" s="394"/>
      <c r="F148" s="394"/>
      <c r="G148" s="394"/>
      <c r="H148" s="394"/>
      <c r="I148" s="394"/>
      <c r="J148" s="394"/>
      <c r="K148" s="394"/>
      <c r="L148" s="386"/>
      <c r="N148" s="394"/>
      <c r="O148" s="394"/>
      <c r="P148" s="386"/>
    </row>
    <row r="149" spans="1:16">
      <c r="A149" s="387"/>
      <c r="B149" s="386"/>
      <c r="C149" s="394"/>
      <c r="D149" s="394"/>
      <c r="E149" s="394"/>
      <c r="F149" s="394"/>
      <c r="G149" s="394"/>
      <c r="H149" s="394"/>
      <c r="I149" s="394"/>
      <c r="J149" s="394"/>
      <c r="K149" s="394"/>
      <c r="L149" s="386"/>
      <c r="N149" s="394"/>
      <c r="O149" s="394"/>
      <c r="P149" s="386"/>
    </row>
    <row r="150" spans="1:16">
      <c r="A150" s="387"/>
      <c r="B150" s="386"/>
      <c r="C150" s="394"/>
      <c r="D150" s="394"/>
      <c r="E150" s="394"/>
      <c r="F150" s="394"/>
      <c r="G150" s="394"/>
      <c r="H150" s="394"/>
      <c r="I150" s="394"/>
      <c r="J150" s="394"/>
      <c r="K150" s="394"/>
      <c r="L150" s="386"/>
      <c r="N150" s="394"/>
      <c r="O150" s="394"/>
      <c r="P150" s="386"/>
    </row>
    <row r="151" spans="1:16">
      <c r="A151" s="387"/>
      <c r="B151" s="386"/>
      <c r="C151" s="394"/>
      <c r="D151" s="394"/>
      <c r="E151" s="394"/>
      <c r="F151" s="394"/>
      <c r="G151" s="394"/>
      <c r="H151" s="394"/>
      <c r="I151" s="394"/>
      <c r="J151" s="394"/>
      <c r="K151" s="394"/>
      <c r="L151" s="386"/>
      <c r="N151" s="394"/>
      <c r="O151" s="394"/>
      <c r="P151" s="386"/>
    </row>
    <row r="152" spans="1:16">
      <c r="A152" s="387"/>
      <c r="B152" s="386"/>
      <c r="C152" s="394"/>
      <c r="D152" s="394"/>
      <c r="E152" s="394"/>
      <c r="F152" s="394"/>
      <c r="G152" s="394"/>
      <c r="H152" s="394"/>
      <c r="I152" s="394"/>
      <c r="J152" s="394"/>
      <c r="K152" s="394"/>
      <c r="L152" s="386"/>
      <c r="N152" s="394"/>
      <c r="O152" s="394"/>
      <c r="P152" s="386"/>
    </row>
    <row r="153" spans="1:16">
      <c r="A153" s="387"/>
      <c r="B153" s="386"/>
      <c r="C153" s="394"/>
      <c r="D153" s="394"/>
      <c r="E153" s="394"/>
      <c r="F153" s="394"/>
      <c r="G153" s="394"/>
      <c r="H153" s="394"/>
      <c r="I153" s="394"/>
      <c r="J153" s="394"/>
      <c r="K153" s="394"/>
      <c r="L153" s="386"/>
      <c r="N153" s="394"/>
      <c r="O153" s="394"/>
      <c r="P153" s="386"/>
    </row>
    <row r="154" spans="1:16">
      <c r="A154" s="387"/>
      <c r="B154" s="386"/>
      <c r="C154" s="394"/>
      <c r="D154" s="394"/>
      <c r="E154" s="394"/>
      <c r="F154" s="394"/>
      <c r="G154" s="394"/>
      <c r="H154" s="394"/>
      <c r="I154" s="394"/>
      <c r="J154" s="394"/>
      <c r="K154" s="394"/>
      <c r="L154" s="386"/>
      <c r="N154" s="394"/>
      <c r="O154" s="394"/>
      <c r="P154" s="386"/>
    </row>
    <row r="155" spans="1:16">
      <c r="A155" s="382" t="s">
        <v>678</v>
      </c>
      <c r="B155" s="386"/>
      <c r="C155" s="386"/>
      <c r="D155" s="386"/>
      <c r="E155" s="386"/>
      <c r="F155" s="386"/>
      <c r="G155" s="386"/>
      <c r="H155" s="386"/>
      <c r="I155" s="440"/>
      <c r="J155" s="386"/>
      <c r="K155" s="388" t="s">
        <v>679</v>
      </c>
      <c r="L155" s="386"/>
      <c r="N155" s="386"/>
      <c r="O155" s="386"/>
    </row>
    <row r="156" spans="1:16">
      <c r="A156" s="382" t="s">
        <v>680</v>
      </c>
      <c r="B156" s="386"/>
      <c r="C156" s="386"/>
      <c r="D156" s="386"/>
      <c r="E156" s="386"/>
      <c r="F156" s="386"/>
      <c r="G156" s="386"/>
      <c r="H156" s="386"/>
      <c r="I156" s="440"/>
      <c r="J156" s="386"/>
      <c r="K156" s="386"/>
      <c r="L156" s="386"/>
      <c r="N156" s="386"/>
      <c r="O156" s="386"/>
    </row>
    <row r="157" spans="1:16">
      <c r="A157" s="602"/>
      <c r="B157" s="602"/>
      <c r="C157" s="602"/>
      <c r="D157" s="602"/>
      <c r="E157" s="602"/>
      <c r="F157" s="602"/>
      <c r="G157" s="602"/>
      <c r="H157" s="602"/>
      <c r="I157" s="602"/>
      <c r="J157" s="602"/>
      <c r="K157" s="602"/>
      <c r="L157" s="465"/>
      <c r="M157" s="466"/>
      <c r="N157" s="465"/>
      <c r="O157" s="465"/>
      <c r="P157" s="466"/>
    </row>
    <row r="158" spans="1:16">
      <c r="A158" s="382" t="s">
        <v>185</v>
      </c>
      <c r="B158" s="383"/>
      <c r="C158" s="383"/>
      <c r="D158" s="384"/>
      <c r="E158" s="383"/>
      <c r="F158" s="383"/>
      <c r="G158" s="383"/>
      <c r="H158" s="383"/>
      <c r="I158" s="385"/>
      <c r="J158" s="385"/>
      <c r="K158" s="385" t="s">
        <v>1176</v>
      </c>
      <c r="L158" s="386"/>
      <c r="N158" s="386"/>
      <c r="O158" s="386"/>
      <c r="P158" s="386"/>
    </row>
    <row r="159" spans="1:16">
      <c r="A159" s="382" t="s">
        <v>245</v>
      </c>
      <c r="B159" s="383"/>
      <c r="C159" s="383"/>
      <c r="D159" s="384"/>
      <c r="E159" s="383"/>
      <c r="F159" s="383"/>
      <c r="G159" s="383"/>
      <c r="H159" s="383"/>
      <c r="I159" s="385"/>
      <c r="J159" s="385"/>
      <c r="K159" s="385" t="s">
        <v>1177</v>
      </c>
      <c r="L159" s="386"/>
      <c r="N159" s="386"/>
      <c r="O159" s="386"/>
      <c r="P159" s="386"/>
    </row>
    <row r="160" spans="1:16">
      <c r="B160" s="383"/>
      <c r="C160" s="383"/>
      <c r="D160" s="384"/>
      <c r="E160" s="383"/>
      <c r="F160" s="383"/>
      <c r="G160" s="383"/>
      <c r="H160" s="383"/>
      <c r="J160" s="388"/>
      <c r="K160" s="388" t="s">
        <v>1127</v>
      </c>
      <c r="L160" s="386"/>
      <c r="N160" s="386"/>
      <c r="O160" s="386"/>
      <c r="P160" s="386"/>
    </row>
    <row r="161" spans="1:16">
      <c r="B161" s="383"/>
      <c r="C161" s="383"/>
      <c r="D161" s="384"/>
      <c r="E161" s="383"/>
      <c r="F161" s="383"/>
      <c r="G161" s="383"/>
      <c r="H161" s="383"/>
      <c r="I161" s="386"/>
      <c r="K161" s="388" t="s">
        <v>174</v>
      </c>
      <c r="L161" s="386"/>
      <c r="N161" s="386"/>
      <c r="O161" s="386"/>
      <c r="P161" s="386"/>
    </row>
    <row r="162" spans="1:16">
      <c r="A162" s="387"/>
      <c r="B162" s="386"/>
      <c r="C162" s="394"/>
      <c r="D162" s="394"/>
      <c r="E162" s="394"/>
      <c r="F162" s="394"/>
      <c r="G162" s="394"/>
      <c r="H162" s="394"/>
      <c r="I162" s="394"/>
      <c r="J162" s="394"/>
      <c r="K162" s="394"/>
      <c r="L162" s="386"/>
      <c r="N162" s="394"/>
      <c r="O162" s="394"/>
      <c r="P162" s="386"/>
    </row>
    <row r="163" spans="1:16">
      <c r="A163" s="387"/>
      <c r="B163" s="386" t="str">
        <f>B7</f>
        <v xml:space="preserve">Formula Rate - Non-Levelized </v>
      </c>
      <c r="C163" s="394"/>
      <c r="D163" s="394" t="str">
        <f>D7</f>
        <v xml:space="preserve">   Rate Formula Template</v>
      </c>
      <c r="E163" s="394"/>
      <c r="F163" s="394"/>
      <c r="G163" s="394"/>
      <c r="H163" s="394"/>
      <c r="J163" s="394"/>
      <c r="K163" s="467" t="str">
        <f>K7</f>
        <v>For the 12 months ended 12/31/2012</v>
      </c>
      <c r="L163" s="386"/>
      <c r="N163" s="394"/>
      <c r="O163" s="394"/>
      <c r="P163" s="386"/>
    </row>
    <row r="164" spans="1:16">
      <c r="A164" s="387"/>
      <c r="B164" s="386"/>
      <c r="C164" s="394"/>
      <c r="D164" s="394" t="str">
        <f>D8</f>
        <v>Utilizing EIA Form 412 Data</v>
      </c>
      <c r="E164" s="394"/>
      <c r="F164" s="394"/>
      <c r="G164" s="394"/>
      <c r="H164" s="394"/>
      <c r="I164" s="394"/>
      <c r="J164" s="394"/>
      <c r="K164" s="394"/>
      <c r="L164" s="386"/>
      <c r="N164" s="394"/>
      <c r="O164" s="394"/>
      <c r="P164" s="386"/>
    </row>
    <row r="165" spans="1:16">
      <c r="A165" s="387"/>
      <c r="C165" s="394"/>
      <c r="D165" s="394"/>
      <c r="E165" s="394"/>
      <c r="F165" s="394"/>
      <c r="G165" s="394"/>
      <c r="H165" s="394"/>
      <c r="I165" s="394"/>
      <c r="J165" s="394"/>
      <c r="K165" s="394"/>
      <c r="L165" s="386"/>
      <c r="N165" s="394"/>
      <c r="O165" s="394"/>
      <c r="P165" s="386"/>
    </row>
    <row r="166" spans="1:16">
      <c r="A166" s="387"/>
      <c r="D166" s="382" t="str">
        <f>D10</f>
        <v>MRES</v>
      </c>
      <c r="J166" s="394"/>
      <c r="K166" s="394"/>
      <c r="L166" s="386"/>
      <c r="N166" s="394"/>
      <c r="O166" s="394"/>
      <c r="P166" s="386"/>
    </row>
    <row r="167" spans="1:16">
      <c r="A167" s="387"/>
      <c r="B167" s="389" t="s">
        <v>39</v>
      </c>
      <c r="C167" s="389" t="s">
        <v>40</v>
      </c>
      <c r="D167" s="389" t="s">
        <v>41</v>
      </c>
      <c r="E167" s="394" t="s">
        <v>2</v>
      </c>
      <c r="F167" s="394"/>
      <c r="G167" s="442" t="s">
        <v>42</v>
      </c>
      <c r="H167" s="394"/>
      <c r="I167" s="443" t="s">
        <v>43</v>
      </c>
      <c r="J167" s="394"/>
      <c r="K167" s="394"/>
      <c r="L167" s="386"/>
      <c r="N167" s="386"/>
      <c r="O167" s="394"/>
      <c r="P167" s="386"/>
    </row>
    <row r="168" spans="1:16">
      <c r="A168" s="387" t="s">
        <v>4</v>
      </c>
      <c r="B168" s="386"/>
      <c r="C168" s="444" t="s">
        <v>44</v>
      </c>
      <c r="D168" s="394"/>
      <c r="E168" s="394"/>
      <c r="F168" s="394"/>
      <c r="G168" s="387"/>
      <c r="H168" s="394"/>
      <c r="I168" s="445" t="s">
        <v>45</v>
      </c>
      <c r="J168" s="394"/>
      <c r="K168" s="445"/>
      <c r="L168" s="386"/>
      <c r="N168" s="387"/>
      <c r="O168" s="394"/>
      <c r="P168" s="386"/>
    </row>
    <row r="169" spans="1:16" ht="16.2" thickBot="1">
      <c r="A169" s="397" t="s">
        <v>6</v>
      </c>
      <c r="B169" s="386"/>
      <c r="C169" s="447" t="s">
        <v>46</v>
      </c>
      <c r="D169" s="445" t="s">
        <v>47</v>
      </c>
      <c r="E169" s="448"/>
      <c r="F169" s="445" t="s">
        <v>48</v>
      </c>
      <c r="H169" s="448"/>
      <c r="I169" s="387" t="s">
        <v>49</v>
      </c>
      <c r="J169" s="394"/>
      <c r="K169" s="445"/>
      <c r="L169" s="394"/>
      <c r="N169" s="445"/>
      <c r="O169" s="394"/>
      <c r="P169" s="386"/>
    </row>
    <row r="170" spans="1:16">
      <c r="A170" s="387"/>
      <c r="B170" s="386" t="s">
        <v>1178</v>
      </c>
      <c r="C170" s="394"/>
      <c r="D170" s="394"/>
      <c r="E170" s="394"/>
      <c r="F170" s="394"/>
      <c r="G170" s="394"/>
      <c r="H170" s="394"/>
      <c r="I170" s="394"/>
      <c r="J170" s="394"/>
      <c r="K170" s="394"/>
      <c r="L170" s="386"/>
      <c r="N170" s="394"/>
      <c r="O170" s="394"/>
      <c r="P170" s="386"/>
    </row>
    <row r="171" spans="1:16">
      <c r="A171" s="387">
        <v>1</v>
      </c>
      <c r="B171" s="386" t="s">
        <v>72</v>
      </c>
      <c r="C171" s="382" t="s">
        <v>253</v>
      </c>
      <c r="D171" s="401">
        <v>24925642</v>
      </c>
      <c r="E171" s="394"/>
      <c r="F171" s="394" t="s">
        <v>70</v>
      </c>
      <c r="G171" s="451">
        <f>I266</f>
        <v>0.99089271201118911</v>
      </c>
      <c r="H171" s="394"/>
      <c r="I171" s="394">
        <f t="shared" ref="I171:I179" si="3">+G171*D171</f>
        <v>24698637</v>
      </c>
      <c r="J171" s="386"/>
      <c r="K171" s="394"/>
      <c r="L171" s="386"/>
      <c r="N171" s="394"/>
      <c r="O171" s="389"/>
      <c r="P171" s="394" t="s">
        <v>2</v>
      </c>
    </row>
    <row r="172" spans="1:16">
      <c r="A172" s="413" t="s">
        <v>188</v>
      </c>
      <c r="B172" s="407" t="s">
        <v>221</v>
      </c>
      <c r="C172" s="406"/>
      <c r="D172" s="401">
        <v>0</v>
      </c>
      <c r="E172" s="394"/>
      <c r="F172" s="448"/>
      <c r="G172" s="451">
        <v>1</v>
      </c>
      <c r="H172" s="394"/>
      <c r="I172" s="394">
        <f>+G172*D172</f>
        <v>0</v>
      </c>
      <c r="J172" s="386"/>
      <c r="K172" s="394"/>
      <c r="L172" s="386"/>
      <c r="N172" s="394"/>
      <c r="O172" s="389"/>
      <c r="P172" s="394"/>
    </row>
    <row r="173" spans="1:16">
      <c r="A173" s="387">
        <v>2</v>
      </c>
      <c r="B173" s="386" t="s">
        <v>73</v>
      </c>
      <c r="C173" s="382" t="s">
        <v>2</v>
      </c>
      <c r="D173" s="401">
        <v>22011523</v>
      </c>
      <c r="E173" s="394"/>
      <c r="F173" s="394" t="s">
        <v>70</v>
      </c>
      <c r="G173" s="451">
        <f>+G171</f>
        <v>0.99089271201118911</v>
      </c>
      <c r="H173" s="394"/>
      <c r="I173" s="394">
        <f t="shared" si="3"/>
        <v>21811057.720966667</v>
      </c>
      <c r="J173" s="386"/>
      <c r="K173" s="394"/>
      <c r="L173" s="386"/>
      <c r="N173" s="394"/>
      <c r="O173" s="389"/>
      <c r="P173" s="394"/>
    </row>
    <row r="174" spans="1:16">
      <c r="A174" s="387">
        <v>3</v>
      </c>
      <c r="B174" s="386" t="s">
        <v>74</v>
      </c>
      <c r="C174" s="382" t="s">
        <v>254</v>
      </c>
      <c r="D174" s="401">
        <v>8546500</v>
      </c>
      <c r="E174" s="394"/>
      <c r="F174" s="394" t="s">
        <v>56</v>
      </c>
      <c r="G174" s="451">
        <f>I273</f>
        <v>0.15192965428736016</v>
      </c>
      <c r="H174" s="394"/>
      <c r="I174" s="394">
        <f t="shared" si="3"/>
        <v>1298466.7903669237</v>
      </c>
      <c r="J174" s="394"/>
      <c r="K174" s="394" t="s">
        <v>2</v>
      </c>
      <c r="L174" s="386"/>
      <c r="N174" s="394"/>
      <c r="O174" s="389"/>
      <c r="P174" s="386"/>
    </row>
    <row r="175" spans="1:16">
      <c r="A175" s="387">
        <v>4</v>
      </c>
      <c r="B175" s="386" t="s">
        <v>75</v>
      </c>
      <c r="C175" s="394"/>
      <c r="D175" s="401">
        <v>0</v>
      </c>
      <c r="E175" s="394"/>
      <c r="F175" s="394" t="str">
        <f>+F174</f>
        <v>W/S</v>
      </c>
      <c r="G175" s="451">
        <f>I273</f>
        <v>0.15192965428736016</v>
      </c>
      <c r="H175" s="394"/>
      <c r="I175" s="394">
        <f t="shared" si="3"/>
        <v>0</v>
      </c>
      <c r="J175" s="394"/>
      <c r="K175" s="394"/>
      <c r="L175" s="386"/>
      <c r="N175" s="394"/>
      <c r="O175" s="389"/>
      <c r="P175" s="386"/>
    </row>
    <row r="176" spans="1:16">
      <c r="A176" s="387">
        <v>5</v>
      </c>
      <c r="B176" s="386" t="s">
        <v>222</v>
      </c>
      <c r="C176" s="394"/>
      <c r="D176" s="401">
        <v>219094</v>
      </c>
      <c r="E176" s="394"/>
      <c r="F176" s="394" t="str">
        <f>+F175</f>
        <v>W/S</v>
      </c>
      <c r="G176" s="451">
        <f>I273</f>
        <v>0.15192965428736016</v>
      </c>
      <c r="H176" s="394"/>
      <c r="I176" s="394">
        <f t="shared" si="3"/>
        <v>33286.875676434887</v>
      </c>
      <c r="J176" s="394"/>
      <c r="K176" s="394"/>
      <c r="L176" s="386"/>
      <c r="N176" s="394"/>
      <c r="O176" s="389"/>
      <c r="P176" s="386"/>
    </row>
    <row r="177" spans="1:16">
      <c r="A177" s="387" t="s">
        <v>165</v>
      </c>
      <c r="B177" s="386" t="s">
        <v>223</v>
      </c>
      <c r="C177" s="394"/>
      <c r="D177" s="401">
        <v>89394</v>
      </c>
      <c r="E177" s="394"/>
      <c r="F177" s="394" t="str">
        <f>+F171</f>
        <v>TE</v>
      </c>
      <c r="G177" s="451">
        <f>+G171</f>
        <v>0.99089271201118911</v>
      </c>
      <c r="H177" s="394"/>
      <c r="I177" s="394">
        <f t="shared" si="3"/>
        <v>88579.863097528243</v>
      </c>
      <c r="J177" s="394"/>
      <c r="K177" s="394"/>
      <c r="L177" s="386"/>
      <c r="N177" s="394"/>
      <c r="O177" s="389"/>
      <c r="P177" s="386"/>
    </row>
    <row r="178" spans="1:16">
      <c r="A178" s="387">
        <v>6</v>
      </c>
      <c r="B178" s="386" t="s">
        <v>57</v>
      </c>
      <c r="C178" s="394"/>
      <c r="D178" s="401">
        <v>0</v>
      </c>
      <c r="E178" s="394"/>
      <c r="F178" s="394" t="s">
        <v>58</v>
      </c>
      <c r="G178" s="451">
        <f>K277</f>
        <v>0.15192965428736016</v>
      </c>
      <c r="H178" s="394"/>
      <c r="I178" s="394">
        <f t="shared" si="3"/>
        <v>0</v>
      </c>
      <c r="J178" s="394"/>
      <c r="K178" s="394"/>
      <c r="L178" s="386"/>
      <c r="N178" s="394"/>
      <c r="O178" s="389"/>
      <c r="P178" s="386"/>
    </row>
    <row r="179" spans="1:16" ht="16.2" thickBot="1">
      <c r="A179" s="387">
        <v>7</v>
      </c>
      <c r="B179" s="386" t="s">
        <v>76</v>
      </c>
      <c r="C179" s="394"/>
      <c r="D179" s="433">
        <v>0</v>
      </c>
      <c r="E179" s="394"/>
      <c r="F179" s="394" t="s">
        <v>52</v>
      </c>
      <c r="G179" s="451">
        <v>1</v>
      </c>
      <c r="H179" s="394"/>
      <c r="I179" s="403">
        <f t="shared" si="3"/>
        <v>0</v>
      </c>
      <c r="J179" s="394"/>
      <c r="K179" s="394"/>
      <c r="L179" s="386"/>
      <c r="N179" s="394"/>
      <c r="O179" s="441"/>
      <c r="P179" s="386"/>
    </row>
    <row r="180" spans="1:16">
      <c r="A180" s="413">
        <v>8</v>
      </c>
      <c r="B180" s="407" t="s">
        <v>255</v>
      </c>
      <c r="C180" s="408"/>
      <c r="D180" s="408">
        <f>+D171-D173+D174-D175-D176+D177+D178+D179-D172</f>
        <v>11330919</v>
      </c>
      <c r="E180" s="408"/>
      <c r="F180" s="408"/>
      <c r="G180" s="408"/>
      <c r="H180" s="408"/>
      <c r="I180" s="408">
        <f>+I171-I173+I174-I175-I176+I177+I178+I179-I172</f>
        <v>4241339.05682135</v>
      </c>
      <c r="J180" s="408"/>
      <c r="K180" s="408"/>
      <c r="L180" s="408"/>
      <c r="M180" s="406"/>
      <c r="N180" s="468"/>
      <c r="O180" s="469"/>
      <c r="P180" s="386"/>
    </row>
    <row r="181" spans="1:16">
      <c r="A181" s="387"/>
      <c r="C181" s="394"/>
      <c r="E181" s="394"/>
      <c r="F181" s="394"/>
      <c r="G181" s="394"/>
      <c r="H181" s="394"/>
      <c r="J181" s="394"/>
      <c r="K181" s="394"/>
      <c r="L181" s="394"/>
      <c r="N181" s="394"/>
      <c r="O181" s="394"/>
      <c r="P181" s="386"/>
    </row>
    <row r="182" spans="1:16">
      <c r="A182" s="387"/>
      <c r="B182" s="386" t="s">
        <v>1179</v>
      </c>
      <c r="C182" s="394"/>
      <c r="D182" s="394"/>
      <c r="E182" s="394"/>
      <c r="F182" s="394"/>
      <c r="G182" s="394"/>
      <c r="H182" s="394"/>
      <c r="I182" s="394"/>
      <c r="J182" s="394"/>
      <c r="K182" s="394"/>
      <c r="L182" s="394"/>
      <c r="N182" s="394"/>
      <c r="O182" s="394"/>
      <c r="P182" s="386"/>
    </row>
    <row r="183" spans="1:16">
      <c r="A183" s="387">
        <v>9</v>
      </c>
      <c r="B183" s="386" t="str">
        <f>+B171</f>
        <v xml:space="preserve">  Transmission </v>
      </c>
      <c r="C183" s="382" t="s">
        <v>2</v>
      </c>
      <c r="D183" s="401">
        <v>873419</v>
      </c>
      <c r="E183" s="394"/>
      <c r="F183" s="394" t="s">
        <v>12</v>
      </c>
      <c r="G183" s="451">
        <f>+G130</f>
        <v>1</v>
      </c>
      <c r="H183" s="394"/>
      <c r="I183" s="394">
        <f>+G183*D183</f>
        <v>873419</v>
      </c>
      <c r="J183" s="394"/>
      <c r="K183" s="458"/>
      <c r="L183" s="386"/>
      <c r="N183" s="394"/>
      <c r="O183" s="389"/>
      <c r="P183" s="394" t="s">
        <v>2</v>
      </c>
    </row>
    <row r="184" spans="1:16">
      <c r="A184" s="387" t="s">
        <v>1180</v>
      </c>
      <c r="B184" s="386" t="s">
        <v>1181</v>
      </c>
      <c r="D184" s="401">
        <v>0</v>
      </c>
      <c r="E184" s="394"/>
      <c r="F184" s="394" t="s">
        <v>52</v>
      </c>
      <c r="G184" s="451">
        <v>1</v>
      </c>
      <c r="H184" s="394"/>
      <c r="I184" s="394">
        <f t="shared" ref="I184" si="4">+G184*D184</f>
        <v>0</v>
      </c>
      <c r="J184" s="394"/>
      <c r="K184" s="458"/>
      <c r="L184" s="386"/>
      <c r="N184" s="394"/>
      <c r="O184" s="389"/>
      <c r="P184" s="394"/>
    </row>
    <row r="185" spans="1:16">
      <c r="A185" s="387">
        <v>10</v>
      </c>
      <c r="B185" s="386" t="s">
        <v>55</v>
      </c>
      <c r="C185" s="382" t="s">
        <v>2</v>
      </c>
      <c r="D185" s="401">
        <v>613945</v>
      </c>
      <c r="E185" s="394"/>
      <c r="F185" s="394" t="s">
        <v>56</v>
      </c>
      <c r="G185" s="451">
        <f>+G174</f>
        <v>0.15192965428736016</v>
      </c>
      <c r="H185" s="394"/>
      <c r="I185" s="394">
        <f>+G185*D185</f>
        <v>93276.451601453329</v>
      </c>
      <c r="J185" s="394"/>
      <c r="K185" s="458"/>
      <c r="L185" s="386"/>
      <c r="N185" s="394"/>
      <c r="O185" s="389"/>
      <c r="P185" s="394" t="s">
        <v>2</v>
      </c>
    </row>
    <row r="186" spans="1:16" ht="16.2" thickBot="1">
      <c r="A186" s="387">
        <v>11</v>
      </c>
      <c r="B186" s="386" t="str">
        <f>+B178</f>
        <v xml:space="preserve">  Common</v>
      </c>
      <c r="C186" s="394"/>
      <c r="D186" s="433">
        <v>0</v>
      </c>
      <c r="E186" s="394"/>
      <c r="F186" s="394" t="s">
        <v>58</v>
      </c>
      <c r="G186" s="451">
        <f>+G178</f>
        <v>0.15192965428736016</v>
      </c>
      <c r="H186" s="394"/>
      <c r="I186" s="403">
        <f>+G186*D186</f>
        <v>0</v>
      </c>
      <c r="J186" s="394"/>
      <c r="K186" s="458"/>
      <c r="L186" s="386"/>
      <c r="N186" s="394"/>
      <c r="O186" s="389"/>
      <c r="P186" s="394" t="s">
        <v>2</v>
      </c>
    </row>
    <row r="187" spans="1:16">
      <c r="A187" s="387">
        <v>12</v>
      </c>
      <c r="B187" s="386" t="s">
        <v>224</v>
      </c>
      <c r="C187" s="394"/>
      <c r="D187" s="394">
        <f>SUM(D183:D186)</f>
        <v>1487364</v>
      </c>
      <c r="E187" s="394"/>
      <c r="F187" s="394"/>
      <c r="G187" s="394"/>
      <c r="H187" s="394"/>
      <c r="I187" s="394">
        <f>SUM(I183:I186)</f>
        <v>966695.45160145336</v>
      </c>
      <c r="J187" s="394"/>
      <c r="K187" s="394"/>
      <c r="L187" s="386"/>
      <c r="N187" s="459"/>
      <c r="O187" s="394"/>
      <c r="P187" s="386"/>
    </row>
    <row r="188" spans="1:16">
      <c r="A188" s="387"/>
      <c r="B188" s="386"/>
      <c r="C188" s="394"/>
      <c r="D188" s="394"/>
      <c r="E188" s="394"/>
      <c r="F188" s="394"/>
      <c r="G188" s="394"/>
      <c r="H188" s="394"/>
      <c r="I188" s="394"/>
      <c r="J188" s="394"/>
      <c r="K188" s="394"/>
      <c r="L188" s="386"/>
      <c r="N188" s="394"/>
      <c r="O188" s="394"/>
      <c r="P188" s="386"/>
    </row>
    <row r="189" spans="1:16">
      <c r="A189" s="387" t="s">
        <v>2</v>
      </c>
      <c r="B189" s="386" t="s">
        <v>1182</v>
      </c>
      <c r="D189" s="394"/>
      <c r="E189" s="394"/>
      <c r="F189" s="394"/>
      <c r="G189" s="394"/>
      <c r="H189" s="394"/>
      <c r="I189" s="394"/>
      <c r="J189" s="394"/>
      <c r="K189" s="394"/>
      <c r="L189" s="386"/>
      <c r="N189" s="394"/>
      <c r="O189" s="394"/>
      <c r="P189" s="386"/>
    </row>
    <row r="190" spans="1:16">
      <c r="A190" s="387"/>
      <c r="B190" s="386" t="s">
        <v>77</v>
      </c>
      <c r="E190" s="394"/>
      <c r="F190" s="394"/>
      <c r="H190" s="394"/>
      <c r="J190" s="394"/>
      <c r="K190" s="458"/>
      <c r="L190" s="386"/>
      <c r="N190" s="461"/>
      <c r="O190" s="389"/>
      <c r="P190" s="386"/>
    </row>
    <row r="191" spans="1:16">
      <c r="A191" s="387">
        <v>13</v>
      </c>
      <c r="B191" s="386" t="s">
        <v>78</v>
      </c>
      <c r="C191" s="394"/>
      <c r="D191" s="401">
        <v>0</v>
      </c>
      <c r="E191" s="394"/>
      <c r="F191" s="394" t="s">
        <v>56</v>
      </c>
      <c r="G191" s="400">
        <f>+G185</f>
        <v>0.15192965428736016</v>
      </c>
      <c r="H191" s="394"/>
      <c r="I191" s="394">
        <f>+G191*D191</f>
        <v>0</v>
      </c>
      <c r="J191" s="394"/>
      <c r="K191" s="458"/>
      <c r="L191" s="386"/>
      <c r="N191" s="461"/>
      <c r="O191" s="389"/>
      <c r="P191" s="386"/>
    </row>
    <row r="192" spans="1:16">
      <c r="A192" s="387">
        <v>14</v>
      </c>
      <c r="B192" s="386" t="s">
        <v>79</v>
      </c>
      <c r="C192" s="394"/>
      <c r="D192" s="401">
        <v>0</v>
      </c>
      <c r="E192" s="394"/>
      <c r="F192" s="394" t="str">
        <f>+F191</f>
        <v>W/S</v>
      </c>
      <c r="G192" s="400">
        <f>+G191</f>
        <v>0.15192965428736016</v>
      </c>
      <c r="H192" s="394"/>
      <c r="I192" s="394">
        <f>+G192*D192</f>
        <v>0</v>
      </c>
      <c r="J192" s="394"/>
      <c r="K192" s="458"/>
      <c r="L192" s="386"/>
      <c r="N192" s="461"/>
      <c r="O192" s="389"/>
      <c r="P192" s="386"/>
    </row>
    <row r="193" spans="1:16">
      <c r="A193" s="387">
        <v>15</v>
      </c>
      <c r="B193" s="386" t="s">
        <v>80</v>
      </c>
      <c r="C193" s="394"/>
      <c r="E193" s="394"/>
      <c r="F193" s="394"/>
      <c r="H193" s="394"/>
      <c r="J193" s="394"/>
      <c r="K193" s="458"/>
      <c r="L193" s="386"/>
      <c r="N193" s="461"/>
      <c r="O193" s="389"/>
      <c r="P193" s="386"/>
    </row>
    <row r="194" spans="1:16">
      <c r="A194" s="387">
        <v>16</v>
      </c>
      <c r="B194" s="386" t="s">
        <v>81</v>
      </c>
      <c r="C194" s="394"/>
      <c r="D194" s="401">
        <v>1663475</v>
      </c>
      <c r="E194" s="394"/>
      <c r="F194" s="394" t="s">
        <v>71</v>
      </c>
      <c r="G194" s="400">
        <f>+G99</f>
        <v>0.1865420714025654</v>
      </c>
      <c r="H194" s="394"/>
      <c r="I194" s="394">
        <f>+G194*D194</f>
        <v>310308.0722263825</v>
      </c>
      <c r="J194" s="394"/>
      <c r="K194" s="458"/>
      <c r="L194" s="386"/>
      <c r="N194" s="461"/>
      <c r="O194" s="389"/>
      <c r="P194" s="386"/>
    </row>
    <row r="195" spans="1:16">
      <c r="A195" s="387">
        <v>17</v>
      </c>
      <c r="B195" s="386" t="s">
        <v>82</v>
      </c>
      <c r="C195" s="394"/>
      <c r="D195" s="401">
        <v>0</v>
      </c>
      <c r="E195" s="394"/>
      <c r="F195" s="394" t="s">
        <v>52</v>
      </c>
      <c r="G195" s="470" t="s">
        <v>164</v>
      </c>
      <c r="H195" s="394"/>
      <c r="I195" s="394">
        <v>0</v>
      </c>
      <c r="J195" s="394"/>
      <c r="K195" s="458"/>
      <c r="L195" s="386"/>
      <c r="N195" s="461"/>
      <c r="O195" s="389"/>
      <c r="P195" s="386"/>
    </row>
    <row r="196" spans="1:16">
      <c r="A196" s="387">
        <v>18</v>
      </c>
      <c r="B196" s="386" t="s">
        <v>83</v>
      </c>
      <c r="C196" s="394"/>
      <c r="D196" s="401">
        <v>0</v>
      </c>
      <c r="E196" s="394"/>
      <c r="F196" s="394" t="str">
        <f>+F194</f>
        <v>GP</v>
      </c>
      <c r="G196" s="400">
        <f>+G194</f>
        <v>0.1865420714025654</v>
      </c>
      <c r="H196" s="394"/>
      <c r="I196" s="394">
        <f>+G196*D196</f>
        <v>0</v>
      </c>
      <c r="J196" s="394"/>
      <c r="K196" s="458"/>
      <c r="L196" s="386"/>
      <c r="N196" s="461"/>
      <c r="O196" s="389"/>
      <c r="P196" s="386"/>
    </row>
    <row r="197" spans="1:16" ht="16.2" thickBot="1">
      <c r="A197" s="387">
        <v>19</v>
      </c>
      <c r="B197" s="386" t="s">
        <v>84</v>
      </c>
      <c r="C197" s="394"/>
      <c r="D197" s="433">
        <v>0</v>
      </c>
      <c r="E197" s="394"/>
      <c r="F197" s="394" t="s">
        <v>71</v>
      </c>
      <c r="G197" s="400">
        <f>+G196</f>
        <v>0.1865420714025654</v>
      </c>
      <c r="H197" s="394"/>
      <c r="I197" s="403">
        <f>+G197*D197</f>
        <v>0</v>
      </c>
      <c r="J197" s="394"/>
      <c r="K197" s="458"/>
      <c r="L197" s="386"/>
      <c r="N197" s="461"/>
      <c r="O197" s="389"/>
      <c r="P197" s="386"/>
    </row>
    <row r="198" spans="1:16">
      <c r="A198" s="387">
        <v>20</v>
      </c>
      <c r="B198" s="386" t="s">
        <v>85</v>
      </c>
      <c r="C198" s="394"/>
      <c r="D198" s="394">
        <f>SUM(D191:D197)</f>
        <v>1663475</v>
      </c>
      <c r="E198" s="394"/>
      <c r="F198" s="394"/>
      <c r="G198" s="400"/>
      <c r="H198" s="394"/>
      <c r="I198" s="394">
        <f>SUM(I191:I197)</f>
        <v>310308.0722263825</v>
      </c>
      <c r="J198" s="394"/>
      <c r="K198" s="394"/>
      <c r="L198" s="394" t="s">
        <v>2</v>
      </c>
      <c r="N198" s="459"/>
      <c r="O198" s="394"/>
      <c r="P198" s="386"/>
    </row>
    <row r="199" spans="1:16">
      <c r="A199" s="387" t="s">
        <v>86</v>
      </c>
      <c r="B199" s="386"/>
      <c r="C199" s="394"/>
      <c r="D199" s="394"/>
      <c r="E199" s="394"/>
      <c r="F199" s="394"/>
      <c r="G199" s="400"/>
      <c r="H199" s="394"/>
      <c r="I199" s="394"/>
      <c r="J199" s="394"/>
      <c r="K199" s="394"/>
      <c r="L199" s="394"/>
      <c r="N199" s="394"/>
      <c r="O199" s="394"/>
      <c r="P199" s="386"/>
    </row>
    <row r="200" spans="1:16">
      <c r="A200" s="387" t="s">
        <v>2</v>
      </c>
      <c r="B200" s="386" t="s">
        <v>87</v>
      </c>
      <c r="C200" s="471" t="s">
        <v>201</v>
      </c>
      <c r="D200" s="394"/>
      <c r="E200" s="394"/>
      <c r="F200" s="394" t="s">
        <v>52</v>
      </c>
      <c r="G200" s="472"/>
      <c r="H200" s="394"/>
      <c r="I200" s="394"/>
      <c r="J200" s="394"/>
      <c r="L200" s="394"/>
      <c r="N200" s="394"/>
      <c r="O200" s="441"/>
      <c r="P200" s="394" t="s">
        <v>2</v>
      </c>
    </row>
    <row r="201" spans="1:16">
      <c r="A201" s="387">
        <v>21</v>
      </c>
      <c r="B201" s="473" t="s">
        <v>88</v>
      </c>
      <c r="C201" s="394"/>
      <c r="D201" s="474">
        <f>IF(D344&gt;0,1-(((1-D345)*(1-D344))/(1-D345*D344*D346)),0)</f>
        <v>0</v>
      </c>
      <c r="E201" s="394"/>
      <c r="G201" s="472"/>
      <c r="H201" s="394"/>
      <c r="J201" s="394"/>
      <c r="L201" s="394"/>
      <c r="N201" s="394"/>
      <c r="O201" s="441"/>
      <c r="P201" s="394"/>
    </row>
    <row r="202" spans="1:16" s="6" customFormat="1">
      <c r="A202" s="387">
        <v>22</v>
      </c>
      <c r="B202" s="382" t="s">
        <v>89</v>
      </c>
      <c r="C202" s="394"/>
      <c r="D202" s="474">
        <f>IF(I287&gt;0,(D201/(1-D201))*(1-I285/I287),0)</f>
        <v>0</v>
      </c>
      <c r="E202" s="394"/>
      <c r="F202" s="382"/>
      <c r="G202" s="472"/>
      <c r="H202" s="394"/>
      <c r="I202" s="382"/>
      <c r="J202" s="394"/>
      <c r="K202" s="382"/>
      <c r="L202" s="394"/>
      <c r="M202" s="382"/>
      <c r="N202" s="394"/>
      <c r="O202" s="389"/>
      <c r="P202" s="394"/>
    </row>
    <row r="203" spans="1:16" s="6" customFormat="1">
      <c r="A203" s="387"/>
      <c r="B203" s="386" t="s">
        <v>1183</v>
      </c>
      <c r="C203" s="394"/>
      <c r="D203" s="394"/>
      <c r="E203" s="394"/>
      <c r="F203" s="382"/>
      <c r="G203" s="472"/>
      <c r="H203" s="394"/>
      <c r="I203" s="382"/>
      <c r="J203" s="394"/>
      <c r="K203" s="382"/>
      <c r="L203" s="394"/>
      <c r="M203" s="382"/>
      <c r="N203" s="394"/>
      <c r="O203" s="389"/>
      <c r="P203" s="394"/>
    </row>
    <row r="204" spans="1:16" s="6" customFormat="1">
      <c r="A204" s="387"/>
      <c r="B204" s="386" t="s">
        <v>90</v>
      </c>
      <c r="C204" s="394"/>
      <c r="D204" s="394"/>
      <c r="E204" s="394"/>
      <c r="F204" s="382"/>
      <c r="G204" s="472"/>
      <c r="H204" s="394"/>
      <c r="I204" s="382"/>
      <c r="J204" s="394"/>
      <c r="K204" s="382"/>
      <c r="L204" s="394"/>
      <c r="M204" s="382"/>
      <c r="N204" s="394"/>
      <c r="O204" s="389"/>
      <c r="P204" s="394"/>
    </row>
    <row r="205" spans="1:16">
      <c r="A205" s="387">
        <v>23</v>
      </c>
      <c r="B205" s="473" t="s">
        <v>91</v>
      </c>
      <c r="C205" s="394"/>
      <c r="D205" s="475">
        <f>IF(D201&gt;0,1/(1-D201),0)</f>
        <v>0</v>
      </c>
      <c r="E205" s="394"/>
      <c r="G205" s="472"/>
      <c r="H205" s="394"/>
      <c r="J205" s="394"/>
      <c r="L205" s="386"/>
      <c r="N205" s="394"/>
      <c r="O205" s="389"/>
      <c r="P205" s="394"/>
    </row>
    <row r="206" spans="1:16">
      <c r="A206" s="387">
        <v>24</v>
      </c>
      <c r="B206" s="386" t="s">
        <v>92</v>
      </c>
      <c r="C206" s="394"/>
      <c r="D206" s="401">
        <v>0</v>
      </c>
      <c r="E206" s="394"/>
      <c r="G206" s="472"/>
      <c r="H206" s="394"/>
      <c r="J206" s="394"/>
      <c r="L206" s="386"/>
      <c r="N206" s="394"/>
      <c r="O206" s="389"/>
      <c r="P206" s="394"/>
    </row>
    <row r="207" spans="1:16">
      <c r="A207" s="387"/>
      <c r="B207" s="386"/>
      <c r="C207" s="394"/>
      <c r="D207" s="394"/>
      <c r="E207" s="394"/>
      <c r="G207" s="472"/>
      <c r="H207" s="394"/>
      <c r="J207" s="394"/>
      <c r="L207" s="386"/>
      <c r="N207" s="394"/>
      <c r="O207" s="389"/>
      <c r="P207" s="394"/>
    </row>
    <row r="208" spans="1:16">
      <c r="A208" s="387">
        <v>25</v>
      </c>
      <c r="B208" s="473" t="s">
        <v>93</v>
      </c>
      <c r="C208" s="471"/>
      <c r="D208" s="394">
        <f>D202*D212</f>
        <v>0</v>
      </c>
      <c r="E208" s="394"/>
      <c r="F208" s="394" t="s">
        <v>52</v>
      </c>
      <c r="G208" s="400"/>
      <c r="H208" s="394"/>
      <c r="I208" s="394">
        <f>D202*I212</f>
        <v>0</v>
      </c>
      <c r="J208" s="394"/>
      <c r="L208" s="386"/>
      <c r="N208" s="394"/>
      <c r="O208" s="389"/>
      <c r="P208" s="394"/>
    </row>
    <row r="209" spans="1:16" ht="16.2" thickBot="1">
      <c r="A209" s="387">
        <v>26</v>
      </c>
      <c r="B209" s="382" t="s">
        <v>94</v>
      </c>
      <c r="C209" s="471"/>
      <c r="D209" s="403">
        <f>D205*D206</f>
        <v>0</v>
      </c>
      <c r="E209" s="394"/>
      <c r="F209" s="382" t="s">
        <v>61</v>
      </c>
      <c r="G209" s="400">
        <f>G117</f>
        <v>0.227694669580251</v>
      </c>
      <c r="H209" s="394"/>
      <c r="I209" s="403">
        <f>G209*D209</f>
        <v>0</v>
      </c>
      <c r="J209" s="394"/>
      <c r="L209" s="394" t="s">
        <v>2</v>
      </c>
      <c r="N209" s="394"/>
      <c r="O209" s="389"/>
      <c r="P209" s="394"/>
    </row>
    <row r="210" spans="1:16">
      <c r="A210" s="387">
        <v>27</v>
      </c>
      <c r="B210" s="476" t="s">
        <v>95</v>
      </c>
      <c r="C210" s="382" t="s">
        <v>96</v>
      </c>
      <c r="D210" s="477">
        <f>+D208+D209</f>
        <v>0</v>
      </c>
      <c r="E210" s="394"/>
      <c r="F210" s="394" t="s">
        <v>2</v>
      </c>
      <c r="G210" s="400" t="s">
        <v>2</v>
      </c>
      <c r="H210" s="394"/>
      <c r="I210" s="477">
        <f>+I208+I209</f>
        <v>0</v>
      </c>
      <c r="J210" s="394"/>
      <c r="L210" s="394"/>
      <c r="N210" s="394"/>
      <c r="O210" s="389"/>
      <c r="P210" s="394"/>
    </row>
    <row r="211" spans="1:16">
      <c r="A211" s="387" t="s">
        <v>2</v>
      </c>
      <c r="C211" s="478"/>
      <c r="D211" s="394"/>
      <c r="E211" s="394"/>
      <c r="F211" s="394"/>
      <c r="G211" s="400"/>
      <c r="H211" s="394"/>
      <c r="I211" s="394"/>
      <c r="J211" s="394"/>
      <c r="K211" s="394"/>
      <c r="L211" s="394"/>
      <c r="N211" s="394"/>
      <c r="O211" s="394"/>
      <c r="P211" s="386"/>
    </row>
    <row r="212" spans="1:16" s="3" customFormat="1" ht="15.75" customHeight="1">
      <c r="A212" s="387">
        <v>28</v>
      </c>
      <c r="B212" s="386" t="s">
        <v>1184</v>
      </c>
      <c r="C212" s="458"/>
      <c r="D212" s="394">
        <f>+$I287*(D138+D140)</f>
        <v>12675746.676889179</v>
      </c>
      <c r="E212" s="394"/>
      <c r="F212" s="394" t="s">
        <v>52</v>
      </c>
      <c r="G212" s="472"/>
      <c r="H212" s="394"/>
      <c r="I212" s="394">
        <f>+$I287*(I138+I140)</f>
        <v>4002321.7363095344</v>
      </c>
      <c r="J212" s="394"/>
      <c r="K212" s="382"/>
      <c r="L212" s="386"/>
      <c r="M212" s="382"/>
      <c r="N212" s="394"/>
      <c r="O212" s="389"/>
      <c r="P212" s="394" t="s">
        <v>2</v>
      </c>
    </row>
    <row r="213" spans="1:16" s="3" customFormat="1">
      <c r="A213" s="387"/>
      <c r="B213" s="5" t="s">
        <v>1185</v>
      </c>
      <c r="C213" s="382"/>
      <c r="D213" s="394"/>
      <c r="E213" s="394"/>
      <c r="F213" s="394"/>
      <c r="G213" s="472"/>
      <c r="H213" s="394"/>
      <c r="I213" s="394"/>
      <c r="J213" s="394"/>
      <c r="K213" s="458"/>
      <c r="L213" s="386"/>
      <c r="M213" s="382"/>
      <c r="N213" s="394"/>
      <c r="O213" s="389"/>
      <c r="P213" s="394"/>
    </row>
    <row r="214" spans="1:16">
      <c r="A214" s="387"/>
      <c r="B214" s="476"/>
      <c r="D214" s="394"/>
      <c r="E214" s="394"/>
      <c r="F214" s="394"/>
      <c r="G214" s="472"/>
      <c r="H214" s="394"/>
      <c r="I214" s="394"/>
      <c r="J214" s="394"/>
      <c r="K214" s="458"/>
      <c r="L214" s="386"/>
      <c r="N214" s="394"/>
      <c r="O214" s="389"/>
      <c r="P214" s="394"/>
    </row>
    <row r="215" spans="1:16">
      <c r="A215" s="387" t="s">
        <v>1186</v>
      </c>
      <c r="B215" s="476" t="s">
        <v>1187</v>
      </c>
      <c r="D215" s="394">
        <f>D140*I298</f>
        <v>265997.84023222787</v>
      </c>
      <c r="E215" s="394"/>
      <c r="F215" s="394" t="s">
        <v>52</v>
      </c>
      <c r="G215" s="472"/>
      <c r="H215" s="394"/>
      <c r="I215" s="394">
        <f>I140*I298</f>
        <v>265997.84023222787</v>
      </c>
      <c r="J215" s="394"/>
      <c r="K215" s="458"/>
      <c r="L215" s="386"/>
      <c r="N215" s="394"/>
      <c r="O215" s="389"/>
      <c r="P215" s="394"/>
    </row>
    <row r="216" spans="1:16">
      <c r="A216" s="387"/>
      <c r="B216" s="5" t="s">
        <v>1188</v>
      </c>
      <c r="D216" s="394"/>
      <c r="E216" s="394"/>
      <c r="G216" s="472"/>
      <c r="H216" s="394"/>
      <c r="I216" s="394"/>
      <c r="J216" s="394"/>
      <c r="K216" s="458"/>
      <c r="L216" s="386"/>
      <c r="N216" s="394"/>
      <c r="O216" s="389"/>
      <c r="P216" s="394"/>
    </row>
    <row r="217" spans="1:16">
      <c r="A217" s="387"/>
      <c r="B217" s="386"/>
      <c r="D217" s="479"/>
      <c r="E217" s="394"/>
      <c r="F217" s="394"/>
      <c r="G217" s="472"/>
      <c r="H217" s="394"/>
      <c r="I217" s="479"/>
      <c r="J217" s="394"/>
      <c r="K217" s="458"/>
      <c r="L217" s="386"/>
      <c r="N217" s="394"/>
      <c r="O217" s="389"/>
      <c r="P217" s="394"/>
    </row>
    <row r="218" spans="1:16">
      <c r="A218" s="387">
        <v>29</v>
      </c>
      <c r="B218" s="386" t="s">
        <v>1189</v>
      </c>
      <c r="C218" s="394"/>
      <c r="D218" s="479">
        <f>+D212+D210+D198+D187+D180+D215</f>
        <v>27423502.517121408</v>
      </c>
      <c r="E218" s="394"/>
      <c r="F218" s="394"/>
      <c r="G218" s="394"/>
      <c r="H218" s="394"/>
      <c r="I218" s="479">
        <f>+I212+I210+I198+I187+I180+I215</f>
        <v>9786662.1571909469</v>
      </c>
      <c r="J218" s="386"/>
      <c r="K218" s="386"/>
      <c r="L218" s="386"/>
      <c r="N218" s="386"/>
      <c r="O218" s="441"/>
      <c r="P218" s="386"/>
    </row>
    <row r="219" spans="1:16">
      <c r="A219" s="387">
        <v>30</v>
      </c>
      <c r="B219" s="382" t="s">
        <v>261</v>
      </c>
      <c r="J219" s="394"/>
      <c r="K219" s="394"/>
      <c r="L219" s="386"/>
      <c r="M219" s="406"/>
      <c r="N219" s="394"/>
      <c r="O219" s="389"/>
      <c r="P219" s="394" t="s">
        <v>2</v>
      </c>
    </row>
    <row r="220" spans="1:16">
      <c r="A220" s="387"/>
      <c r="B220" s="382" t="s">
        <v>196</v>
      </c>
      <c r="J220" s="394"/>
      <c r="K220" s="394"/>
      <c r="L220" s="386"/>
      <c r="M220" s="406"/>
      <c r="N220" s="394"/>
      <c r="O220" s="389"/>
      <c r="P220" s="394"/>
    </row>
    <row r="221" spans="1:16">
      <c r="A221" s="387"/>
      <c r="B221" s="382" t="s">
        <v>197</v>
      </c>
      <c r="D221" s="480">
        <v>2981139</v>
      </c>
      <c r="E221" s="481"/>
      <c r="F221" s="481"/>
      <c r="G221" s="481"/>
      <c r="H221" s="481"/>
      <c r="I221" s="482">
        <f>D221</f>
        <v>2981139</v>
      </c>
      <c r="J221" s="394"/>
      <c r="K221" s="394"/>
      <c r="L221" s="386"/>
      <c r="M221" s="406"/>
      <c r="N221" s="394"/>
      <c r="O221" s="389"/>
      <c r="P221" s="394"/>
    </row>
    <row r="222" spans="1:16">
      <c r="A222" s="387" t="s">
        <v>1174</v>
      </c>
      <c r="B222" s="382" t="s">
        <v>1190</v>
      </c>
      <c r="D222" s="482"/>
      <c r="E222" s="481"/>
      <c r="F222" s="481"/>
      <c r="G222" s="481"/>
      <c r="H222" s="481"/>
      <c r="I222" s="482"/>
      <c r="J222" s="394"/>
      <c r="K222" s="394"/>
      <c r="L222" s="386"/>
      <c r="M222" s="406"/>
      <c r="N222" s="394"/>
      <c r="O222" s="389"/>
      <c r="P222" s="394"/>
    </row>
    <row r="223" spans="1:16">
      <c r="A223" s="387"/>
      <c r="B223" s="382" t="s">
        <v>1191</v>
      </c>
      <c r="D223" s="482"/>
      <c r="E223" s="481"/>
      <c r="F223" s="481"/>
      <c r="G223" s="481"/>
      <c r="H223" s="481"/>
      <c r="I223" s="482"/>
      <c r="J223" s="394"/>
      <c r="K223" s="394"/>
      <c r="L223" s="386"/>
      <c r="M223" s="406"/>
      <c r="N223" s="394"/>
      <c r="O223" s="389"/>
      <c r="P223" s="394"/>
    </row>
    <row r="224" spans="1:16">
      <c r="A224" s="387"/>
      <c r="B224" s="382" t="s">
        <v>1192</v>
      </c>
      <c r="D224" s="482"/>
      <c r="E224" s="481"/>
      <c r="F224" s="481"/>
      <c r="G224" s="481"/>
      <c r="H224" s="481"/>
      <c r="I224" s="482"/>
      <c r="J224" s="394"/>
      <c r="K224" s="394"/>
      <c r="L224" s="386"/>
      <c r="M224" s="406"/>
      <c r="N224" s="394"/>
      <c r="O224" s="389"/>
      <c r="P224" s="394"/>
    </row>
    <row r="225" spans="1:16">
      <c r="A225" s="387"/>
      <c r="B225" s="382" t="s">
        <v>1193</v>
      </c>
      <c r="D225" s="483">
        <v>478833</v>
      </c>
      <c r="E225" s="481"/>
      <c r="F225" s="481"/>
      <c r="G225" s="481"/>
      <c r="H225" s="481"/>
      <c r="I225" s="484">
        <f>D225</f>
        <v>478833</v>
      </c>
      <c r="J225" s="394"/>
      <c r="K225" s="394"/>
      <c r="L225" s="386"/>
      <c r="M225" s="406"/>
      <c r="N225" s="394"/>
      <c r="O225" s="389"/>
      <c r="P225" s="394"/>
    </row>
    <row r="226" spans="1:16" ht="16.2" thickBot="1">
      <c r="A226" s="413">
        <v>31</v>
      </c>
      <c r="B226" s="406" t="s">
        <v>195</v>
      </c>
      <c r="C226" s="406"/>
      <c r="D226" s="485">
        <f>+D218-D221-D225</f>
        <v>23963530.517121408</v>
      </c>
      <c r="E226" s="406"/>
      <c r="F226" s="406"/>
      <c r="G226" s="406"/>
      <c r="H226" s="406"/>
      <c r="I226" s="485">
        <f>+I218-I221-I225</f>
        <v>6326690.1571909469</v>
      </c>
      <c r="J226" s="408"/>
      <c r="K226" s="408"/>
      <c r="L226" s="407"/>
      <c r="M226" s="406"/>
      <c r="N226" s="408"/>
      <c r="O226" s="389"/>
      <c r="P226" s="394"/>
    </row>
    <row r="227" spans="1:16" ht="16.2" thickTop="1">
      <c r="A227" s="387"/>
      <c r="B227" s="382" t="s">
        <v>1194</v>
      </c>
      <c r="J227" s="394"/>
      <c r="K227" s="394"/>
      <c r="L227" s="386"/>
      <c r="M227" s="406"/>
      <c r="N227" s="394"/>
      <c r="O227" s="389"/>
      <c r="P227" s="394"/>
    </row>
    <row r="228" spans="1:16">
      <c r="A228" s="387"/>
      <c r="J228" s="394"/>
      <c r="K228" s="394"/>
      <c r="L228" s="386"/>
      <c r="M228" s="406"/>
      <c r="N228" s="394"/>
      <c r="O228" s="389"/>
      <c r="P228" s="394"/>
    </row>
    <row r="229" spans="1:16">
      <c r="A229" s="387"/>
      <c r="J229" s="394"/>
      <c r="K229" s="394"/>
      <c r="L229" s="386"/>
      <c r="N229" s="394"/>
      <c r="O229" s="389"/>
      <c r="P229" s="394"/>
    </row>
    <row r="230" spans="1:16">
      <c r="A230" s="387"/>
      <c r="J230" s="394"/>
      <c r="K230" s="394"/>
      <c r="L230" s="386"/>
      <c r="N230" s="394"/>
      <c r="O230" s="389"/>
      <c r="P230" s="394"/>
    </row>
    <row r="231" spans="1:16">
      <c r="A231" s="387"/>
      <c r="J231" s="394"/>
      <c r="K231" s="394"/>
      <c r="L231" s="386"/>
      <c r="N231" s="394"/>
      <c r="O231" s="389"/>
      <c r="P231" s="394"/>
    </row>
    <row r="232" spans="1:16">
      <c r="A232" s="387"/>
      <c r="J232" s="394"/>
      <c r="K232" s="394"/>
      <c r="L232" s="386"/>
      <c r="N232" s="394"/>
      <c r="O232" s="389"/>
      <c r="P232" s="394"/>
    </row>
    <row r="233" spans="1:16">
      <c r="A233" s="387"/>
      <c r="J233" s="394"/>
      <c r="K233" s="394"/>
      <c r="L233" s="386"/>
      <c r="N233" s="394"/>
      <c r="O233" s="389"/>
      <c r="P233" s="394"/>
    </row>
    <row r="234" spans="1:16">
      <c r="A234" s="387"/>
      <c r="J234" s="394"/>
      <c r="K234" s="394"/>
    </row>
    <row r="235" spans="1:16">
      <c r="A235" s="387"/>
      <c r="J235" s="394"/>
      <c r="K235" s="394"/>
      <c r="L235" s="386"/>
      <c r="N235" s="394"/>
      <c r="O235" s="389"/>
      <c r="P235" s="394"/>
    </row>
    <row r="236" spans="1:16">
      <c r="A236" s="383" t="s">
        <v>678</v>
      </c>
      <c r="B236" s="386"/>
      <c r="C236" s="394"/>
      <c r="D236" s="479"/>
      <c r="E236" s="394"/>
      <c r="F236" s="394"/>
      <c r="G236" s="458"/>
      <c r="H236" s="394"/>
      <c r="I236" s="479"/>
      <c r="J236" s="408"/>
      <c r="K236" s="477" t="s">
        <v>1195</v>
      </c>
    </row>
    <row r="237" spans="1:16">
      <c r="A237" s="386" t="s">
        <v>1196</v>
      </c>
      <c r="B237" s="386"/>
      <c r="C237" s="394"/>
      <c r="D237" s="479"/>
      <c r="E237" s="394"/>
      <c r="F237" s="394"/>
      <c r="G237" s="458"/>
      <c r="H237" s="394"/>
      <c r="I237" s="394"/>
      <c r="J237" s="486"/>
      <c r="K237" s="477"/>
    </row>
    <row r="238" spans="1:16">
      <c r="A238" s="603"/>
      <c r="B238" s="603"/>
      <c r="C238" s="603"/>
      <c r="D238" s="603"/>
      <c r="E238" s="603"/>
      <c r="F238" s="603"/>
      <c r="G238" s="603"/>
      <c r="H238" s="603"/>
      <c r="I238" s="603"/>
      <c r="J238" s="603"/>
      <c r="K238" s="603"/>
      <c r="L238" s="466"/>
      <c r="M238" s="466"/>
      <c r="N238" s="466"/>
      <c r="O238" s="466"/>
      <c r="P238" s="466"/>
    </row>
    <row r="239" spans="1:16">
      <c r="A239" s="603"/>
      <c r="B239" s="603"/>
      <c r="C239" s="603"/>
      <c r="D239" s="603"/>
      <c r="E239" s="603"/>
      <c r="F239" s="603"/>
      <c r="G239" s="603"/>
      <c r="H239" s="603"/>
      <c r="I239" s="603"/>
      <c r="J239" s="603"/>
      <c r="K239" s="603"/>
      <c r="L239" s="466"/>
      <c r="M239" s="466"/>
      <c r="N239" s="466"/>
      <c r="O239" s="466"/>
      <c r="P239" s="466"/>
    </row>
    <row r="240" spans="1:16">
      <c r="A240" s="382" t="s">
        <v>185</v>
      </c>
      <c r="B240" s="383"/>
      <c r="C240" s="383"/>
      <c r="D240" s="384"/>
      <c r="E240" s="383"/>
      <c r="F240" s="383"/>
      <c r="G240" s="383"/>
      <c r="H240" s="383"/>
      <c r="I240" s="385"/>
      <c r="J240" s="385"/>
      <c r="K240" s="385" t="s">
        <v>685</v>
      </c>
      <c r="L240" s="386"/>
      <c r="N240" s="386"/>
      <c r="O240" s="386"/>
      <c r="P240" s="386"/>
    </row>
    <row r="241" spans="1:17">
      <c r="A241" s="382" t="s">
        <v>245</v>
      </c>
      <c r="B241" s="383"/>
      <c r="C241" s="383"/>
      <c r="D241" s="384"/>
      <c r="E241" s="383"/>
      <c r="F241" s="383"/>
      <c r="G241" s="383"/>
      <c r="H241" s="383"/>
      <c r="I241" s="385"/>
      <c r="J241" s="385"/>
      <c r="K241" s="385" t="s">
        <v>686</v>
      </c>
      <c r="L241" s="386"/>
      <c r="N241" s="386"/>
      <c r="O241" s="386"/>
      <c r="P241" s="386"/>
    </row>
    <row r="242" spans="1:17">
      <c r="B242" s="383"/>
      <c r="C242" s="383"/>
      <c r="D242" s="384"/>
      <c r="E242" s="383"/>
      <c r="F242" s="383"/>
      <c r="G242" s="383"/>
      <c r="H242" s="383"/>
      <c r="I242" s="383"/>
      <c r="K242" s="388" t="s">
        <v>1127</v>
      </c>
      <c r="L242" s="386"/>
      <c r="N242" s="386"/>
      <c r="O242" s="386"/>
      <c r="P242" s="386"/>
    </row>
    <row r="243" spans="1:17">
      <c r="B243" s="383"/>
      <c r="C243" s="383"/>
      <c r="D243" s="384"/>
      <c r="E243" s="383"/>
      <c r="F243" s="383"/>
      <c r="G243" s="383"/>
      <c r="H243" s="383"/>
      <c r="I243" s="383"/>
      <c r="J243" s="386"/>
      <c r="K243" s="388" t="s">
        <v>175</v>
      </c>
      <c r="L243" s="386"/>
      <c r="N243" s="386"/>
      <c r="O243" s="386"/>
      <c r="P243" s="386"/>
    </row>
    <row r="244" spans="1:17">
      <c r="A244" s="387"/>
      <c r="J244" s="394"/>
      <c r="K244" s="394"/>
      <c r="L244" s="386"/>
      <c r="N244" s="394"/>
      <c r="O244" s="389"/>
      <c r="P244" s="394"/>
      <c r="Q244" s="7"/>
    </row>
    <row r="245" spans="1:17">
      <c r="A245" s="387"/>
      <c r="B245" s="386" t="str">
        <f>B7</f>
        <v xml:space="preserve">Formula Rate - Non-Levelized </v>
      </c>
      <c r="D245" s="382" t="str">
        <f>D7</f>
        <v xml:space="preserve">   Rate Formula Template</v>
      </c>
      <c r="J245" s="394"/>
      <c r="K245" s="487" t="str">
        <f>K7</f>
        <v>For the 12 months ended 12/31/2012</v>
      </c>
      <c r="L245" s="386"/>
      <c r="N245" s="394"/>
      <c r="O245" s="394"/>
      <c r="P245" s="386"/>
    </row>
    <row r="246" spans="1:17">
      <c r="A246" s="387"/>
      <c r="B246" s="386"/>
      <c r="D246" s="382" t="str">
        <f>D8</f>
        <v>Utilizing EIA Form 412 Data</v>
      </c>
      <c r="J246" s="394"/>
      <c r="K246" s="394"/>
      <c r="L246" s="386"/>
      <c r="N246" s="394"/>
      <c r="O246" s="394"/>
      <c r="P246" s="386"/>
    </row>
    <row r="247" spans="1:17">
      <c r="A247" s="387"/>
      <c r="J247" s="394"/>
      <c r="K247" s="394"/>
      <c r="L247" s="386"/>
      <c r="N247" s="394"/>
      <c r="O247" s="394"/>
      <c r="P247" s="386"/>
    </row>
    <row r="248" spans="1:17">
      <c r="A248" s="387"/>
      <c r="D248" s="382" t="str">
        <f>D10</f>
        <v>MRES</v>
      </c>
      <c r="J248" s="394"/>
      <c r="K248" s="394"/>
      <c r="L248" s="386"/>
      <c r="N248" s="394"/>
      <c r="O248" s="394"/>
      <c r="P248" s="386"/>
    </row>
    <row r="249" spans="1:17">
      <c r="A249" s="387" t="s">
        <v>4</v>
      </c>
      <c r="C249" s="386"/>
      <c r="D249" s="386"/>
      <c r="E249" s="386"/>
      <c r="F249" s="386"/>
      <c r="G249" s="386"/>
      <c r="H249" s="386"/>
      <c r="I249" s="386"/>
      <c r="J249" s="386"/>
      <c r="K249" s="386"/>
      <c r="L249" s="446"/>
      <c r="N249" s="386"/>
      <c r="O249" s="386"/>
      <c r="P249" s="386"/>
    </row>
    <row r="250" spans="1:17" ht="16.2" thickBot="1">
      <c r="A250" s="397" t="s">
        <v>6</v>
      </c>
      <c r="C250" s="446" t="s">
        <v>97</v>
      </c>
      <c r="E250" s="386"/>
      <c r="F250" s="386"/>
      <c r="G250" s="386"/>
      <c r="H250" s="386"/>
      <c r="I250" s="386"/>
      <c r="J250" s="394"/>
      <c r="K250" s="394"/>
      <c r="L250" s="446"/>
      <c r="N250" s="386"/>
      <c r="O250" s="394"/>
      <c r="P250" s="386"/>
    </row>
    <row r="251" spans="1:17">
      <c r="A251" s="387"/>
      <c r="B251" s="383" t="s">
        <v>100</v>
      </c>
      <c r="C251" s="386"/>
      <c r="D251" s="386"/>
      <c r="E251" s="386"/>
      <c r="F251" s="386"/>
      <c r="G251" s="386"/>
      <c r="H251" s="386"/>
      <c r="I251" s="386"/>
      <c r="J251" s="394"/>
      <c r="K251" s="394"/>
      <c r="L251" s="386"/>
      <c r="N251" s="386"/>
      <c r="O251" s="394"/>
      <c r="P251" s="386"/>
    </row>
    <row r="252" spans="1:17">
      <c r="A252" s="387">
        <v>1</v>
      </c>
      <c r="B252" s="383" t="s">
        <v>1197</v>
      </c>
      <c r="C252" s="386"/>
      <c r="D252" s="394"/>
      <c r="E252" s="394"/>
      <c r="F252" s="394"/>
      <c r="G252" s="394"/>
      <c r="H252" s="394"/>
      <c r="I252" s="394">
        <f>D94</f>
        <v>59576642</v>
      </c>
      <c r="J252" s="394"/>
      <c r="K252" s="394"/>
      <c r="L252" s="386"/>
      <c r="N252" s="386"/>
      <c r="O252" s="394"/>
      <c r="P252" s="386"/>
    </row>
    <row r="253" spans="1:17">
      <c r="A253" s="387">
        <v>2</v>
      </c>
      <c r="B253" s="383" t="s">
        <v>225</v>
      </c>
      <c r="I253" s="401">
        <v>0</v>
      </c>
      <c r="J253" s="394"/>
      <c r="K253" s="394"/>
      <c r="L253" s="386"/>
      <c r="N253" s="386"/>
      <c r="O253" s="394"/>
      <c r="P253" s="386"/>
    </row>
    <row r="254" spans="1:17" ht="16.2" thickBot="1">
      <c r="A254" s="387">
        <v>3</v>
      </c>
      <c r="B254" s="488" t="s">
        <v>226</v>
      </c>
      <c r="C254" s="489"/>
      <c r="D254" s="479"/>
      <c r="E254" s="394"/>
      <c r="F254" s="394"/>
      <c r="G254" s="461"/>
      <c r="H254" s="394"/>
      <c r="I254" s="433">
        <v>0</v>
      </c>
      <c r="J254" s="394"/>
      <c r="K254" s="394"/>
      <c r="L254" s="386"/>
      <c r="N254" s="386"/>
      <c r="O254" s="394"/>
      <c r="P254" s="386"/>
    </row>
    <row r="255" spans="1:17">
      <c r="A255" s="387">
        <v>4</v>
      </c>
      <c r="B255" s="383" t="s">
        <v>166</v>
      </c>
      <c r="C255" s="386"/>
      <c r="D255" s="394"/>
      <c r="E255" s="394"/>
      <c r="F255" s="394"/>
      <c r="G255" s="461"/>
      <c r="H255" s="394"/>
      <c r="I255" s="394">
        <f>I252-I253-I254</f>
        <v>59576642</v>
      </c>
      <c r="J255" s="394"/>
      <c r="K255" s="394"/>
      <c r="L255" s="386"/>
      <c r="N255" s="386"/>
      <c r="O255" s="394"/>
      <c r="P255" s="386"/>
    </row>
    <row r="256" spans="1:17">
      <c r="A256" s="387"/>
      <c r="C256" s="386"/>
      <c r="D256" s="394"/>
      <c r="E256" s="394"/>
      <c r="F256" s="394"/>
      <c r="G256" s="461"/>
      <c r="H256" s="394"/>
      <c r="J256" s="394"/>
      <c r="K256" s="394"/>
    </row>
    <row r="257" spans="1:17">
      <c r="A257" s="387">
        <v>5</v>
      </c>
      <c r="B257" s="383" t="s">
        <v>227</v>
      </c>
      <c r="C257" s="396"/>
      <c r="D257" s="396"/>
      <c r="E257" s="396"/>
      <c r="F257" s="396"/>
      <c r="G257" s="443"/>
      <c r="H257" s="394" t="s">
        <v>101</v>
      </c>
      <c r="I257" s="460">
        <f>IF(I252&gt;0,I255/I252,0)</f>
        <v>1</v>
      </c>
      <c r="J257" s="394"/>
      <c r="K257" s="394"/>
      <c r="L257" s="605" t="s">
        <v>1094</v>
      </c>
      <c r="M257" s="606"/>
      <c r="N257" s="606"/>
      <c r="O257" s="606"/>
      <c r="P257" s="606"/>
      <c r="Q257" s="607"/>
    </row>
    <row r="258" spans="1:17">
      <c r="J258" s="394"/>
      <c r="K258" s="394"/>
      <c r="L258" s="574"/>
      <c r="M258" s="575" t="s">
        <v>260</v>
      </c>
      <c r="N258" s="430"/>
      <c r="O258" s="430"/>
      <c r="P258" s="430"/>
      <c r="Q258" s="8"/>
    </row>
    <row r="259" spans="1:17">
      <c r="B259" s="386" t="s">
        <v>98</v>
      </c>
      <c r="J259" s="394"/>
      <c r="K259" s="394"/>
      <c r="L259" s="574"/>
      <c r="M259" s="430"/>
      <c r="N259" s="430"/>
      <c r="O259" s="430"/>
      <c r="P259" s="430"/>
      <c r="Q259" s="8"/>
    </row>
    <row r="260" spans="1:17">
      <c r="A260" s="387">
        <v>6</v>
      </c>
      <c r="B260" s="382" t="s">
        <v>228</v>
      </c>
      <c r="D260" s="386"/>
      <c r="E260" s="386"/>
      <c r="F260" s="386"/>
      <c r="G260" s="389"/>
      <c r="H260" s="386"/>
      <c r="I260" s="394">
        <f>D171</f>
        <v>24925642</v>
      </c>
      <c r="J260" s="394"/>
      <c r="K260" s="394"/>
      <c r="L260" s="576"/>
      <c r="M260" s="7"/>
      <c r="N260" s="577"/>
      <c r="O260" s="577"/>
      <c r="P260" s="578"/>
      <c r="Q260" s="8"/>
    </row>
    <row r="261" spans="1:17" ht="16.2" thickBot="1">
      <c r="A261" s="387">
        <v>7</v>
      </c>
      <c r="B261" s="488" t="s">
        <v>229</v>
      </c>
      <c r="C261" s="489"/>
      <c r="D261" s="431"/>
      <c r="E261" s="431"/>
      <c r="F261" s="408"/>
      <c r="G261" s="408"/>
      <c r="H261" s="394"/>
      <c r="I261" s="433">
        <v>227005</v>
      </c>
      <c r="J261" s="394"/>
      <c r="K261" s="394"/>
      <c r="L261" s="490">
        <v>0</v>
      </c>
      <c r="M261" s="479" t="s">
        <v>1198</v>
      </c>
      <c r="N261" s="491"/>
      <c r="O261" s="479"/>
      <c r="P261" s="491"/>
      <c r="Q261" s="11"/>
    </row>
    <row r="262" spans="1:17">
      <c r="A262" s="387">
        <v>8</v>
      </c>
      <c r="B262" s="383" t="s">
        <v>256</v>
      </c>
      <c r="C262" s="396"/>
      <c r="D262" s="396"/>
      <c r="E262" s="396"/>
      <c r="F262" s="396"/>
      <c r="G262" s="443"/>
      <c r="H262" s="396"/>
      <c r="I262" s="394">
        <f>+I260-I261</f>
        <v>24698637</v>
      </c>
      <c r="J262" s="394"/>
      <c r="K262" s="394"/>
      <c r="L262" s="492">
        <v>0</v>
      </c>
      <c r="M262" s="430" t="s">
        <v>187</v>
      </c>
      <c r="N262" s="430"/>
      <c r="O262" s="430"/>
      <c r="P262" s="430"/>
      <c r="Q262" s="8"/>
    </row>
    <row r="263" spans="1:17">
      <c r="A263" s="387"/>
      <c r="B263" s="383"/>
      <c r="C263" s="386"/>
      <c r="D263" s="394"/>
      <c r="E263" s="394"/>
      <c r="F263" s="394"/>
      <c r="G263" s="394"/>
      <c r="J263" s="394"/>
      <c r="K263" s="394"/>
      <c r="L263" s="490">
        <f>L261-L262</f>
        <v>0</v>
      </c>
      <c r="M263" s="430" t="s">
        <v>1199</v>
      </c>
      <c r="N263" s="430"/>
      <c r="O263" s="430"/>
      <c r="P263" s="430"/>
      <c r="Q263" s="8"/>
    </row>
    <row r="264" spans="1:17">
      <c r="A264" s="387">
        <v>9</v>
      </c>
      <c r="B264" s="383" t="s">
        <v>230</v>
      </c>
      <c r="C264" s="386"/>
      <c r="D264" s="394"/>
      <c r="E264" s="394"/>
      <c r="F264" s="394"/>
      <c r="G264" s="394"/>
      <c r="H264" s="394"/>
      <c r="I264" s="451">
        <f>IF(I260&gt;0,I262/I260,0)</f>
        <v>0.99089271201118911</v>
      </c>
      <c r="J264" s="394"/>
      <c r="K264" s="394"/>
      <c r="L264" s="493"/>
      <c r="M264" s="494" t="s">
        <v>180</v>
      </c>
      <c r="N264" s="495"/>
      <c r="O264" s="495"/>
      <c r="P264" s="495"/>
      <c r="Q264" s="8"/>
    </row>
    <row r="265" spans="1:17">
      <c r="A265" s="387">
        <v>10</v>
      </c>
      <c r="B265" s="383" t="s">
        <v>231</v>
      </c>
      <c r="C265" s="386"/>
      <c r="D265" s="394"/>
      <c r="E265" s="394"/>
      <c r="F265" s="394"/>
      <c r="G265" s="394"/>
      <c r="H265" s="386" t="s">
        <v>12</v>
      </c>
      <c r="I265" s="451">
        <f>I257</f>
        <v>1</v>
      </c>
      <c r="J265" s="394"/>
      <c r="K265" s="394"/>
      <c r="L265" s="496">
        <v>0</v>
      </c>
      <c r="M265" s="430" t="s">
        <v>181</v>
      </c>
      <c r="N265" s="479"/>
      <c r="O265" s="491"/>
      <c r="P265" s="430"/>
      <c r="Q265" s="8"/>
    </row>
    <row r="266" spans="1:17">
      <c r="A266" s="387">
        <v>11</v>
      </c>
      <c r="B266" s="383" t="s">
        <v>232</v>
      </c>
      <c r="C266" s="386"/>
      <c r="D266" s="386"/>
      <c r="E266" s="386"/>
      <c r="F266" s="386"/>
      <c r="G266" s="386"/>
      <c r="H266" s="386" t="s">
        <v>99</v>
      </c>
      <c r="I266" s="400">
        <f>+I265*I264</f>
        <v>0.99089271201118911</v>
      </c>
      <c r="J266" s="394"/>
      <c r="K266" s="394"/>
      <c r="L266" s="496">
        <v>0</v>
      </c>
      <c r="M266" s="430" t="s">
        <v>182</v>
      </c>
      <c r="N266" s="479"/>
      <c r="O266" s="491"/>
      <c r="P266" s="430"/>
      <c r="Q266" s="9"/>
    </row>
    <row r="267" spans="1:17">
      <c r="A267" s="387"/>
      <c r="C267" s="386"/>
      <c r="D267" s="394"/>
      <c r="E267" s="394"/>
      <c r="F267" s="394"/>
      <c r="G267" s="461"/>
      <c r="H267" s="394"/>
      <c r="L267" s="492">
        <v>0</v>
      </c>
      <c r="M267" s="430" t="s">
        <v>183</v>
      </c>
      <c r="N267" s="479"/>
      <c r="O267" s="491"/>
      <c r="P267" s="430"/>
      <c r="Q267" s="8"/>
    </row>
    <row r="268" spans="1:17" ht="16.2" thickBot="1">
      <c r="A268" s="387" t="s">
        <v>2</v>
      </c>
      <c r="B268" s="386" t="s">
        <v>102</v>
      </c>
      <c r="C268" s="394"/>
      <c r="D268" s="497" t="s">
        <v>103</v>
      </c>
      <c r="E268" s="497" t="s">
        <v>12</v>
      </c>
      <c r="F268" s="394"/>
      <c r="G268" s="497" t="s">
        <v>104</v>
      </c>
      <c r="H268" s="394"/>
      <c r="I268" s="394"/>
      <c r="L268" s="498">
        <f>SUM(L265:L267)</f>
        <v>0</v>
      </c>
      <c r="M268" s="430" t="s">
        <v>184</v>
      </c>
      <c r="N268" s="430"/>
      <c r="O268" s="430"/>
      <c r="P268" s="430"/>
      <c r="Q268" s="8"/>
    </row>
    <row r="269" spans="1:17">
      <c r="A269" s="387">
        <v>12</v>
      </c>
      <c r="B269" s="386" t="s">
        <v>51</v>
      </c>
      <c r="C269" s="394"/>
      <c r="D269" s="401">
        <v>2313512.4900000002</v>
      </c>
      <c r="E269" s="499">
        <v>0</v>
      </c>
      <c r="F269" s="499"/>
      <c r="G269" s="394">
        <f>D269*E269</f>
        <v>0</v>
      </c>
      <c r="H269" s="394"/>
      <c r="I269" s="394"/>
      <c r="J269" s="394"/>
      <c r="K269" s="394"/>
      <c r="L269" s="500">
        <f>L263-L268</f>
        <v>0</v>
      </c>
      <c r="M269" s="501" t="s">
        <v>1200</v>
      </c>
      <c r="N269" s="501"/>
      <c r="O269" s="501"/>
      <c r="P269" s="501"/>
    </row>
    <row r="270" spans="1:17">
      <c r="A270" s="387">
        <v>13</v>
      </c>
      <c r="B270" s="386" t="s">
        <v>53</v>
      </c>
      <c r="C270" s="394"/>
      <c r="D270" s="401">
        <v>442159.82</v>
      </c>
      <c r="E270" s="499">
        <f>+I257</f>
        <v>1</v>
      </c>
      <c r="F270" s="499"/>
      <c r="G270" s="394">
        <f>D270*E270</f>
        <v>442159.82</v>
      </c>
      <c r="H270" s="394"/>
      <c r="I270" s="394"/>
      <c r="J270" s="394"/>
      <c r="K270" s="394"/>
      <c r="L270" s="502"/>
      <c r="M270" s="430"/>
      <c r="N270" s="479"/>
      <c r="O270" s="491"/>
      <c r="P270" s="430"/>
    </row>
    <row r="271" spans="1:17">
      <c r="A271" s="387">
        <v>14</v>
      </c>
      <c r="B271" s="386" t="s">
        <v>54</v>
      </c>
      <c r="C271" s="394"/>
      <c r="D271" s="401">
        <v>0</v>
      </c>
      <c r="E271" s="499">
        <v>0</v>
      </c>
      <c r="F271" s="499"/>
      <c r="G271" s="394">
        <f>D271*E271</f>
        <v>0</v>
      </c>
      <c r="H271" s="394"/>
      <c r="I271" s="503" t="s">
        <v>105</v>
      </c>
      <c r="J271" s="394"/>
      <c r="K271" s="394"/>
      <c r="L271" s="386"/>
      <c r="N271" s="394"/>
      <c r="O271" s="394"/>
      <c r="P271" s="386"/>
    </row>
    <row r="272" spans="1:17" ht="16.2" thickBot="1">
      <c r="A272" s="387">
        <v>15</v>
      </c>
      <c r="B272" s="386" t="s">
        <v>106</v>
      </c>
      <c r="C272" s="394"/>
      <c r="D272" s="433">
        <v>154620.75999999998</v>
      </c>
      <c r="E272" s="499">
        <v>0</v>
      </c>
      <c r="F272" s="499"/>
      <c r="G272" s="403">
        <f>D272*E272</f>
        <v>0</v>
      </c>
      <c r="H272" s="394"/>
      <c r="I272" s="397" t="s">
        <v>107</v>
      </c>
      <c r="J272" s="394"/>
      <c r="K272" s="394"/>
      <c r="L272" s="386"/>
      <c r="N272" s="394"/>
      <c r="O272" s="394"/>
      <c r="P272" s="386"/>
    </row>
    <row r="273" spans="1:17">
      <c r="A273" s="387">
        <v>16</v>
      </c>
      <c r="B273" s="386" t="s">
        <v>234</v>
      </c>
      <c r="C273" s="394"/>
      <c r="D273" s="394">
        <f>SUM(D269:D272)</f>
        <v>2910293.07</v>
      </c>
      <c r="E273" s="394"/>
      <c r="F273" s="394"/>
      <c r="G273" s="394">
        <f>SUM(G269:G272)</f>
        <v>442159.82</v>
      </c>
      <c r="H273" s="389" t="s">
        <v>108</v>
      </c>
      <c r="I273" s="451">
        <f>IF(G273&gt;0,G270/D273,0)</f>
        <v>0.15192965428736016</v>
      </c>
      <c r="J273" s="394" t="s">
        <v>108</v>
      </c>
      <c r="K273" s="394" t="s">
        <v>56</v>
      </c>
      <c r="L273" s="386"/>
      <c r="N273" s="394"/>
      <c r="O273" s="394"/>
      <c r="P273" s="386"/>
    </row>
    <row r="274" spans="1:17">
      <c r="A274" s="387" t="s">
        <v>2</v>
      </c>
      <c r="B274" s="386" t="s">
        <v>2</v>
      </c>
      <c r="C274" s="394" t="s">
        <v>2</v>
      </c>
      <c r="E274" s="394"/>
      <c r="F274" s="394"/>
      <c r="L274" s="386"/>
      <c r="N274" s="394"/>
      <c r="O274" s="394"/>
      <c r="P274" s="386"/>
    </row>
    <row r="275" spans="1:17">
      <c r="A275" s="387"/>
      <c r="B275" s="386" t="s">
        <v>233</v>
      </c>
      <c r="C275" s="394"/>
      <c r="D275" s="444" t="s">
        <v>103</v>
      </c>
      <c r="E275" s="394"/>
      <c r="F275" s="394"/>
      <c r="G275" s="461" t="s">
        <v>109</v>
      </c>
      <c r="H275" s="472" t="s">
        <v>2</v>
      </c>
      <c r="I275" s="458" t="s">
        <v>110</v>
      </c>
      <c r="J275" s="394"/>
      <c r="K275" s="394"/>
      <c r="L275" s="386"/>
      <c r="N275" s="394"/>
      <c r="O275" s="394"/>
      <c r="P275" s="386"/>
    </row>
    <row r="276" spans="1:17">
      <c r="A276" s="387">
        <v>17</v>
      </c>
      <c r="B276" s="386" t="s">
        <v>111</v>
      </c>
      <c r="C276" s="394"/>
      <c r="D276" s="401">
        <v>368459352</v>
      </c>
      <c r="E276" s="394"/>
      <c r="G276" s="387" t="s">
        <v>112</v>
      </c>
      <c r="H276" s="504"/>
      <c r="I276" s="387" t="s">
        <v>113</v>
      </c>
      <c r="J276" s="394"/>
      <c r="K276" s="389" t="s">
        <v>58</v>
      </c>
      <c r="L276" s="386"/>
      <c r="N276" s="394"/>
      <c r="O276" s="394"/>
      <c r="P276" s="386"/>
    </row>
    <row r="277" spans="1:17">
      <c r="A277" s="387">
        <v>18</v>
      </c>
      <c r="B277" s="386" t="s">
        <v>114</v>
      </c>
      <c r="C277" s="394"/>
      <c r="D277" s="401">
        <v>0</v>
      </c>
      <c r="E277" s="394"/>
      <c r="G277" s="400">
        <f>IF(D279&gt;0,D276/D279,0)</f>
        <v>1</v>
      </c>
      <c r="H277" s="461" t="s">
        <v>115</v>
      </c>
      <c r="I277" s="400">
        <f>I273</f>
        <v>0.15192965428736016</v>
      </c>
      <c r="J277" s="472" t="s">
        <v>108</v>
      </c>
      <c r="K277" s="400">
        <f>I277*G277</f>
        <v>0.15192965428736016</v>
      </c>
      <c r="L277" s="386"/>
      <c r="N277" s="394"/>
      <c r="O277" s="394"/>
      <c r="P277" s="386"/>
    </row>
    <row r="278" spans="1:17" s="6" customFormat="1" ht="16.2" thickBot="1">
      <c r="A278" s="387">
        <v>19</v>
      </c>
      <c r="B278" s="489" t="s">
        <v>116</v>
      </c>
      <c r="C278" s="403"/>
      <c r="D278" s="433">
        <v>0</v>
      </c>
      <c r="E278" s="394"/>
      <c r="F278" s="394"/>
      <c r="G278" s="394" t="s">
        <v>2</v>
      </c>
      <c r="H278" s="394"/>
      <c r="I278" s="394"/>
      <c r="J278" s="382"/>
      <c r="K278" s="382"/>
      <c r="L278" s="386"/>
      <c r="M278" s="382"/>
      <c r="N278" s="394"/>
      <c r="O278" s="394"/>
      <c r="P278" s="386"/>
      <c r="Q278" s="2"/>
    </row>
    <row r="279" spans="1:17">
      <c r="A279" s="387">
        <v>20</v>
      </c>
      <c r="B279" s="386" t="s">
        <v>158</v>
      </c>
      <c r="C279" s="394"/>
      <c r="D279" s="394">
        <f>D276+D277+D278</f>
        <v>368459352</v>
      </c>
      <c r="E279" s="394"/>
      <c r="F279" s="394"/>
      <c r="G279" s="394"/>
      <c r="H279" s="394"/>
      <c r="I279" s="394"/>
      <c r="J279" s="394"/>
      <c r="K279" s="394"/>
      <c r="L279" s="386"/>
      <c r="N279" s="394"/>
      <c r="O279" s="394"/>
      <c r="P279" s="386"/>
      <c r="Q279" s="6"/>
    </row>
    <row r="280" spans="1:17">
      <c r="A280" s="387"/>
      <c r="B280" s="386" t="s">
        <v>2</v>
      </c>
      <c r="C280" s="394"/>
      <c r="E280" s="394"/>
      <c r="F280" s="394"/>
      <c r="G280" s="394"/>
      <c r="H280" s="394"/>
      <c r="I280" s="394" t="s">
        <v>2</v>
      </c>
      <c r="J280" s="394"/>
      <c r="K280" s="394"/>
      <c r="L280" s="386"/>
      <c r="N280" s="394"/>
      <c r="O280" s="394"/>
      <c r="P280" s="386"/>
    </row>
    <row r="281" spans="1:17" ht="16.2" thickBot="1">
      <c r="A281" s="387"/>
      <c r="B281" s="383" t="s">
        <v>1201</v>
      </c>
      <c r="C281" s="394"/>
      <c r="D281" s="497" t="s">
        <v>103</v>
      </c>
      <c r="E281" s="394"/>
      <c r="F281" s="394"/>
      <c r="G281" s="394"/>
      <c r="H281" s="394"/>
      <c r="J281" s="394" t="s">
        <v>2</v>
      </c>
      <c r="K281" s="394"/>
      <c r="L281" s="386"/>
      <c r="N281" s="394"/>
      <c r="O281" s="394"/>
      <c r="P281" s="386"/>
    </row>
    <row r="282" spans="1:17">
      <c r="A282" s="387">
        <v>21</v>
      </c>
      <c r="B282" s="394" t="s">
        <v>1202</v>
      </c>
      <c r="C282" s="383" t="s">
        <v>258</v>
      </c>
      <c r="D282" s="505">
        <v>14730819</v>
      </c>
      <c r="E282" s="394"/>
      <c r="F282" s="394"/>
      <c r="G282" s="394"/>
      <c r="H282" s="394"/>
      <c r="I282" s="394"/>
      <c r="J282" s="394"/>
      <c r="K282" s="394"/>
      <c r="L282" s="386"/>
      <c r="N282" s="394"/>
      <c r="O282" s="394"/>
      <c r="P282" s="386"/>
    </row>
    <row r="283" spans="1:17">
      <c r="A283" s="387"/>
      <c r="B283" s="386"/>
      <c r="D283" s="394"/>
      <c r="E283" s="394"/>
      <c r="F283" s="394"/>
      <c r="G283" s="461" t="s">
        <v>117</v>
      </c>
      <c r="H283" s="394"/>
      <c r="I283" s="394"/>
      <c r="J283" s="394"/>
      <c r="K283" s="394"/>
      <c r="L283" s="386"/>
      <c r="N283" s="394"/>
      <c r="O283" s="394"/>
      <c r="P283" s="386"/>
    </row>
    <row r="284" spans="1:17" ht="16.2" thickBot="1">
      <c r="A284" s="387"/>
      <c r="B284" s="383"/>
      <c r="C284" s="383"/>
      <c r="D284" s="397" t="s">
        <v>103</v>
      </c>
      <c r="E284" s="397" t="s">
        <v>118</v>
      </c>
      <c r="F284" s="394"/>
      <c r="G284" s="397" t="s">
        <v>119</v>
      </c>
      <c r="H284" s="394"/>
      <c r="I284" s="397" t="s">
        <v>120</v>
      </c>
      <c r="J284" s="394"/>
      <c r="K284" s="394"/>
      <c r="L284" s="386"/>
      <c r="N284" s="394"/>
      <c r="O284" s="394"/>
      <c r="P284" s="386"/>
    </row>
    <row r="285" spans="1:17">
      <c r="A285" s="387">
        <v>22</v>
      </c>
      <c r="B285" s="383" t="s">
        <v>1203</v>
      </c>
      <c r="C285" s="383" t="s">
        <v>1204</v>
      </c>
      <c r="D285" s="401">
        <v>263612308</v>
      </c>
      <c r="E285" s="506">
        <f>IF($D$287&gt;0,D285/$D$287,0)</f>
        <v>0.71161338832570242</v>
      </c>
      <c r="F285" s="440"/>
      <c r="G285" s="507">
        <f>IF(D285&gt;0,D282/D285,0)</f>
        <v>5.5880619200830338E-2</v>
      </c>
      <c r="I285" s="440">
        <f>G285*E285</f>
        <v>3.9765396771241183E-2</v>
      </c>
      <c r="J285" s="508" t="s">
        <v>121</v>
      </c>
      <c r="K285" s="394"/>
      <c r="L285" s="386"/>
      <c r="N285" s="394"/>
      <c r="O285" s="394"/>
      <c r="P285" s="386"/>
    </row>
    <row r="286" spans="1:17" ht="16.2" thickBot="1">
      <c r="A286" s="387">
        <v>23</v>
      </c>
      <c r="B286" s="383" t="s">
        <v>1205</v>
      </c>
      <c r="C286" s="383" t="s">
        <v>257</v>
      </c>
      <c r="D286" s="433">
        <v>106830846</v>
      </c>
      <c r="E286" s="509">
        <f>IF($D$287&gt;0,D286/$D$287,0)</f>
        <v>0.28838661167429752</v>
      </c>
      <c r="F286" s="440"/>
      <c r="G286" s="440">
        <f>I289</f>
        <v>0.12379999999999999</v>
      </c>
      <c r="I286" s="510">
        <f>G286*E286</f>
        <v>3.5702262525278028E-2</v>
      </c>
      <c r="L286" s="386"/>
      <c r="N286" s="394"/>
      <c r="O286" s="394"/>
      <c r="P286" s="386"/>
    </row>
    <row r="287" spans="1:17">
      <c r="A287" s="387">
        <v>24</v>
      </c>
      <c r="B287" s="383" t="s">
        <v>159</v>
      </c>
      <c r="C287" s="383"/>
      <c r="D287" s="394">
        <f>SUM(D285:D286)</f>
        <v>370443154</v>
      </c>
      <c r="E287" s="511">
        <f>SUM(E285+E286)</f>
        <v>1</v>
      </c>
      <c r="F287" s="440"/>
      <c r="G287" s="440"/>
      <c r="I287" s="440">
        <f>SUM(I285:I286)</f>
        <v>7.5467659296519218E-2</v>
      </c>
      <c r="J287" s="508" t="s">
        <v>122</v>
      </c>
      <c r="L287" s="386"/>
      <c r="N287" s="394"/>
      <c r="O287" s="394"/>
      <c r="P287" s="386"/>
    </row>
    <row r="288" spans="1:17">
      <c r="A288" s="387" t="s">
        <v>2</v>
      </c>
      <c r="B288" s="386"/>
      <c r="D288" s="394"/>
      <c r="E288" s="394" t="s">
        <v>2</v>
      </c>
      <c r="F288" s="394"/>
      <c r="G288" s="394"/>
      <c r="H288" s="394"/>
      <c r="I288" s="440"/>
      <c r="L288" s="386"/>
      <c r="N288" s="394"/>
      <c r="O288" s="394"/>
      <c r="P288" s="386"/>
    </row>
    <row r="289" spans="1:16">
      <c r="A289" s="387">
        <v>25</v>
      </c>
      <c r="E289" s="394"/>
      <c r="F289" s="394"/>
      <c r="G289" s="394"/>
      <c r="H289" s="467" t="s">
        <v>198</v>
      </c>
      <c r="I289" s="512">
        <v>0.12379999999999999</v>
      </c>
      <c r="L289" s="386"/>
      <c r="N289" s="394"/>
      <c r="O289" s="394"/>
      <c r="P289" s="386"/>
    </row>
    <row r="290" spans="1:16">
      <c r="A290" s="387">
        <v>26</v>
      </c>
      <c r="H290" s="487" t="s">
        <v>199</v>
      </c>
      <c r="I290" s="499">
        <f>IF(G285&gt;0,I287/G285,0)</f>
        <v>1.3505158027203434</v>
      </c>
      <c r="L290" s="386"/>
      <c r="N290" s="394"/>
      <c r="O290" s="394"/>
      <c r="P290" s="386"/>
    </row>
    <row r="291" spans="1:16">
      <c r="A291" s="387"/>
      <c r="H291" s="487"/>
      <c r="I291" s="499"/>
      <c r="L291" s="386"/>
      <c r="N291" s="394"/>
      <c r="O291" s="394"/>
      <c r="P291" s="386"/>
    </row>
    <row r="292" spans="1:16">
      <c r="A292" s="387"/>
      <c r="B292" s="383" t="s">
        <v>1206</v>
      </c>
      <c r="E292" s="408"/>
      <c r="F292" s="408"/>
      <c r="G292" s="513" t="s">
        <v>117</v>
      </c>
      <c r="H292" s="408"/>
      <c r="I292" s="408"/>
      <c r="L292" s="386"/>
      <c r="N292" s="394"/>
      <c r="O292" s="394"/>
      <c r="P292" s="386"/>
    </row>
    <row r="293" spans="1:16" ht="16.2" thickBot="1">
      <c r="A293" s="387"/>
      <c r="E293" s="514" t="s">
        <v>118</v>
      </c>
      <c r="F293" s="408"/>
      <c r="G293" s="514" t="s">
        <v>119</v>
      </c>
      <c r="H293" s="408"/>
      <c r="I293" s="514" t="s">
        <v>120</v>
      </c>
      <c r="L293" s="386"/>
      <c r="N293" s="394"/>
      <c r="O293" s="394"/>
      <c r="P293" s="386"/>
    </row>
    <row r="294" spans="1:16">
      <c r="A294" s="387">
        <v>27</v>
      </c>
      <c r="B294" s="383" t="s">
        <v>1207</v>
      </c>
      <c r="C294" s="383"/>
      <c r="D294" s="431"/>
      <c r="E294" s="506">
        <v>0.55000000000000004</v>
      </c>
      <c r="F294" s="440"/>
      <c r="G294" s="507">
        <f>G285</f>
        <v>5.5880619200830338E-2</v>
      </c>
      <c r="I294" s="440">
        <f>G294*E294</f>
        <v>3.0734340560456687E-2</v>
      </c>
      <c r="J294" s="508" t="s">
        <v>121</v>
      </c>
      <c r="K294" s="394"/>
      <c r="L294" s="386"/>
      <c r="N294" s="394"/>
      <c r="O294" s="394"/>
      <c r="P294" s="386"/>
    </row>
    <row r="295" spans="1:16" ht="16.2" thickBot="1">
      <c r="A295" s="387">
        <v>28</v>
      </c>
      <c r="B295" s="383" t="s">
        <v>1208</v>
      </c>
      <c r="C295" s="383"/>
      <c r="D295" s="431"/>
      <c r="E295" s="509">
        <v>0.45</v>
      </c>
      <c r="F295" s="440"/>
      <c r="G295" s="515">
        <f>I289</f>
        <v>0.12379999999999999</v>
      </c>
      <c r="I295" s="510">
        <f>G295*E295</f>
        <v>5.5709999999999996E-2</v>
      </c>
      <c r="L295" s="386"/>
      <c r="N295" s="394"/>
      <c r="O295" s="394"/>
      <c r="P295" s="386"/>
    </row>
    <row r="296" spans="1:16">
      <c r="A296" s="387">
        <v>29</v>
      </c>
      <c r="B296" s="516" t="s">
        <v>1209</v>
      </c>
      <c r="C296" s="383"/>
      <c r="D296" s="431"/>
      <c r="E296" s="511">
        <f>SUM(E294+E295)</f>
        <v>1</v>
      </c>
      <c r="F296" s="440"/>
      <c r="G296" s="440"/>
      <c r="I296" s="440">
        <f>SUM(I294:I295)</f>
        <v>8.6444340560456689E-2</v>
      </c>
      <c r="J296" s="508" t="s">
        <v>122</v>
      </c>
      <c r="L296" s="386"/>
      <c r="N296" s="394"/>
      <c r="O296" s="394"/>
      <c r="P296" s="386"/>
    </row>
    <row r="297" spans="1:16">
      <c r="A297" s="387"/>
      <c r="B297" s="516"/>
      <c r="C297" s="383"/>
      <c r="D297" s="431"/>
      <c r="E297" s="511"/>
      <c r="F297" s="440"/>
      <c r="G297" s="440"/>
      <c r="I297" s="440"/>
      <c r="J297" s="508"/>
      <c r="L297" s="386"/>
      <c r="N297" s="394"/>
      <c r="O297" s="394"/>
      <c r="P297" s="386"/>
    </row>
    <row r="298" spans="1:16">
      <c r="A298" s="517">
        <v>30</v>
      </c>
      <c r="B298" s="518" t="s">
        <v>1210</v>
      </c>
      <c r="C298" s="518"/>
      <c r="D298" s="519"/>
      <c r="E298" s="520"/>
      <c r="F298" s="520"/>
      <c r="G298" s="520"/>
      <c r="H298" s="521"/>
      <c r="I298" s="522">
        <f>I296-I287</f>
        <v>1.0976681263937471E-2</v>
      </c>
      <c r="L298" s="386"/>
      <c r="N298" s="394"/>
      <c r="O298" s="394"/>
      <c r="P298" s="386"/>
    </row>
    <row r="299" spans="1:16">
      <c r="A299" s="387"/>
      <c r="B299" s="516"/>
      <c r="C299" s="383"/>
      <c r="D299" s="431"/>
      <c r="E299" s="511"/>
      <c r="F299" s="440"/>
      <c r="G299" s="440"/>
      <c r="I299" s="440"/>
      <c r="J299" s="508"/>
      <c r="L299" s="386"/>
      <c r="N299" s="394"/>
      <c r="O299" s="394"/>
      <c r="P299" s="386"/>
    </row>
    <row r="300" spans="1:16">
      <c r="A300" s="387"/>
      <c r="B300" s="383" t="s">
        <v>123</v>
      </c>
      <c r="C300" s="383"/>
      <c r="D300" s="383"/>
      <c r="E300" s="383"/>
      <c r="F300" s="383"/>
      <c r="G300" s="383"/>
      <c r="H300" s="383"/>
      <c r="I300" s="383"/>
      <c r="K300" s="394"/>
      <c r="L300" s="386"/>
      <c r="N300" s="394"/>
      <c r="O300" s="394"/>
      <c r="P300" s="386"/>
    </row>
    <row r="301" spans="1:16" ht="16.2" thickBot="1">
      <c r="A301" s="387"/>
      <c r="B301" s="383"/>
      <c r="C301" s="383"/>
      <c r="D301" s="383"/>
      <c r="E301" s="383"/>
      <c r="F301" s="383"/>
      <c r="G301" s="383"/>
      <c r="H301" s="383"/>
      <c r="I301" s="397" t="s">
        <v>124</v>
      </c>
      <c r="J301" s="383"/>
      <c r="K301" s="383"/>
      <c r="L301" s="386"/>
      <c r="N301" s="394"/>
      <c r="O301" s="394"/>
      <c r="P301" s="386"/>
    </row>
    <row r="302" spans="1:16">
      <c r="A302" s="387"/>
      <c r="B302" s="383" t="s">
        <v>125</v>
      </c>
      <c r="C302" s="383"/>
      <c r="D302" s="383"/>
      <c r="E302" s="383"/>
      <c r="F302" s="383"/>
      <c r="G302" s="383" t="s">
        <v>2</v>
      </c>
      <c r="I302" s="523"/>
      <c r="J302" s="383"/>
      <c r="K302" s="383"/>
      <c r="L302" s="386"/>
      <c r="N302" s="394"/>
      <c r="O302" s="394"/>
      <c r="P302" s="386"/>
    </row>
    <row r="303" spans="1:16" ht="15.6" customHeight="1">
      <c r="A303" s="387">
        <v>31</v>
      </c>
      <c r="B303" s="382" t="s">
        <v>126</v>
      </c>
      <c r="C303" s="383"/>
      <c r="D303" s="383"/>
      <c r="E303" s="383" t="s">
        <v>127</v>
      </c>
      <c r="F303" s="383"/>
      <c r="I303" s="401">
        <v>0</v>
      </c>
      <c r="J303" s="383"/>
      <c r="K303" s="383"/>
      <c r="L303" s="386"/>
      <c r="N303" s="461"/>
      <c r="O303" s="394"/>
      <c r="P303" s="386"/>
    </row>
    <row r="304" spans="1:16" ht="15.6" customHeight="1" thickBot="1">
      <c r="A304" s="387">
        <v>32</v>
      </c>
      <c r="B304" s="462" t="s">
        <v>160</v>
      </c>
      <c r="C304" s="489"/>
      <c r="D304" s="430"/>
      <c r="E304" s="524"/>
      <c r="F304" s="524"/>
      <c r="G304" s="524"/>
      <c r="H304" s="383"/>
      <c r="I304" s="433">
        <v>0</v>
      </c>
      <c r="J304" s="383"/>
      <c r="K304" s="383"/>
      <c r="L304" s="386"/>
      <c r="N304" s="383"/>
      <c r="O304" s="394"/>
      <c r="P304" s="386"/>
    </row>
    <row r="305" spans="1:16" ht="15.6" customHeight="1">
      <c r="A305" s="387">
        <v>33</v>
      </c>
      <c r="B305" s="382" t="s">
        <v>128</v>
      </c>
      <c r="C305" s="386"/>
      <c r="D305" s="430"/>
      <c r="E305" s="524"/>
      <c r="F305" s="524"/>
      <c r="G305" s="524"/>
      <c r="H305" s="383"/>
      <c r="I305" s="401">
        <f>+I303-I304</f>
        <v>0</v>
      </c>
      <c r="J305" s="383"/>
      <c r="K305" s="383"/>
      <c r="L305" s="386"/>
      <c r="N305" s="383"/>
      <c r="O305" s="394"/>
      <c r="P305" s="386"/>
    </row>
    <row r="306" spans="1:16" ht="48" customHeight="1">
      <c r="A306" s="387"/>
      <c r="B306" s="382" t="s">
        <v>2</v>
      </c>
      <c r="C306" s="386"/>
      <c r="D306" s="430"/>
      <c r="E306" s="524"/>
      <c r="F306" s="524"/>
      <c r="G306" s="525"/>
      <c r="H306" s="383"/>
      <c r="I306" s="526" t="s">
        <v>2</v>
      </c>
      <c r="J306" s="383"/>
      <c r="K306" s="383"/>
      <c r="L306" s="386"/>
      <c r="N306" s="383"/>
      <c r="O306" s="394"/>
      <c r="P306" s="386"/>
    </row>
    <row r="307" spans="1:16">
      <c r="A307" s="387">
        <v>34</v>
      </c>
      <c r="B307" s="383" t="s">
        <v>235</v>
      </c>
      <c r="C307" s="386"/>
      <c r="D307" s="430"/>
      <c r="E307" s="524"/>
      <c r="F307" s="524"/>
      <c r="G307" s="525"/>
      <c r="H307" s="383"/>
      <c r="I307" s="527">
        <v>1155348.29</v>
      </c>
      <c r="J307" s="383"/>
      <c r="K307" s="383"/>
      <c r="N307" s="383"/>
      <c r="O307" s="394"/>
      <c r="P307" s="386"/>
    </row>
    <row r="308" spans="1:16">
      <c r="A308" s="387"/>
      <c r="C308" s="383"/>
      <c r="D308" s="524"/>
      <c r="E308" s="524"/>
      <c r="F308" s="524"/>
      <c r="G308" s="524"/>
      <c r="H308" s="383"/>
      <c r="I308" s="526"/>
      <c r="J308" s="383"/>
      <c r="K308" s="383"/>
      <c r="N308" s="383"/>
      <c r="O308" s="394"/>
      <c r="P308" s="386"/>
    </row>
    <row r="309" spans="1:16">
      <c r="B309" s="383" t="s">
        <v>191</v>
      </c>
      <c r="C309" s="383"/>
      <c r="D309" s="524"/>
      <c r="E309" s="524"/>
      <c r="F309" s="524"/>
      <c r="G309" s="524"/>
      <c r="H309" s="383"/>
      <c r="J309" s="383"/>
      <c r="K309" s="383"/>
      <c r="N309" s="383"/>
      <c r="O309" s="394"/>
      <c r="P309" s="386"/>
    </row>
    <row r="310" spans="1:16">
      <c r="A310" s="387">
        <v>35</v>
      </c>
      <c r="B310" s="383" t="s">
        <v>129</v>
      </c>
      <c r="C310" s="394"/>
      <c r="D310" s="479"/>
      <c r="E310" s="479"/>
      <c r="F310" s="479"/>
      <c r="G310" s="479"/>
      <c r="H310" s="394"/>
      <c r="I310" s="528">
        <v>20667235.539999999</v>
      </c>
      <c r="J310" s="383"/>
      <c r="K310" s="383"/>
      <c r="L310" s="469" t="s">
        <v>1211</v>
      </c>
      <c r="N310" s="383"/>
      <c r="O310" s="394"/>
      <c r="P310" s="386"/>
    </row>
    <row r="311" spans="1:16">
      <c r="A311" s="387">
        <v>36</v>
      </c>
      <c r="B311" s="524" t="s">
        <v>161</v>
      </c>
      <c r="C311" s="524"/>
      <c r="D311" s="524"/>
      <c r="E311" s="524"/>
      <c r="F311" s="524"/>
      <c r="G311" s="524"/>
      <c r="H311" s="383"/>
      <c r="I311" s="528">
        <v>17213449.539999999</v>
      </c>
      <c r="J311" s="383"/>
      <c r="K311" s="383"/>
      <c r="L311" s="469" t="s">
        <v>1212</v>
      </c>
      <c r="N311" s="383"/>
      <c r="O311" s="394"/>
      <c r="P311" s="386"/>
    </row>
    <row r="312" spans="1:16">
      <c r="A312" s="387" t="s">
        <v>1213</v>
      </c>
      <c r="B312" s="524" t="s">
        <v>1214</v>
      </c>
      <c r="C312" s="529"/>
      <c r="D312" s="524"/>
      <c r="E312" s="524"/>
      <c r="F312" s="524"/>
      <c r="G312" s="524"/>
      <c r="H312" s="383"/>
      <c r="I312" s="528">
        <v>2973678</v>
      </c>
      <c r="J312" s="383"/>
      <c r="K312" s="383"/>
      <c r="L312" s="461"/>
      <c r="N312" s="383"/>
      <c r="O312" s="394"/>
      <c r="P312" s="386"/>
    </row>
    <row r="313" spans="1:16" ht="15.6" customHeight="1" thickBot="1">
      <c r="A313" s="387" t="s">
        <v>1215</v>
      </c>
      <c r="B313" s="530" t="s">
        <v>1216</v>
      </c>
      <c r="C313" s="488"/>
      <c r="D313" s="524"/>
      <c r="E313" s="524"/>
      <c r="F313" s="524"/>
      <c r="G313" s="524"/>
      <c r="H313" s="383"/>
      <c r="I313" s="531">
        <v>480108</v>
      </c>
      <c r="J313" s="383"/>
      <c r="K313" s="383"/>
      <c r="L313" s="461"/>
      <c r="N313" s="383"/>
      <c r="O313" s="394"/>
      <c r="P313" s="386"/>
    </row>
    <row r="314" spans="1:16" ht="15.6" customHeight="1">
      <c r="A314" s="387">
        <v>37</v>
      </c>
      <c r="B314" s="382" t="s">
        <v>1217</v>
      </c>
      <c r="C314" s="387"/>
      <c r="D314" s="479"/>
      <c r="E314" s="479"/>
      <c r="F314" s="479"/>
      <c r="G314" s="479"/>
      <c r="H314" s="383"/>
      <c r="I314" s="526">
        <f>+I310-I311-I312-I313</f>
        <v>0</v>
      </c>
      <c r="J314" s="383"/>
      <c r="K314" s="383"/>
      <c r="M314" s="592"/>
      <c r="N314" s="383"/>
      <c r="O314" s="386"/>
      <c r="P314" s="386"/>
    </row>
    <row r="315" spans="1:16" ht="15.6" customHeight="1">
      <c r="A315" s="387"/>
      <c r="B315" s="532"/>
      <c r="C315" s="387"/>
      <c r="D315" s="479"/>
      <c r="E315" s="479"/>
      <c r="F315" s="479"/>
      <c r="G315" s="479"/>
      <c r="H315" s="383"/>
      <c r="I315" s="526"/>
      <c r="J315" s="383"/>
      <c r="K315" s="383"/>
      <c r="M315" s="592"/>
      <c r="N315" s="383"/>
      <c r="O315" s="386"/>
      <c r="P315" s="386"/>
    </row>
    <row r="316" spans="1:16">
      <c r="A316" s="387"/>
      <c r="B316" s="532"/>
      <c r="C316" s="387"/>
      <c r="D316" s="479"/>
      <c r="E316" s="479"/>
      <c r="F316" s="479"/>
      <c r="G316" s="479"/>
      <c r="H316" s="383"/>
      <c r="I316" s="526"/>
      <c r="J316" s="383"/>
      <c r="K316" s="383"/>
      <c r="L316" s="469"/>
      <c r="N316" s="383"/>
      <c r="O316" s="386"/>
      <c r="P316" s="386"/>
    </row>
    <row r="317" spans="1:16">
      <c r="A317" s="387"/>
      <c r="B317" s="532"/>
      <c r="C317" s="387"/>
      <c r="D317" s="394"/>
      <c r="E317" s="394"/>
      <c r="F317" s="394"/>
      <c r="G317" s="394"/>
      <c r="H317" s="383"/>
      <c r="I317" s="526"/>
      <c r="J317" s="383"/>
      <c r="K317" s="383"/>
      <c r="L317" s="386"/>
      <c r="N317" s="383"/>
      <c r="O317" s="386"/>
      <c r="P317" s="386"/>
    </row>
    <row r="318" spans="1:16">
      <c r="A318" s="387"/>
      <c r="B318" s="532"/>
      <c r="C318" s="387"/>
      <c r="D318" s="394"/>
      <c r="E318" s="394"/>
      <c r="F318" s="394"/>
      <c r="G318" s="394"/>
      <c r="H318" s="383"/>
      <c r="I318" s="526"/>
      <c r="J318" s="383"/>
      <c r="K318" s="383"/>
      <c r="L318" s="386"/>
      <c r="N318" s="383"/>
      <c r="O318" s="386"/>
      <c r="P318" s="386"/>
    </row>
    <row r="319" spans="1:16">
      <c r="A319" s="382" t="s">
        <v>678</v>
      </c>
      <c r="B319" s="386"/>
      <c r="C319" s="386"/>
      <c r="D319" s="386"/>
      <c r="E319" s="386"/>
      <c r="F319" s="386"/>
      <c r="G319" s="386"/>
      <c r="H319" s="386"/>
      <c r="I319" s="440"/>
      <c r="J319" s="383"/>
      <c r="K319" s="477" t="s">
        <v>679</v>
      </c>
      <c r="L319" s="386"/>
      <c r="N319" s="383"/>
      <c r="O319" s="386"/>
      <c r="P319" s="386"/>
    </row>
    <row r="320" spans="1:16" ht="15.6" customHeight="1">
      <c r="A320" s="386" t="s">
        <v>680</v>
      </c>
      <c r="B320" s="386"/>
      <c r="C320" s="394"/>
      <c r="D320" s="479"/>
      <c r="E320" s="394"/>
      <c r="F320" s="394"/>
      <c r="G320" s="458"/>
      <c r="H320" s="394"/>
      <c r="I320" s="394"/>
      <c r="J320" s="486"/>
      <c r="K320" s="477"/>
      <c r="L320" s="386"/>
      <c r="N320" s="383"/>
      <c r="O320" s="386"/>
      <c r="P320" s="386"/>
    </row>
    <row r="321" spans="1:16" ht="15.6" customHeight="1">
      <c r="A321" s="382" t="s">
        <v>185</v>
      </c>
      <c r="B321" s="383"/>
      <c r="C321" s="383"/>
      <c r="D321" s="384"/>
      <c r="E321" s="383"/>
      <c r="F321" s="383"/>
      <c r="G321" s="383"/>
      <c r="H321" s="383"/>
      <c r="I321" s="385"/>
      <c r="J321" s="386"/>
      <c r="K321" s="385" t="s">
        <v>1218</v>
      </c>
    </row>
    <row r="322" spans="1:16" ht="32.25" customHeight="1">
      <c r="A322" s="382" t="s">
        <v>245</v>
      </c>
      <c r="B322" s="383"/>
      <c r="C322" s="383"/>
      <c r="D322" s="384"/>
      <c r="E322" s="383"/>
      <c r="F322" s="383"/>
      <c r="G322" s="383"/>
      <c r="H322" s="383"/>
      <c r="I322" s="385"/>
      <c r="J322" s="385"/>
      <c r="K322" s="385" t="s">
        <v>1219</v>
      </c>
      <c r="L322" s="386"/>
      <c r="N322" s="386"/>
      <c r="O322" s="386"/>
    </row>
    <row r="323" spans="1:16" s="4" customFormat="1">
      <c r="A323" s="382"/>
      <c r="B323" s="383"/>
      <c r="C323" s="383"/>
      <c r="D323" s="384"/>
      <c r="E323" s="383"/>
      <c r="F323" s="383"/>
      <c r="G323" s="383"/>
      <c r="H323" s="383"/>
      <c r="I323" s="385"/>
      <c r="J323" s="385"/>
      <c r="K323" s="388" t="s">
        <v>1127</v>
      </c>
      <c r="L323" s="386"/>
      <c r="M323" s="382"/>
      <c r="N323" s="386"/>
      <c r="O323" s="386"/>
      <c r="P323" s="382"/>
    </row>
    <row r="324" spans="1:16" s="6" customFormat="1">
      <c r="A324" s="382"/>
      <c r="B324" s="383"/>
      <c r="C324" s="383"/>
      <c r="D324" s="382"/>
      <c r="E324" s="383"/>
      <c r="F324" s="383"/>
      <c r="G324" s="383"/>
      <c r="H324" s="383"/>
      <c r="I324" s="383"/>
      <c r="J324" s="382"/>
      <c r="K324" s="388" t="s">
        <v>176</v>
      </c>
      <c r="L324" s="386"/>
      <c r="M324" s="382"/>
      <c r="N324" s="386"/>
      <c r="O324" s="386"/>
      <c r="P324" s="386"/>
    </row>
    <row r="325" spans="1:16" s="6" customFormat="1">
      <c r="A325" s="387"/>
      <c r="B325" s="532" t="str">
        <f>B7</f>
        <v xml:space="preserve">Formula Rate - Non-Levelized </v>
      </c>
      <c r="C325" s="604" t="str">
        <f>D7</f>
        <v xml:space="preserve">   Rate Formula Template</v>
      </c>
      <c r="D325" s="604"/>
      <c r="E325" s="394"/>
      <c r="F325" s="394"/>
      <c r="G325" s="394"/>
      <c r="H325" s="533"/>
      <c r="I325" s="382"/>
      <c r="J325" s="386"/>
      <c r="K325" s="534" t="str">
        <f>K7</f>
        <v>For the 12 months ended 12/31/2012</v>
      </c>
      <c r="L325" s="386"/>
      <c r="M325" s="382"/>
      <c r="N325" s="386"/>
      <c r="O325" s="386"/>
      <c r="P325" s="386"/>
    </row>
    <row r="326" spans="1:16" s="6" customFormat="1">
      <c r="A326" s="387"/>
      <c r="B326" s="532"/>
      <c r="C326" s="387"/>
      <c r="D326" s="394" t="str">
        <f>D8</f>
        <v>Utilizing EIA Form 412 Data</v>
      </c>
      <c r="E326" s="394"/>
      <c r="F326" s="394"/>
      <c r="G326" s="394"/>
      <c r="H326" s="383"/>
      <c r="I326" s="535"/>
      <c r="J326" s="523"/>
      <c r="K326" s="536"/>
      <c r="L326" s="386"/>
      <c r="M326" s="382"/>
      <c r="N326" s="386"/>
      <c r="O326" s="386"/>
      <c r="P326" s="386"/>
    </row>
    <row r="327" spans="1:16" s="6" customFormat="1">
      <c r="A327" s="387"/>
      <c r="B327" s="532"/>
      <c r="C327" s="387"/>
      <c r="D327" s="394" t="str">
        <f>D10</f>
        <v>MRES</v>
      </c>
      <c r="E327" s="394"/>
      <c r="F327" s="394"/>
      <c r="G327" s="394"/>
      <c r="H327" s="383"/>
      <c r="I327" s="535"/>
      <c r="J327" s="523"/>
      <c r="K327" s="536"/>
      <c r="L327" s="386"/>
      <c r="M327" s="382"/>
      <c r="N327" s="386"/>
      <c r="O327" s="386"/>
      <c r="P327" s="386"/>
    </row>
    <row r="328" spans="1:16" s="6" customFormat="1">
      <c r="A328" s="387"/>
      <c r="B328" s="383" t="s">
        <v>130</v>
      </c>
      <c r="C328" s="387"/>
      <c r="D328" s="394"/>
      <c r="E328" s="394"/>
      <c r="F328" s="394"/>
      <c r="G328" s="394"/>
      <c r="H328" s="383"/>
      <c r="I328" s="394"/>
      <c r="J328" s="523"/>
      <c r="K328" s="536"/>
      <c r="L328" s="386"/>
      <c r="M328" s="382"/>
      <c r="N328" s="387"/>
      <c r="O328" s="386"/>
      <c r="P328" s="386"/>
    </row>
    <row r="329" spans="1:16" s="6" customFormat="1">
      <c r="A329" s="387"/>
      <c r="B329" s="384" t="s">
        <v>204</v>
      </c>
      <c r="C329" s="387"/>
      <c r="D329" s="394"/>
      <c r="E329" s="394"/>
      <c r="F329" s="394"/>
      <c r="G329" s="394"/>
      <c r="H329" s="383"/>
      <c r="I329" s="394"/>
      <c r="J329" s="383"/>
      <c r="K329" s="394"/>
      <c r="L329" s="386"/>
      <c r="M329" s="382"/>
      <c r="N329" s="387"/>
      <c r="O329" s="386"/>
      <c r="P329" s="386"/>
    </row>
    <row r="330" spans="1:16">
      <c r="B330" s="384" t="s">
        <v>203</v>
      </c>
      <c r="C330" s="387"/>
      <c r="D330" s="394"/>
      <c r="E330" s="394"/>
      <c r="F330" s="394"/>
      <c r="G330" s="394"/>
      <c r="H330" s="383"/>
      <c r="I330" s="394"/>
      <c r="J330" s="383"/>
      <c r="K330" s="394"/>
      <c r="L330" s="386"/>
      <c r="N330" s="387"/>
      <c r="O330" s="386"/>
      <c r="P330" s="386"/>
    </row>
    <row r="331" spans="1:16">
      <c r="A331" s="387" t="s">
        <v>131</v>
      </c>
      <c r="B331" s="383" t="s">
        <v>202</v>
      </c>
      <c r="C331" s="383"/>
      <c r="D331" s="394"/>
      <c r="E331" s="394"/>
      <c r="F331" s="394"/>
      <c r="G331" s="404"/>
      <c r="H331" s="383"/>
      <c r="I331" s="394"/>
      <c r="J331" s="383"/>
      <c r="K331" s="394"/>
      <c r="L331" s="386"/>
      <c r="N331" s="387"/>
      <c r="O331" s="386"/>
      <c r="P331" s="386"/>
    </row>
    <row r="332" spans="1:16" ht="16.2" thickBot="1">
      <c r="A332" s="397" t="s">
        <v>132</v>
      </c>
      <c r="C332" s="383"/>
      <c r="D332" s="394"/>
      <c r="E332" s="394"/>
      <c r="F332" s="394"/>
      <c r="G332" s="394"/>
      <c r="H332" s="383"/>
      <c r="I332" s="394"/>
      <c r="J332" s="383"/>
      <c r="K332" s="394"/>
      <c r="L332" s="386"/>
      <c r="N332" s="387"/>
      <c r="O332" s="386"/>
      <c r="P332" s="386"/>
    </row>
    <row r="333" spans="1:16">
      <c r="A333" s="537" t="s">
        <v>133</v>
      </c>
      <c r="B333" s="600" t="s">
        <v>262</v>
      </c>
      <c r="C333" s="600"/>
      <c r="D333" s="600"/>
      <c r="E333" s="600"/>
      <c r="F333" s="600"/>
      <c r="G333" s="600"/>
      <c r="H333" s="600"/>
      <c r="I333" s="600"/>
      <c r="J333" s="600"/>
      <c r="K333" s="600"/>
      <c r="L333" s="386"/>
      <c r="N333" s="387"/>
      <c r="O333" s="386"/>
      <c r="P333" s="386"/>
    </row>
    <row r="334" spans="1:16">
      <c r="A334" s="537" t="s">
        <v>134</v>
      </c>
      <c r="B334" s="600" t="s">
        <v>263</v>
      </c>
      <c r="C334" s="600"/>
      <c r="D334" s="600"/>
      <c r="E334" s="600"/>
      <c r="F334" s="600"/>
      <c r="G334" s="600"/>
      <c r="H334" s="600"/>
      <c r="I334" s="600"/>
      <c r="J334" s="600"/>
      <c r="K334" s="600"/>
      <c r="L334" s="386"/>
      <c r="N334" s="387"/>
      <c r="O334" s="386"/>
      <c r="P334" s="386"/>
    </row>
    <row r="335" spans="1:16">
      <c r="A335" s="537" t="s">
        <v>135</v>
      </c>
      <c r="B335" s="600" t="s">
        <v>264</v>
      </c>
      <c r="C335" s="600"/>
      <c r="D335" s="600"/>
      <c r="E335" s="600"/>
      <c r="F335" s="600"/>
      <c r="G335" s="600"/>
      <c r="H335" s="600"/>
      <c r="I335" s="600"/>
      <c r="J335" s="600"/>
      <c r="K335" s="600"/>
      <c r="L335" s="386"/>
      <c r="N335" s="387"/>
      <c r="O335" s="386"/>
      <c r="P335" s="386"/>
    </row>
    <row r="336" spans="1:16">
      <c r="A336" s="537" t="s">
        <v>136</v>
      </c>
      <c r="B336" s="600" t="s">
        <v>264</v>
      </c>
      <c r="C336" s="600"/>
      <c r="D336" s="600"/>
      <c r="E336" s="600"/>
      <c r="F336" s="600"/>
      <c r="G336" s="600"/>
      <c r="H336" s="600"/>
      <c r="I336" s="600"/>
      <c r="J336" s="600"/>
      <c r="K336" s="600"/>
      <c r="L336" s="386"/>
      <c r="N336" s="387"/>
      <c r="O336" s="386"/>
      <c r="P336" s="386"/>
    </row>
    <row r="337" spans="1:16">
      <c r="A337" s="537" t="s">
        <v>137</v>
      </c>
      <c r="B337" s="600" t="s">
        <v>167</v>
      </c>
      <c r="C337" s="600"/>
      <c r="D337" s="600"/>
      <c r="E337" s="600"/>
      <c r="F337" s="600"/>
      <c r="G337" s="600"/>
      <c r="H337" s="600"/>
      <c r="I337" s="600"/>
      <c r="J337" s="600"/>
      <c r="K337" s="600"/>
      <c r="L337" s="386"/>
      <c r="N337" s="387"/>
      <c r="O337" s="386"/>
      <c r="P337" s="386"/>
    </row>
    <row r="338" spans="1:16">
      <c r="A338" s="537" t="s">
        <v>138</v>
      </c>
      <c r="B338" s="599" t="s">
        <v>237</v>
      </c>
      <c r="C338" s="599"/>
      <c r="D338" s="599"/>
      <c r="E338" s="599"/>
      <c r="F338" s="599"/>
      <c r="G338" s="599"/>
      <c r="H338" s="599"/>
      <c r="I338" s="599"/>
      <c r="J338" s="599"/>
      <c r="K338" s="599"/>
      <c r="L338" s="386"/>
      <c r="N338" s="387"/>
      <c r="O338" s="386"/>
      <c r="P338" s="386"/>
    </row>
    <row r="339" spans="1:16">
      <c r="A339" s="537" t="s">
        <v>139</v>
      </c>
      <c r="B339" s="599" t="s">
        <v>168</v>
      </c>
      <c r="C339" s="599"/>
      <c r="D339" s="599"/>
      <c r="E339" s="599"/>
      <c r="F339" s="599"/>
      <c r="G339" s="599"/>
      <c r="H339" s="599"/>
      <c r="I339" s="599"/>
      <c r="J339" s="599"/>
      <c r="K339" s="599"/>
      <c r="L339" s="386"/>
      <c r="N339" s="387"/>
      <c r="O339" s="386"/>
      <c r="P339" s="386"/>
    </row>
    <row r="340" spans="1:16">
      <c r="A340" s="537" t="s">
        <v>140</v>
      </c>
      <c r="B340" s="599" t="s">
        <v>238</v>
      </c>
      <c r="C340" s="599"/>
      <c r="D340" s="599"/>
      <c r="E340" s="599"/>
      <c r="F340" s="599"/>
      <c r="G340" s="599"/>
      <c r="H340" s="599"/>
      <c r="I340" s="599"/>
      <c r="J340" s="599"/>
      <c r="K340" s="599"/>
      <c r="L340" s="386"/>
      <c r="N340" s="387"/>
      <c r="O340" s="386"/>
      <c r="P340" s="386"/>
    </row>
    <row r="341" spans="1:16">
      <c r="A341" s="537" t="s">
        <v>141</v>
      </c>
      <c r="B341" s="600" t="s">
        <v>239</v>
      </c>
      <c r="C341" s="600"/>
      <c r="D341" s="600"/>
      <c r="E341" s="600"/>
      <c r="F341" s="600"/>
      <c r="G341" s="600"/>
      <c r="H341" s="600"/>
      <c r="I341" s="600"/>
      <c r="J341" s="600"/>
      <c r="K341" s="600"/>
      <c r="L341" s="386"/>
      <c r="N341" s="387"/>
      <c r="O341" s="386"/>
      <c r="P341" s="386"/>
    </row>
    <row r="342" spans="1:16">
      <c r="A342" s="537" t="s">
        <v>142</v>
      </c>
      <c r="B342" s="599" t="s">
        <v>240</v>
      </c>
      <c r="C342" s="599"/>
      <c r="D342" s="599"/>
      <c r="E342" s="599"/>
      <c r="F342" s="599"/>
      <c r="G342" s="599"/>
      <c r="H342" s="599"/>
      <c r="I342" s="599"/>
      <c r="J342" s="599"/>
      <c r="K342" s="599"/>
      <c r="L342" s="386"/>
      <c r="N342" s="387"/>
      <c r="O342" s="441"/>
      <c r="P342" s="386"/>
    </row>
    <row r="343" spans="1:16">
      <c r="A343" s="537" t="s">
        <v>143</v>
      </c>
      <c r="B343" s="599" t="s">
        <v>241</v>
      </c>
      <c r="C343" s="599"/>
      <c r="D343" s="599"/>
      <c r="E343" s="599"/>
      <c r="F343" s="599"/>
      <c r="G343" s="599"/>
      <c r="H343" s="599"/>
      <c r="I343" s="599"/>
      <c r="J343" s="599"/>
      <c r="K343" s="599"/>
      <c r="L343" s="386"/>
      <c r="N343" s="387"/>
      <c r="O343" s="386"/>
      <c r="P343" s="386"/>
    </row>
    <row r="344" spans="1:16">
      <c r="A344" s="537" t="s">
        <v>2</v>
      </c>
      <c r="B344" s="538" t="s">
        <v>236</v>
      </c>
      <c r="C344" s="539" t="s">
        <v>144</v>
      </c>
      <c r="D344" s="540">
        <v>0</v>
      </c>
      <c r="E344" s="539"/>
      <c r="F344" s="541"/>
      <c r="G344" s="541"/>
      <c r="H344" s="542"/>
      <c r="I344" s="541"/>
      <c r="J344" s="542"/>
      <c r="K344" s="541"/>
      <c r="L344" s="386"/>
      <c r="N344" s="387"/>
      <c r="O344" s="386"/>
      <c r="P344" s="386"/>
    </row>
    <row r="345" spans="1:16">
      <c r="A345" s="537"/>
      <c r="B345" s="539"/>
      <c r="C345" s="539" t="s">
        <v>145</v>
      </c>
      <c r="D345" s="540">
        <v>0</v>
      </c>
      <c r="E345" s="599" t="s">
        <v>146</v>
      </c>
      <c r="F345" s="599"/>
      <c r="G345" s="599"/>
      <c r="H345" s="599"/>
      <c r="I345" s="599"/>
      <c r="J345" s="599"/>
      <c r="K345" s="599"/>
      <c r="N345" s="387"/>
      <c r="O345" s="386"/>
      <c r="P345" s="386"/>
    </row>
    <row r="346" spans="1:16">
      <c r="A346" s="537"/>
      <c r="B346" s="539"/>
      <c r="C346" s="539" t="s">
        <v>147</v>
      </c>
      <c r="D346" s="540">
        <v>0</v>
      </c>
      <c r="E346" s="599" t="s">
        <v>148</v>
      </c>
      <c r="F346" s="599"/>
      <c r="G346" s="599"/>
      <c r="H346" s="599"/>
      <c r="I346" s="599"/>
      <c r="J346" s="599"/>
      <c r="K346" s="599"/>
      <c r="L346" s="386"/>
      <c r="N346" s="387"/>
      <c r="O346" s="386"/>
      <c r="P346" s="386"/>
    </row>
    <row r="347" spans="1:16">
      <c r="A347" s="537" t="s">
        <v>149</v>
      </c>
      <c r="B347" s="599" t="s">
        <v>192</v>
      </c>
      <c r="C347" s="599"/>
      <c r="D347" s="599"/>
      <c r="E347" s="599"/>
      <c r="F347" s="599"/>
      <c r="G347" s="599"/>
      <c r="H347" s="599"/>
      <c r="I347" s="599"/>
      <c r="J347" s="599"/>
      <c r="K347" s="599"/>
      <c r="L347" s="386"/>
      <c r="N347" s="387"/>
      <c r="O347" s="386"/>
      <c r="P347" s="386"/>
    </row>
    <row r="348" spans="1:16">
      <c r="A348" s="537" t="s">
        <v>150</v>
      </c>
      <c r="B348" s="599" t="s">
        <v>1095</v>
      </c>
      <c r="C348" s="599"/>
      <c r="D348" s="599"/>
      <c r="E348" s="599"/>
      <c r="F348" s="599"/>
      <c r="G348" s="599"/>
      <c r="H348" s="599"/>
      <c r="I348" s="599"/>
      <c r="J348" s="599"/>
      <c r="K348" s="599"/>
      <c r="L348" s="543" t="s">
        <v>179</v>
      </c>
      <c r="N348" s="387"/>
      <c r="O348" s="386"/>
      <c r="P348" s="386"/>
    </row>
    <row r="349" spans="1:16">
      <c r="A349" s="537" t="s">
        <v>151</v>
      </c>
      <c r="B349" s="599" t="s">
        <v>1220</v>
      </c>
      <c r="C349" s="599"/>
      <c r="D349" s="599"/>
      <c r="E349" s="599"/>
      <c r="F349" s="599"/>
      <c r="G349" s="599"/>
      <c r="H349" s="599"/>
      <c r="I349" s="599"/>
      <c r="J349" s="599"/>
      <c r="K349" s="599"/>
      <c r="L349" s="386"/>
      <c r="N349" s="387"/>
      <c r="O349" s="386"/>
      <c r="P349" s="386"/>
    </row>
    <row r="350" spans="1:16">
      <c r="A350" s="537" t="s">
        <v>152</v>
      </c>
      <c r="B350" s="599" t="s">
        <v>169</v>
      </c>
      <c r="C350" s="599"/>
      <c r="D350" s="599"/>
      <c r="E350" s="599"/>
      <c r="F350" s="599"/>
      <c r="G350" s="599"/>
      <c r="H350" s="599"/>
      <c r="I350" s="599"/>
      <c r="J350" s="599"/>
      <c r="K350" s="599"/>
      <c r="L350" s="386"/>
      <c r="N350" s="387"/>
      <c r="O350" s="441"/>
      <c r="P350" s="386"/>
    </row>
    <row r="351" spans="1:16">
      <c r="A351" s="537" t="s">
        <v>153</v>
      </c>
      <c r="B351" s="600" t="s">
        <v>242</v>
      </c>
      <c r="C351" s="600"/>
      <c r="D351" s="600"/>
      <c r="E351" s="600"/>
      <c r="F351" s="600"/>
      <c r="G351" s="600"/>
      <c r="H351" s="600"/>
      <c r="I351" s="600"/>
      <c r="J351" s="600"/>
      <c r="K351" s="600"/>
      <c r="L351" s="386"/>
      <c r="N351" s="387"/>
      <c r="O351" s="441"/>
      <c r="P351" s="386"/>
    </row>
    <row r="352" spans="1:16">
      <c r="A352" s="537" t="s">
        <v>154</v>
      </c>
      <c r="B352" s="599" t="s">
        <v>243</v>
      </c>
      <c r="C352" s="599"/>
      <c r="D352" s="599"/>
      <c r="E352" s="599"/>
      <c r="F352" s="599"/>
      <c r="G352" s="599"/>
      <c r="H352" s="599"/>
      <c r="I352" s="599"/>
      <c r="J352" s="599"/>
      <c r="K352" s="599"/>
      <c r="L352" s="386"/>
      <c r="N352" s="387"/>
      <c r="O352" s="386"/>
      <c r="P352" s="386"/>
    </row>
    <row r="353" spans="1:16">
      <c r="A353" s="537" t="s">
        <v>155</v>
      </c>
      <c r="B353" s="599" t="s">
        <v>156</v>
      </c>
      <c r="C353" s="599"/>
      <c r="D353" s="599"/>
      <c r="E353" s="599"/>
      <c r="F353" s="599"/>
      <c r="G353" s="599"/>
      <c r="H353" s="599"/>
      <c r="I353" s="599"/>
      <c r="J353" s="599"/>
      <c r="K353" s="599"/>
      <c r="L353" s="386"/>
      <c r="N353" s="387"/>
      <c r="O353" s="386"/>
      <c r="P353" s="386"/>
    </row>
    <row r="354" spans="1:16">
      <c r="A354" s="537" t="s">
        <v>170</v>
      </c>
      <c r="B354" s="599" t="s">
        <v>1221</v>
      </c>
      <c r="C354" s="599"/>
      <c r="D354" s="599"/>
      <c r="E354" s="599"/>
      <c r="F354" s="599"/>
      <c r="G354" s="599"/>
      <c r="H354" s="599"/>
      <c r="I354" s="599"/>
      <c r="J354" s="599"/>
      <c r="K354" s="599"/>
      <c r="L354" s="386"/>
      <c r="N354" s="387"/>
      <c r="O354" s="386"/>
      <c r="P354" s="386"/>
    </row>
    <row r="355" spans="1:16">
      <c r="A355" s="544" t="s">
        <v>171</v>
      </c>
      <c r="B355" s="598" t="s">
        <v>259</v>
      </c>
      <c r="C355" s="598"/>
      <c r="D355" s="598"/>
      <c r="E355" s="598"/>
      <c r="F355" s="598"/>
      <c r="G355" s="598"/>
      <c r="H355" s="598"/>
      <c r="I355" s="598"/>
      <c r="J355" s="598"/>
      <c r="K355" s="598"/>
      <c r="L355" s="386"/>
      <c r="N355" s="387"/>
      <c r="O355" s="386"/>
      <c r="P355" s="386"/>
    </row>
    <row r="356" spans="1:16">
      <c r="A356" s="544" t="s">
        <v>186</v>
      </c>
      <c r="B356" s="598" t="s">
        <v>1222</v>
      </c>
      <c r="C356" s="598"/>
      <c r="D356" s="598"/>
      <c r="E356" s="598"/>
      <c r="F356" s="598"/>
      <c r="G356" s="598"/>
      <c r="H356" s="598"/>
      <c r="I356" s="598"/>
      <c r="J356" s="598"/>
      <c r="K356" s="598"/>
      <c r="L356" s="386"/>
      <c r="N356" s="387"/>
      <c r="O356" s="386"/>
      <c r="P356" s="386"/>
    </row>
    <row r="357" spans="1:16">
      <c r="A357" s="545" t="s">
        <v>189</v>
      </c>
      <c r="B357" s="598" t="s">
        <v>1223</v>
      </c>
      <c r="C357" s="598"/>
      <c r="D357" s="598"/>
      <c r="E357" s="598"/>
      <c r="F357" s="598"/>
      <c r="G357" s="598"/>
      <c r="H357" s="598"/>
      <c r="I357" s="598"/>
      <c r="J357" s="598"/>
      <c r="K357" s="598"/>
      <c r="L357" s="386"/>
      <c r="N357" s="461"/>
      <c r="O357" s="386"/>
      <c r="P357" s="386"/>
    </row>
    <row r="358" spans="1:16">
      <c r="A358" s="545" t="s">
        <v>193</v>
      </c>
      <c r="B358" s="598" t="s">
        <v>244</v>
      </c>
      <c r="C358" s="598"/>
      <c r="D358" s="598"/>
      <c r="E358" s="598"/>
      <c r="F358" s="598"/>
      <c r="G358" s="598"/>
      <c r="H358" s="598"/>
      <c r="I358" s="598"/>
      <c r="J358" s="598"/>
      <c r="K358" s="598"/>
      <c r="L358" s="386"/>
      <c r="N358" s="461"/>
      <c r="O358" s="386"/>
      <c r="P358" s="386"/>
    </row>
    <row r="359" spans="1:16" ht="29.4" customHeight="1">
      <c r="A359" s="544" t="s">
        <v>194</v>
      </c>
      <c r="B359" s="598" t="s">
        <v>1224</v>
      </c>
      <c r="C359" s="598"/>
      <c r="D359" s="598"/>
      <c r="E359" s="598"/>
      <c r="F359" s="598"/>
      <c r="G359" s="598"/>
      <c r="H359" s="598"/>
      <c r="I359" s="598"/>
      <c r="J359" s="598"/>
      <c r="K359" s="598"/>
      <c r="L359" s="407"/>
      <c r="M359" s="406"/>
      <c r="N359" s="413"/>
      <c r="O359" s="407"/>
      <c r="P359" s="407"/>
    </row>
    <row r="360" spans="1:16">
      <c r="A360" s="544" t="s">
        <v>1225</v>
      </c>
      <c r="B360" s="597" t="s">
        <v>1226</v>
      </c>
      <c r="C360" s="597"/>
      <c r="D360" s="597"/>
      <c r="E360" s="597"/>
      <c r="F360" s="597"/>
      <c r="G360" s="597"/>
      <c r="H360" s="597"/>
      <c r="I360" s="597"/>
      <c r="J360" s="597"/>
      <c r="K360" s="597"/>
      <c r="L360" s="386"/>
      <c r="N360" s="387"/>
      <c r="O360" s="386"/>
      <c r="P360" s="386"/>
    </row>
    <row r="361" spans="1:16">
      <c r="A361" s="544"/>
      <c r="B361" s="597"/>
      <c r="C361" s="597"/>
      <c r="D361" s="597"/>
      <c r="E361" s="597"/>
      <c r="F361" s="597"/>
      <c r="G361" s="597"/>
      <c r="H361" s="597"/>
      <c r="I361" s="597"/>
      <c r="J361" s="597"/>
      <c r="K361" s="597"/>
      <c r="L361" s="386"/>
      <c r="N361" s="387"/>
      <c r="O361" s="386"/>
      <c r="P361" s="386"/>
    </row>
    <row r="362" spans="1:16">
      <c r="A362" s="544" t="s">
        <v>1227</v>
      </c>
      <c r="B362" s="597" t="s">
        <v>1228</v>
      </c>
      <c r="C362" s="597"/>
      <c r="D362" s="597"/>
      <c r="E362" s="597"/>
      <c r="F362" s="597"/>
      <c r="G362" s="597"/>
      <c r="H362" s="597"/>
      <c r="I362" s="597"/>
      <c r="J362" s="597"/>
      <c r="K362" s="597"/>
      <c r="L362" s="386"/>
      <c r="N362" s="387"/>
      <c r="O362" s="386"/>
      <c r="P362" s="386"/>
    </row>
    <row r="363" spans="1:16">
      <c r="A363" s="544"/>
      <c r="B363" s="597"/>
      <c r="C363" s="597"/>
      <c r="D363" s="597"/>
      <c r="E363" s="597"/>
      <c r="F363" s="597"/>
      <c r="G363" s="597"/>
      <c r="H363" s="597"/>
      <c r="I363" s="597"/>
      <c r="J363" s="597"/>
      <c r="K363" s="597"/>
      <c r="L363" s="386"/>
      <c r="N363" s="387"/>
      <c r="O363" s="386"/>
      <c r="P363" s="386"/>
    </row>
    <row r="364" spans="1:16">
      <c r="A364" s="544" t="s">
        <v>1229</v>
      </c>
      <c r="B364" s="407" t="s">
        <v>1230</v>
      </c>
      <c r="C364" s="546"/>
      <c r="D364" s="546"/>
      <c r="E364" s="546"/>
      <c r="F364" s="546"/>
      <c r="G364" s="546"/>
      <c r="H364" s="546"/>
      <c r="I364" s="546"/>
      <c r="J364" s="546"/>
      <c r="K364" s="546"/>
      <c r="L364" s="386"/>
      <c r="N364" s="387"/>
      <c r="O364" s="386"/>
      <c r="P364" s="386"/>
    </row>
    <row r="365" spans="1:16">
      <c r="A365" s="544" t="s">
        <v>1231</v>
      </c>
      <c r="B365" s="407" t="s">
        <v>1232</v>
      </c>
      <c r="C365" s="546"/>
      <c r="D365" s="546"/>
      <c r="E365" s="546"/>
      <c r="F365" s="546"/>
      <c r="G365" s="546"/>
      <c r="H365" s="546"/>
      <c r="I365" s="546"/>
      <c r="J365" s="546"/>
      <c r="K365" s="546"/>
      <c r="L365" s="386"/>
      <c r="N365" s="387"/>
      <c r="O365" s="386"/>
      <c r="P365" s="386"/>
    </row>
    <row r="366" spans="1:16">
      <c r="A366" s="544" t="s">
        <v>1233</v>
      </c>
      <c r="B366" s="597" t="s">
        <v>1234</v>
      </c>
      <c r="C366" s="597"/>
      <c r="D366" s="597"/>
      <c r="E366" s="597"/>
      <c r="F366" s="597"/>
      <c r="G366" s="597"/>
      <c r="H366" s="597"/>
      <c r="I366" s="597"/>
      <c r="J366" s="597"/>
      <c r="K366" s="597"/>
      <c r="L366" s="386"/>
      <c r="N366" s="387"/>
      <c r="O366" s="386"/>
      <c r="P366" s="386"/>
    </row>
    <row r="367" spans="1:16">
      <c r="A367" s="544" t="s">
        <v>1235</v>
      </c>
      <c r="B367" s="597" t="s">
        <v>1236</v>
      </c>
      <c r="C367" s="597"/>
      <c r="D367" s="597"/>
      <c r="E367" s="597"/>
      <c r="F367" s="597"/>
      <c r="G367" s="597"/>
      <c r="H367" s="597"/>
      <c r="I367" s="597"/>
      <c r="J367" s="597"/>
      <c r="K367" s="597"/>
      <c r="L367" s="386"/>
      <c r="N367" s="387"/>
      <c r="O367" s="386"/>
      <c r="P367" s="386"/>
    </row>
    <row r="368" spans="1:16" ht="29.4" customHeight="1">
      <c r="A368" s="544" t="s">
        <v>1237</v>
      </c>
      <c r="B368" s="597" t="s">
        <v>1238</v>
      </c>
      <c r="C368" s="597"/>
      <c r="D368" s="597"/>
      <c r="E368" s="597"/>
      <c r="F368" s="597"/>
      <c r="G368" s="597"/>
      <c r="H368" s="597"/>
      <c r="I368" s="597"/>
      <c r="J368" s="597"/>
      <c r="K368" s="597"/>
      <c r="L368" s="386"/>
      <c r="N368" s="387"/>
      <c r="O368" s="386"/>
      <c r="P368" s="386"/>
    </row>
    <row r="369" spans="1:16">
      <c r="A369" s="544" t="s">
        <v>1239</v>
      </c>
      <c r="B369" s="597" t="s">
        <v>1240</v>
      </c>
      <c r="C369" s="597"/>
      <c r="D369" s="597"/>
      <c r="E369" s="597"/>
      <c r="F369" s="597"/>
      <c r="G369" s="597"/>
      <c r="H369" s="597"/>
      <c r="I369" s="597"/>
      <c r="J369" s="597"/>
      <c r="K369" s="597"/>
      <c r="L369" s="386"/>
      <c r="N369" s="387"/>
      <c r="O369" s="386"/>
      <c r="P369" s="386"/>
    </row>
    <row r="370" spans="1:16">
      <c r="A370" s="544" t="s">
        <v>1241</v>
      </c>
      <c r="B370" s="407" t="s">
        <v>1242</v>
      </c>
      <c r="C370" s="546"/>
      <c r="D370" s="546"/>
      <c r="E370" s="546"/>
      <c r="F370" s="546"/>
      <c r="G370" s="546"/>
      <c r="H370" s="546"/>
      <c r="I370" s="546"/>
      <c r="J370" s="546"/>
      <c r="K370" s="546"/>
      <c r="L370" s="386"/>
      <c r="N370" s="387"/>
      <c r="O370" s="386"/>
      <c r="P370" s="386"/>
    </row>
    <row r="371" spans="1:16">
      <c r="A371" s="544"/>
      <c r="B371" s="407"/>
      <c r="C371" s="546"/>
      <c r="D371" s="546"/>
      <c r="E371" s="546"/>
      <c r="F371" s="546"/>
      <c r="G371" s="546"/>
      <c r="H371" s="546"/>
      <c r="I371" s="546"/>
      <c r="J371" s="546"/>
      <c r="K371" s="546"/>
      <c r="L371" s="386"/>
      <c r="N371" s="387"/>
      <c r="O371" s="386"/>
      <c r="P371" s="386"/>
    </row>
    <row r="372" spans="1:16">
      <c r="A372" s="544"/>
      <c r="B372" s="547"/>
      <c r="C372" s="542"/>
      <c r="D372" s="542"/>
      <c r="E372" s="542"/>
      <c r="F372" s="542"/>
      <c r="G372" s="542"/>
      <c r="H372" s="542"/>
      <c r="I372" s="542"/>
      <c r="J372" s="542"/>
      <c r="K372" s="542"/>
      <c r="L372" s="386"/>
      <c r="N372" s="387"/>
      <c r="O372" s="386"/>
      <c r="P372" s="386"/>
    </row>
    <row r="373" spans="1:16">
      <c r="B373" s="386"/>
      <c r="C373" s="386"/>
      <c r="D373" s="386"/>
      <c r="E373" s="386"/>
      <c r="F373" s="386"/>
      <c r="G373" s="386"/>
      <c r="H373" s="386"/>
      <c r="I373" s="440"/>
      <c r="J373" s="383"/>
      <c r="K373" s="477"/>
      <c r="L373" s="386"/>
      <c r="N373" s="387"/>
      <c r="O373" s="386"/>
      <c r="P373" s="386"/>
    </row>
    <row r="374" spans="1:16">
      <c r="B374" s="407"/>
      <c r="C374" s="386"/>
      <c r="D374" s="386"/>
      <c r="E374" s="386"/>
      <c r="F374" s="386"/>
      <c r="G374" s="386"/>
      <c r="H374" s="386"/>
      <c r="I374" s="440"/>
      <c r="J374" s="386"/>
      <c r="K374" s="388"/>
      <c r="L374" s="386"/>
      <c r="N374" s="383"/>
      <c r="O374" s="386"/>
      <c r="P374" s="386"/>
    </row>
    <row r="375" spans="1:16">
      <c r="A375" s="387"/>
      <c r="B375" s="383"/>
      <c r="C375" s="383"/>
      <c r="D375" s="383"/>
      <c r="E375" s="383"/>
      <c r="F375" s="383"/>
      <c r="G375" s="383"/>
      <c r="H375" s="383"/>
      <c r="I375" s="383"/>
      <c r="J375" s="383"/>
      <c r="K375" s="383"/>
      <c r="L375" s="386"/>
      <c r="N375" s="387"/>
      <c r="O375" s="386"/>
      <c r="P375" s="386"/>
    </row>
    <row r="376" spans="1:16">
      <c r="A376" s="387"/>
      <c r="B376" s="383"/>
      <c r="C376" s="383"/>
      <c r="D376" s="383"/>
      <c r="E376" s="383"/>
      <c r="F376" s="383"/>
      <c r="G376" s="383"/>
      <c r="H376" s="383"/>
      <c r="I376" s="383"/>
      <c r="J376" s="383"/>
      <c r="K376" s="383"/>
      <c r="L376" s="386"/>
      <c r="N376" s="386"/>
      <c r="O376" s="386"/>
    </row>
    <row r="377" spans="1:16">
      <c r="A377" s="387"/>
      <c r="B377" s="383"/>
      <c r="C377" s="383"/>
      <c r="D377" s="383"/>
      <c r="E377" s="383"/>
      <c r="F377" s="383"/>
      <c r="G377" s="383"/>
      <c r="H377" s="383"/>
      <c r="I377" s="383"/>
      <c r="J377" s="383"/>
      <c r="K377" s="383"/>
      <c r="N377" s="387"/>
      <c r="O377" s="386"/>
      <c r="P377" s="386"/>
    </row>
    <row r="378" spans="1:16">
      <c r="A378" s="387"/>
      <c r="B378" s="383"/>
      <c r="C378" s="383"/>
      <c r="D378" s="383"/>
      <c r="E378" s="383"/>
      <c r="F378" s="383"/>
      <c r="G378" s="383"/>
      <c r="H378" s="383"/>
      <c r="I378" s="383"/>
      <c r="J378" s="383"/>
      <c r="K378" s="383"/>
      <c r="N378" s="387"/>
      <c r="O378" s="386"/>
      <c r="P378" s="386"/>
    </row>
    <row r="379" spans="1:16">
      <c r="A379" s="387"/>
      <c r="B379" s="383"/>
      <c r="C379" s="383"/>
      <c r="D379" s="383"/>
      <c r="E379" s="383"/>
      <c r="F379" s="383"/>
      <c r="G379" s="383"/>
      <c r="H379" s="383"/>
      <c r="I379" s="383"/>
      <c r="J379" s="383"/>
      <c r="K379" s="383"/>
      <c r="N379" s="387"/>
      <c r="O379" s="386"/>
      <c r="P379" s="386"/>
    </row>
    <row r="380" spans="1:16">
      <c r="A380" s="387"/>
      <c r="B380" s="383"/>
      <c r="C380" s="383"/>
      <c r="D380" s="383"/>
      <c r="E380" s="383"/>
      <c r="F380" s="383"/>
      <c r="G380" s="383"/>
      <c r="H380" s="383"/>
      <c r="I380" s="383"/>
      <c r="J380" s="383"/>
      <c r="K380" s="383"/>
      <c r="N380" s="387"/>
      <c r="O380" s="386"/>
      <c r="P380" s="386"/>
    </row>
    <row r="381" spans="1:16">
      <c r="A381" s="387"/>
      <c r="B381" s="383"/>
      <c r="C381" s="383"/>
      <c r="D381" s="383"/>
      <c r="E381" s="383"/>
      <c r="F381" s="383"/>
      <c r="G381" s="383"/>
      <c r="H381" s="383"/>
      <c r="I381" s="383"/>
      <c r="J381" s="383"/>
      <c r="K381" s="383"/>
      <c r="N381" s="387"/>
      <c r="O381" s="386"/>
      <c r="P381" s="386"/>
    </row>
    <row r="382" spans="1:16">
      <c r="A382" s="387"/>
      <c r="B382" s="383"/>
      <c r="C382" s="383"/>
      <c r="D382" s="383"/>
      <c r="E382" s="383"/>
      <c r="F382" s="383"/>
      <c r="G382" s="383"/>
      <c r="H382" s="383"/>
      <c r="I382" s="383"/>
      <c r="J382" s="383"/>
      <c r="K382" s="383"/>
      <c r="N382" s="387"/>
      <c r="O382" s="386"/>
      <c r="P382" s="386"/>
    </row>
    <row r="383" spans="1:16">
      <c r="A383" s="387"/>
      <c r="B383" s="383"/>
      <c r="C383" s="383"/>
      <c r="D383" s="383"/>
      <c r="E383" s="383"/>
      <c r="F383" s="383"/>
      <c r="G383" s="383"/>
      <c r="H383" s="383"/>
      <c r="I383" s="383"/>
      <c r="J383" s="383"/>
      <c r="K383" s="383"/>
      <c r="N383" s="387"/>
      <c r="O383" s="386"/>
      <c r="P383" s="386"/>
    </row>
    <row r="384" spans="1:16">
      <c r="A384" s="387"/>
      <c r="B384" s="383"/>
      <c r="C384" s="383"/>
      <c r="D384" s="383"/>
      <c r="E384" s="383"/>
      <c r="F384" s="383"/>
      <c r="G384" s="383"/>
      <c r="H384" s="383"/>
      <c r="I384" s="383"/>
      <c r="J384" s="383"/>
      <c r="K384" s="383"/>
      <c r="N384" s="387"/>
      <c r="O384" s="386"/>
      <c r="P384" s="386"/>
    </row>
    <row r="385" spans="1:16">
      <c r="A385" s="387"/>
      <c r="B385" s="383"/>
      <c r="C385" s="383"/>
      <c r="D385" s="383"/>
      <c r="E385" s="383"/>
      <c r="F385" s="383"/>
      <c r="G385" s="383"/>
      <c r="H385" s="383"/>
      <c r="I385" s="383"/>
      <c r="J385" s="383"/>
      <c r="K385" s="383"/>
      <c r="N385" s="387"/>
      <c r="O385" s="386"/>
      <c r="P385" s="386"/>
    </row>
    <row r="386" spans="1:16">
      <c r="A386" s="387"/>
      <c r="B386" s="383"/>
      <c r="C386" s="383"/>
      <c r="D386" s="383"/>
      <c r="E386" s="383"/>
      <c r="F386" s="383"/>
      <c r="G386" s="383"/>
      <c r="H386" s="383"/>
      <c r="I386" s="383"/>
      <c r="J386" s="383"/>
      <c r="K386" s="383"/>
      <c r="N386" s="387"/>
      <c r="O386" s="386"/>
      <c r="P386" s="386"/>
    </row>
    <row r="387" spans="1:16">
      <c r="A387" s="387"/>
      <c r="B387" s="383"/>
      <c r="C387" s="383"/>
      <c r="D387" s="383"/>
      <c r="E387" s="383"/>
      <c r="F387" s="383"/>
      <c r="G387" s="383"/>
      <c r="H387" s="383"/>
      <c r="I387" s="383"/>
      <c r="J387" s="383"/>
      <c r="K387" s="383"/>
      <c r="N387" s="387"/>
      <c r="O387" s="386"/>
      <c r="P387" s="386"/>
    </row>
    <row r="388" spans="1:16">
      <c r="A388" s="387"/>
      <c r="B388" s="383"/>
      <c r="C388" s="383"/>
      <c r="D388" s="383"/>
      <c r="E388" s="383"/>
      <c r="F388" s="383"/>
      <c r="G388" s="383"/>
      <c r="H388" s="383"/>
      <c r="I388" s="383"/>
      <c r="J388" s="383"/>
      <c r="K388" s="383"/>
      <c r="N388" s="387"/>
      <c r="O388" s="386"/>
      <c r="P388" s="386"/>
    </row>
    <row r="389" spans="1:16">
      <c r="A389" s="387"/>
      <c r="B389" s="383"/>
      <c r="C389" s="383"/>
      <c r="D389" s="383"/>
      <c r="E389" s="383"/>
      <c r="F389" s="383"/>
      <c r="G389" s="383"/>
      <c r="H389" s="383"/>
      <c r="I389" s="383"/>
      <c r="J389" s="383"/>
      <c r="K389" s="383"/>
      <c r="N389" s="387"/>
      <c r="O389" s="386"/>
      <c r="P389" s="386"/>
    </row>
    <row r="390" spans="1:16">
      <c r="A390" s="387"/>
      <c r="B390" s="383"/>
      <c r="C390" s="383"/>
      <c r="D390" s="383"/>
      <c r="E390" s="383"/>
      <c r="F390" s="383"/>
      <c r="G390" s="383"/>
      <c r="H390" s="383"/>
      <c r="I390" s="383"/>
      <c r="J390" s="383"/>
      <c r="K390" s="383"/>
      <c r="N390" s="387"/>
      <c r="O390" s="386"/>
      <c r="P390" s="386"/>
    </row>
    <row r="391" spans="1:16">
      <c r="A391" s="387"/>
      <c r="B391" s="383"/>
      <c r="C391" s="383"/>
      <c r="D391" s="383"/>
      <c r="E391" s="383"/>
      <c r="F391" s="383"/>
      <c r="G391" s="383"/>
      <c r="H391" s="383"/>
      <c r="I391" s="383"/>
      <c r="J391" s="383"/>
      <c r="K391" s="383"/>
      <c r="N391" s="387"/>
      <c r="O391" s="386"/>
      <c r="P391" s="386"/>
    </row>
    <row r="392" spans="1:16">
      <c r="B392" s="386"/>
      <c r="C392" s="386"/>
      <c r="D392" s="386"/>
      <c r="E392" s="386"/>
      <c r="F392" s="386"/>
      <c r="G392" s="386"/>
      <c r="H392" s="386"/>
      <c r="I392" s="386"/>
      <c r="J392" s="383"/>
      <c r="K392" s="383"/>
      <c r="N392" s="387"/>
      <c r="O392" s="386"/>
      <c r="P392" s="386"/>
    </row>
    <row r="393" spans="1:16">
      <c r="B393" s="386"/>
      <c r="C393" s="386"/>
      <c r="D393" s="386"/>
      <c r="E393" s="386"/>
      <c r="F393" s="386"/>
      <c r="G393" s="386"/>
      <c r="H393" s="386"/>
      <c r="I393" s="386"/>
      <c r="J393" s="386"/>
      <c r="K393" s="386"/>
      <c r="N393" s="387"/>
      <c r="O393" s="386"/>
      <c r="P393" s="386"/>
    </row>
    <row r="394" spans="1:16">
      <c r="B394" s="386"/>
      <c r="C394" s="386"/>
      <c r="D394" s="386"/>
      <c r="E394" s="386"/>
      <c r="F394" s="386"/>
      <c r="G394" s="386"/>
      <c r="H394" s="386"/>
      <c r="I394" s="386"/>
      <c r="J394" s="386"/>
      <c r="K394" s="386"/>
      <c r="N394" s="387"/>
      <c r="O394" s="386"/>
      <c r="P394" s="386"/>
    </row>
    <row r="395" spans="1:16">
      <c r="B395" s="386"/>
      <c r="C395" s="386"/>
      <c r="D395" s="386"/>
      <c r="E395" s="386"/>
      <c r="F395" s="386"/>
      <c r="G395" s="386"/>
      <c r="H395" s="386"/>
      <c r="I395" s="386"/>
      <c r="J395" s="386"/>
      <c r="K395" s="386"/>
      <c r="N395" s="386"/>
      <c r="O395" s="386"/>
      <c r="P395" s="386"/>
    </row>
    <row r="396" spans="1:16">
      <c r="B396" s="386"/>
      <c r="C396" s="386"/>
      <c r="D396" s="386"/>
      <c r="E396" s="386"/>
      <c r="F396" s="386"/>
      <c r="G396" s="386"/>
      <c r="H396" s="386"/>
      <c r="I396" s="386"/>
      <c r="J396" s="386"/>
      <c r="K396" s="386"/>
      <c r="N396" s="386"/>
      <c r="O396" s="386"/>
      <c r="P396" s="386"/>
    </row>
    <row r="397" spans="1:16">
      <c r="B397" s="386"/>
      <c r="C397" s="386"/>
      <c r="D397" s="386"/>
      <c r="E397" s="386"/>
      <c r="F397" s="386"/>
      <c r="G397" s="386"/>
      <c r="H397" s="386"/>
      <c r="I397" s="386"/>
      <c r="J397" s="386"/>
      <c r="K397" s="386"/>
      <c r="N397" s="386"/>
      <c r="O397" s="386"/>
      <c r="P397" s="386"/>
    </row>
    <row r="398" spans="1:16">
      <c r="B398" s="386"/>
      <c r="C398" s="386"/>
      <c r="D398" s="386"/>
      <c r="E398" s="386"/>
      <c r="F398" s="386"/>
      <c r="G398" s="386"/>
      <c r="H398" s="386"/>
      <c r="I398" s="386"/>
      <c r="J398" s="386"/>
      <c r="K398" s="386"/>
      <c r="N398" s="386"/>
      <c r="O398" s="386"/>
      <c r="P398" s="386"/>
    </row>
    <row r="399" spans="1:16">
      <c r="B399" s="386"/>
      <c r="C399" s="386"/>
      <c r="D399" s="386"/>
      <c r="E399" s="386"/>
      <c r="F399" s="386"/>
      <c r="G399" s="386"/>
      <c r="H399" s="386"/>
      <c r="I399" s="386"/>
      <c r="J399" s="386"/>
      <c r="K399" s="386"/>
      <c r="N399" s="386"/>
      <c r="O399" s="386"/>
      <c r="P399" s="386"/>
    </row>
    <row r="400" spans="1:16">
      <c r="B400" s="386"/>
      <c r="C400" s="386"/>
      <c r="D400" s="386"/>
      <c r="E400" s="386"/>
      <c r="F400" s="386"/>
      <c r="G400" s="386"/>
      <c r="H400" s="386"/>
      <c r="I400" s="386"/>
      <c r="J400" s="386"/>
      <c r="K400" s="386"/>
      <c r="N400" s="386"/>
      <c r="O400" s="386"/>
      <c r="P400" s="386"/>
    </row>
    <row r="401" spans="10:16">
      <c r="J401" s="386"/>
      <c r="K401" s="386"/>
      <c r="N401" s="386"/>
      <c r="O401" s="386"/>
      <c r="P401" s="386"/>
    </row>
    <row r="402" spans="10:16">
      <c r="N402" s="386"/>
      <c r="O402" s="386"/>
      <c r="P402" s="386"/>
    </row>
    <row r="403" spans="10:16">
      <c r="N403" s="386"/>
      <c r="O403" s="386"/>
      <c r="P403" s="386"/>
    </row>
  </sheetData>
  <mergeCells count="37">
    <mergeCell ref="N35:O35"/>
    <mergeCell ref="A157:K157"/>
    <mergeCell ref="A238:K239"/>
    <mergeCell ref="C325:D325"/>
    <mergeCell ref="B333:K333"/>
    <mergeCell ref="L257:Q257"/>
    <mergeCell ref="B334:K334"/>
    <mergeCell ref="B335:K335"/>
    <mergeCell ref="B336:K336"/>
    <mergeCell ref="B337:K337"/>
    <mergeCell ref="B338:K338"/>
    <mergeCell ref="B339:K339"/>
    <mergeCell ref="B340:K340"/>
    <mergeCell ref="B341:K341"/>
    <mergeCell ref="B342:K342"/>
    <mergeCell ref="B343:K343"/>
    <mergeCell ref="E345:K345"/>
    <mergeCell ref="E346:K346"/>
    <mergeCell ref="B347:K347"/>
    <mergeCell ref="B348:K348"/>
    <mergeCell ref="B349:K349"/>
    <mergeCell ref="B350:K350"/>
    <mergeCell ref="B351:K351"/>
    <mergeCell ref="B352:K352"/>
    <mergeCell ref="B353:K353"/>
    <mergeCell ref="B354:K354"/>
    <mergeCell ref="B355:K355"/>
    <mergeCell ref="B356:K356"/>
    <mergeCell ref="B357:K357"/>
    <mergeCell ref="B358:K358"/>
    <mergeCell ref="B359:K359"/>
    <mergeCell ref="B369:K369"/>
    <mergeCell ref="B360:K361"/>
    <mergeCell ref="B362:K363"/>
    <mergeCell ref="B366:K366"/>
    <mergeCell ref="B367:K367"/>
    <mergeCell ref="B368:K368"/>
  </mergeCells>
  <phoneticPr fontId="0" type="noConversion"/>
  <pageMargins left="0.75" right="0.75" top="1" bottom="0.75" header="0.09" footer="0.5"/>
  <pageSetup scale="53" fitToHeight="5" orientation="portrait" r:id="rId1"/>
  <headerFooter alignWithMargins="0"/>
  <rowBreaks count="2" manualBreakCount="2">
    <brk id="74" max="12" man="1"/>
    <brk id="15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C15" sqref="C15"/>
    </sheetView>
  </sheetViews>
  <sheetFormatPr defaultColWidth="8.90625" defaultRowHeight="13.2"/>
  <cols>
    <col min="1" max="1" width="29.36328125" style="15" bestFit="1" customWidth="1"/>
    <col min="2" max="2" width="7.6328125" style="15" bestFit="1" customWidth="1"/>
    <col min="3" max="3" width="7.453125" style="15" bestFit="1" customWidth="1"/>
    <col min="4" max="6" width="8.90625" style="15"/>
    <col min="7" max="16384" width="8.90625" style="13"/>
  </cols>
  <sheetData>
    <row r="1" spans="1:6" s="207" customFormat="1" ht="16.8">
      <c r="A1" s="238"/>
      <c r="B1" s="238"/>
      <c r="C1" s="238"/>
      <c r="D1" s="206"/>
      <c r="E1" s="206"/>
      <c r="F1" s="206"/>
    </row>
    <row r="2" spans="1:6" s="208" customFormat="1" ht="16.8">
      <c r="A2" s="14" t="s">
        <v>571</v>
      </c>
      <c r="B2" s="14" t="s">
        <v>571</v>
      </c>
      <c r="C2" s="14" t="s">
        <v>572</v>
      </c>
      <c r="D2" s="17"/>
      <c r="E2" s="17"/>
      <c r="F2" s="17"/>
    </row>
    <row r="3" spans="1:6" s="208" customFormat="1" ht="16.8">
      <c r="A3" s="14" t="s">
        <v>687</v>
      </c>
      <c r="B3" s="14"/>
      <c r="C3" s="14"/>
      <c r="D3" s="17"/>
      <c r="E3" s="17"/>
      <c r="F3" s="17"/>
    </row>
    <row r="4" spans="1:6">
      <c r="A4" s="15" t="s">
        <v>573</v>
      </c>
      <c r="B4" s="17" t="s">
        <v>1263</v>
      </c>
      <c r="C4" s="57">
        <v>9823.2199999999993</v>
      </c>
    </row>
    <row r="5" spans="1:6" ht="14.4">
      <c r="A5" s="15" t="s">
        <v>574</v>
      </c>
      <c r="B5" s="17" t="s">
        <v>1264</v>
      </c>
      <c r="C5" s="211">
        <v>217182.47</v>
      </c>
    </row>
    <row r="6" spans="1:6">
      <c r="B6" s="17"/>
      <c r="C6" s="210"/>
    </row>
    <row r="7" spans="1:6" ht="14.4">
      <c r="B7" s="17"/>
      <c r="C7" s="116">
        <f>SUM(C4:C6)</f>
        <v>227005.69</v>
      </c>
    </row>
    <row r="8" spans="1:6" ht="15" customHeight="1">
      <c r="A8" s="618" t="s">
        <v>1050</v>
      </c>
      <c r="B8" s="618"/>
      <c r="C8" s="618"/>
      <c r="D8" s="618"/>
    </row>
    <row r="9" spans="1:6" ht="15" customHeight="1">
      <c r="A9" s="618"/>
      <c r="B9" s="618"/>
      <c r="C9" s="618"/>
      <c r="D9" s="618"/>
    </row>
    <row r="10" spans="1:6" ht="15" customHeight="1">
      <c r="A10" s="618"/>
      <c r="B10" s="618"/>
      <c r="C10" s="618"/>
      <c r="D10" s="618"/>
    </row>
    <row r="11" spans="1:6" ht="15" customHeight="1">
      <c r="B11" s="17"/>
      <c r="C11" s="116"/>
    </row>
    <row r="12" spans="1:6" ht="14.4">
      <c r="B12" s="17"/>
      <c r="C12" s="116"/>
    </row>
    <row r="13" spans="1:6" ht="16.8">
      <c r="A13" s="14" t="s">
        <v>689</v>
      </c>
      <c r="B13" s="17"/>
      <c r="C13" s="210"/>
    </row>
    <row r="14" spans="1:6">
      <c r="A14" s="15" t="s">
        <v>575</v>
      </c>
      <c r="B14" s="17" t="s">
        <v>1265</v>
      </c>
      <c r="C14" s="57">
        <f>77752+206008</f>
        <v>283760</v>
      </c>
    </row>
    <row r="15" spans="1:6" ht="14.4">
      <c r="A15" s="15" t="s">
        <v>576</v>
      </c>
      <c r="B15" s="17">
        <v>561.70000000000005</v>
      </c>
      <c r="C15" s="211"/>
      <c r="D15" s="17"/>
    </row>
    <row r="16" spans="1:6">
      <c r="C16" s="210"/>
    </row>
    <row r="17" spans="1:3" ht="14.4">
      <c r="C17" s="116">
        <f>SUM(C14:C16)</f>
        <v>283760</v>
      </c>
    </row>
    <row r="18" spans="1:3">
      <c r="C18" s="210"/>
    </row>
    <row r="19" spans="1:3">
      <c r="A19" s="238"/>
      <c r="B19" s="238"/>
      <c r="C19" s="238"/>
    </row>
    <row r="20" spans="1:3">
      <c r="C20" s="210"/>
    </row>
    <row r="21" spans="1:3">
      <c r="C21" s="210"/>
    </row>
    <row r="22" spans="1:3">
      <c r="C22" s="210"/>
    </row>
    <row r="23" spans="1:3">
      <c r="C23" s="210"/>
    </row>
    <row r="24" spans="1:3">
      <c r="C24" s="210"/>
    </row>
  </sheetData>
  <mergeCells count="1">
    <mergeCell ref="A8:D10"/>
  </mergeCells>
  <printOptions horizontalCentered="1" verticalCentered="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7"/>
  <sheetViews>
    <sheetView showGridLines="0" topLeftCell="A31" workbookViewId="0">
      <selection activeCell="B65" sqref="B65:B68"/>
    </sheetView>
  </sheetViews>
  <sheetFormatPr defaultColWidth="6.1796875" defaultRowHeight="13.2"/>
  <cols>
    <col min="1" max="1" width="28" style="55" bestFit="1" customWidth="1"/>
    <col min="2" max="2" width="14.1796875" style="56" bestFit="1" customWidth="1"/>
    <col min="3" max="3" width="8.54296875" style="56" customWidth="1"/>
    <col min="4" max="4" width="10.81640625" style="55" bestFit="1" customWidth="1"/>
    <col min="5" max="5" width="8.54296875" style="55" bestFit="1" customWidth="1"/>
    <col min="6" max="6" width="4.6328125" style="56" customWidth="1"/>
    <col min="7" max="7" width="23.90625" style="57" bestFit="1" customWidth="1"/>
    <col min="8" max="8" width="12.36328125" style="56" bestFit="1" customWidth="1"/>
    <col min="9" max="9" width="10.36328125" style="58" bestFit="1" customWidth="1"/>
    <col min="10" max="11" width="8.54296875" style="55" customWidth="1"/>
    <col min="12" max="12" width="9.453125" style="59" customWidth="1"/>
    <col min="13" max="13" width="16.36328125" style="55" customWidth="1"/>
    <col min="14" max="14" width="26.36328125" style="55" bestFit="1" customWidth="1"/>
    <col min="15" max="17" width="7.453125" style="55" customWidth="1"/>
    <col min="18" max="18" width="10.08984375" style="13" customWidth="1"/>
    <col min="19" max="19" width="6" style="13" customWidth="1"/>
    <col min="20" max="20" width="5.1796875" style="13" customWidth="1"/>
    <col min="21" max="21" width="1.90625" style="13" customWidth="1"/>
    <col min="22" max="22" width="14.453125" style="13" customWidth="1"/>
    <col min="23" max="16384" width="6.1796875" style="55"/>
  </cols>
  <sheetData>
    <row r="1" spans="1:22">
      <c r="A1" s="53"/>
      <c r="B1" s="619" t="s">
        <v>1252</v>
      </c>
      <c r="C1" s="619"/>
      <c r="D1" s="619"/>
      <c r="E1" s="619"/>
      <c r="F1" s="619"/>
      <c r="G1" s="619"/>
      <c r="H1" s="619"/>
      <c r="I1" s="619"/>
      <c r="J1" s="59"/>
      <c r="L1" s="55"/>
      <c r="Q1" s="15"/>
      <c r="R1" s="15"/>
      <c r="S1" s="15"/>
      <c r="T1" s="15"/>
      <c r="U1" s="15"/>
      <c r="V1" s="55"/>
    </row>
    <row r="2" spans="1:22">
      <c r="B2" s="619">
        <f>Index!D4</f>
        <v>2012</v>
      </c>
      <c r="C2" s="619"/>
      <c r="D2" s="619"/>
      <c r="E2" s="619"/>
      <c r="F2" s="619"/>
      <c r="G2" s="619"/>
      <c r="H2" s="619"/>
      <c r="I2" s="619"/>
      <c r="J2" s="59"/>
      <c r="L2" s="55"/>
      <c r="Q2" s="15"/>
      <c r="R2" s="15"/>
      <c r="S2" s="15"/>
      <c r="T2" s="15"/>
      <c r="U2" s="15"/>
      <c r="V2" s="55"/>
    </row>
    <row r="3" spans="1:22" ht="11.4">
      <c r="A3" s="60" t="s">
        <v>328</v>
      </c>
      <c r="B3" s="54"/>
      <c r="C3" s="61"/>
      <c r="E3" s="57"/>
      <c r="F3" s="62"/>
      <c r="G3" s="55"/>
      <c r="J3" s="59"/>
      <c r="L3" s="55"/>
      <c r="Q3" s="63"/>
      <c r="R3" s="15"/>
      <c r="S3" s="15"/>
      <c r="T3" s="15"/>
      <c r="U3" s="15"/>
      <c r="V3" s="55"/>
    </row>
    <row r="4" spans="1:22">
      <c r="A4" s="64" t="s">
        <v>329</v>
      </c>
      <c r="B4" s="17" t="s">
        <v>330</v>
      </c>
      <c r="C4" s="85">
        <v>12417.420000000002</v>
      </c>
      <c r="E4" s="66"/>
      <c r="F4" s="67"/>
      <c r="G4" s="68" t="s">
        <v>331</v>
      </c>
      <c r="H4" s="54"/>
      <c r="I4" s="549"/>
      <c r="J4" s="57"/>
      <c r="K4" s="62"/>
      <c r="L4" s="55"/>
      <c r="M4" s="63"/>
      <c r="N4" s="15"/>
      <c r="Q4" s="15"/>
      <c r="R4" s="15"/>
      <c r="S4" s="15"/>
      <c r="T4" s="15"/>
      <c r="V4" s="55"/>
    </row>
    <row r="5" spans="1:22">
      <c r="A5" s="64" t="s">
        <v>329</v>
      </c>
      <c r="B5" s="548" t="s">
        <v>455</v>
      </c>
      <c r="C5" s="374">
        <v>0</v>
      </c>
      <c r="E5" s="57"/>
      <c r="F5" s="69"/>
      <c r="G5" s="53" t="s">
        <v>334</v>
      </c>
      <c r="H5" s="54" t="s">
        <v>335</v>
      </c>
      <c r="I5" s="70">
        <v>416591.96</v>
      </c>
      <c r="J5" s="66"/>
      <c r="K5" s="71"/>
      <c r="L5" s="55"/>
      <c r="Q5" s="15"/>
      <c r="R5" s="15"/>
      <c r="S5" s="15"/>
      <c r="T5" s="15"/>
      <c r="V5" s="55"/>
    </row>
    <row r="6" spans="1:22">
      <c r="A6" s="64" t="s">
        <v>332</v>
      </c>
      <c r="B6" s="17" t="s">
        <v>333</v>
      </c>
      <c r="C6" s="551">
        <v>24990.28</v>
      </c>
      <c r="E6" s="57"/>
      <c r="F6" s="72"/>
      <c r="G6" s="15" t="s">
        <v>338</v>
      </c>
      <c r="H6" s="17" t="s">
        <v>339</v>
      </c>
      <c r="I6" s="70">
        <v>18398.640000000003</v>
      </c>
      <c r="J6" s="66"/>
      <c r="K6" s="71"/>
      <c r="L6" s="55"/>
      <c r="Q6" s="15"/>
      <c r="R6" s="15"/>
      <c r="S6" s="15"/>
      <c r="T6" s="15"/>
      <c r="V6" s="55"/>
    </row>
    <row r="7" spans="1:22">
      <c r="A7" s="64" t="s">
        <v>336</v>
      </c>
      <c r="B7" s="17" t="s">
        <v>337</v>
      </c>
      <c r="C7" s="551">
        <v>119404.89000000001</v>
      </c>
      <c r="E7" s="57"/>
      <c r="F7" s="62"/>
      <c r="G7" s="15" t="s">
        <v>342</v>
      </c>
      <c r="H7" s="17" t="s">
        <v>343</v>
      </c>
      <c r="I7" s="550"/>
      <c r="J7" s="66"/>
      <c r="K7" s="71"/>
      <c r="L7" s="55"/>
      <c r="M7" s="15"/>
      <c r="Q7" s="15"/>
      <c r="R7" s="15"/>
      <c r="S7" s="15"/>
      <c r="T7" s="15"/>
      <c r="V7" s="55"/>
    </row>
    <row r="8" spans="1:22">
      <c r="A8" s="64" t="s">
        <v>340</v>
      </c>
      <c r="B8" s="17" t="s">
        <v>341</v>
      </c>
      <c r="C8" s="551">
        <v>9749.5599999999977</v>
      </c>
      <c r="E8" s="57"/>
      <c r="F8" s="62"/>
      <c r="G8" s="53" t="s">
        <v>346</v>
      </c>
      <c r="H8" s="17" t="s">
        <v>347</v>
      </c>
      <c r="I8" s="70">
        <v>74922.78</v>
      </c>
      <c r="J8" s="66"/>
      <c r="K8" s="73"/>
      <c r="L8" s="55"/>
      <c r="M8" s="15"/>
      <c r="Q8" s="15"/>
      <c r="R8" s="15"/>
      <c r="S8" s="15"/>
      <c r="T8" s="15"/>
      <c r="V8" s="55"/>
    </row>
    <row r="9" spans="1:22">
      <c r="A9" s="64" t="s">
        <v>344</v>
      </c>
      <c r="B9" s="17" t="s">
        <v>345</v>
      </c>
      <c r="C9" s="551">
        <v>15283.62</v>
      </c>
      <c r="E9" s="57"/>
      <c r="F9" s="62"/>
      <c r="G9" s="53" t="s">
        <v>349</v>
      </c>
      <c r="H9" s="17" t="s">
        <v>350</v>
      </c>
      <c r="I9" s="70">
        <v>60141.49</v>
      </c>
      <c r="J9" s="66"/>
      <c r="K9" s="73"/>
      <c r="L9" s="55"/>
      <c r="M9" s="15"/>
      <c r="Q9" s="15"/>
      <c r="R9" s="15"/>
      <c r="S9" s="15"/>
      <c r="T9" s="15"/>
      <c r="V9" s="55"/>
    </row>
    <row r="10" spans="1:22">
      <c r="A10" s="64" t="s">
        <v>348</v>
      </c>
      <c r="B10" s="17" t="s">
        <v>337</v>
      </c>
      <c r="C10" s="551">
        <v>44832.63</v>
      </c>
      <c r="E10" s="57"/>
      <c r="F10" s="62"/>
      <c r="G10" s="53" t="s">
        <v>353</v>
      </c>
      <c r="H10" s="17" t="s">
        <v>354</v>
      </c>
      <c r="I10" s="70">
        <v>93036.329999999987</v>
      </c>
      <c r="J10" s="66"/>
      <c r="K10" s="73"/>
      <c r="L10" s="55"/>
      <c r="M10" s="15"/>
      <c r="Q10" s="15"/>
      <c r="R10" s="15"/>
      <c r="S10" s="15"/>
      <c r="T10" s="15"/>
      <c r="V10" s="55"/>
    </row>
    <row r="11" spans="1:22">
      <c r="A11" s="64" t="s">
        <v>351</v>
      </c>
      <c r="B11" s="17" t="s">
        <v>352</v>
      </c>
      <c r="C11" s="551">
        <v>20576.29</v>
      </c>
      <c r="E11" s="57"/>
      <c r="F11" s="62"/>
      <c r="G11" s="53" t="s">
        <v>357</v>
      </c>
      <c r="H11" s="17" t="s">
        <v>358</v>
      </c>
      <c r="I11" s="70">
        <v>330509.65000000002</v>
      </c>
      <c r="K11" s="73"/>
      <c r="L11" s="55"/>
      <c r="M11" s="15"/>
      <c r="Q11" s="15"/>
      <c r="R11" s="15"/>
      <c r="S11" s="15"/>
      <c r="T11" s="15"/>
      <c r="V11" s="55"/>
    </row>
    <row r="12" spans="1:22">
      <c r="A12" s="64" t="s">
        <v>355</v>
      </c>
      <c r="B12" s="17" t="s">
        <v>356</v>
      </c>
      <c r="C12" s="551">
        <v>14549.83</v>
      </c>
      <c r="E12" s="57"/>
      <c r="F12" s="62"/>
      <c r="G12" s="53" t="s">
        <v>361</v>
      </c>
      <c r="H12" s="17" t="s">
        <v>362</v>
      </c>
      <c r="I12" s="70">
        <v>23405.45</v>
      </c>
      <c r="J12" s="57"/>
      <c r="K12" s="62"/>
      <c r="L12" s="55"/>
      <c r="M12" s="15"/>
      <c r="Q12" s="15"/>
      <c r="R12" s="15"/>
      <c r="S12" s="15"/>
      <c r="T12" s="15"/>
      <c r="V12" s="55"/>
    </row>
    <row r="13" spans="1:22" ht="12" customHeight="1">
      <c r="A13" s="64" t="s">
        <v>359</v>
      </c>
      <c r="B13" s="17" t="s">
        <v>360</v>
      </c>
      <c r="C13" s="551">
        <v>42842.89</v>
      </c>
      <c r="E13" s="57"/>
      <c r="F13" s="62"/>
      <c r="G13" s="53" t="s">
        <v>365</v>
      </c>
      <c r="H13" s="17" t="s">
        <v>366</v>
      </c>
      <c r="I13" s="75">
        <v>149298.31999999998</v>
      </c>
      <c r="J13" s="66"/>
      <c r="K13" s="73"/>
      <c r="L13" s="55"/>
      <c r="Q13" s="15"/>
      <c r="R13" s="15"/>
      <c r="S13" s="15"/>
      <c r="T13" s="15"/>
      <c r="V13" s="55"/>
    </row>
    <row r="14" spans="1:22" ht="12" customHeight="1">
      <c r="A14" s="64" t="s">
        <v>363</v>
      </c>
      <c r="B14" s="17" t="s">
        <v>364</v>
      </c>
      <c r="C14" s="551">
        <v>43448.55000000001</v>
      </c>
      <c r="E14" s="57"/>
      <c r="F14" s="62"/>
      <c r="G14" s="53" t="s">
        <v>369</v>
      </c>
      <c r="H14" s="17" t="s">
        <v>370</v>
      </c>
      <c r="I14" s="79">
        <v>83360.029999999984</v>
      </c>
      <c r="J14" s="76"/>
      <c r="K14" s="77"/>
      <c r="L14" s="55"/>
      <c r="M14" s="15"/>
      <c r="Q14" s="15"/>
      <c r="R14" s="15"/>
      <c r="S14" s="15"/>
      <c r="T14" s="15"/>
      <c r="V14" s="55"/>
    </row>
    <row r="15" spans="1:22" ht="12" customHeight="1">
      <c r="A15" s="64" t="s">
        <v>367</v>
      </c>
      <c r="B15" s="17" t="s">
        <v>368</v>
      </c>
      <c r="C15" s="551">
        <v>3443.23</v>
      </c>
      <c r="E15" s="57"/>
      <c r="F15" s="62"/>
      <c r="G15" s="53" t="s">
        <v>375</v>
      </c>
      <c r="H15" s="17" t="s">
        <v>376</v>
      </c>
      <c r="I15" s="79">
        <v>37557.33</v>
      </c>
      <c r="J15" s="76"/>
      <c r="K15" s="73"/>
      <c r="L15" s="55"/>
      <c r="O15" s="78"/>
      <c r="P15" s="78"/>
      <c r="Q15" s="15"/>
      <c r="R15" s="15"/>
      <c r="S15" s="15"/>
      <c r="T15" s="15"/>
      <c r="V15" s="55"/>
    </row>
    <row r="16" spans="1:22" ht="12" customHeight="1">
      <c r="A16" s="64" t="s">
        <v>371</v>
      </c>
      <c r="B16" s="17" t="s">
        <v>372</v>
      </c>
      <c r="C16" s="551">
        <v>0</v>
      </c>
      <c r="E16" s="57"/>
      <c r="F16" s="62"/>
      <c r="G16" s="53" t="s">
        <v>379</v>
      </c>
      <c r="H16" s="17" t="s">
        <v>380</v>
      </c>
      <c r="I16" s="79">
        <v>2779.8799999999997</v>
      </c>
      <c r="J16" s="77"/>
      <c r="K16" s="76"/>
      <c r="L16" s="55"/>
      <c r="O16" s="78"/>
      <c r="P16" s="78"/>
      <c r="Q16" s="15"/>
      <c r="R16" s="15"/>
      <c r="S16" s="15"/>
      <c r="T16" s="15"/>
      <c r="V16" s="55"/>
    </row>
    <row r="17" spans="1:22" ht="12" customHeight="1">
      <c r="A17" s="64" t="s">
        <v>373</v>
      </c>
      <c r="B17" s="17" t="s">
        <v>374</v>
      </c>
      <c r="C17" s="551">
        <v>53198.34</v>
      </c>
      <c r="E17" s="57"/>
      <c r="F17" s="62"/>
      <c r="G17" s="53" t="s">
        <v>383</v>
      </c>
      <c r="H17" s="17" t="s">
        <v>384</v>
      </c>
      <c r="I17" s="79">
        <v>109582.73000000001</v>
      </c>
      <c r="J17" s="77"/>
      <c r="K17" s="77"/>
      <c r="L17" s="55"/>
      <c r="M17" s="15"/>
      <c r="O17" s="78"/>
      <c r="P17" s="78"/>
      <c r="Q17" s="15"/>
      <c r="R17" s="15"/>
      <c r="S17" s="15"/>
      <c r="T17" s="15"/>
      <c r="V17" s="55"/>
    </row>
    <row r="18" spans="1:22">
      <c r="A18" s="64" t="s">
        <v>377</v>
      </c>
      <c r="B18" s="17" t="s">
        <v>378</v>
      </c>
      <c r="C18" s="551">
        <v>16120.98</v>
      </c>
      <c r="E18" s="57"/>
      <c r="F18" s="80"/>
      <c r="G18" s="15" t="s">
        <v>1101</v>
      </c>
      <c r="H18" s="17" t="s">
        <v>387</v>
      </c>
      <c r="I18" s="75">
        <v>913636.73999999987</v>
      </c>
      <c r="L18" s="55"/>
      <c r="M18" s="15"/>
      <c r="O18" s="78"/>
      <c r="P18" s="78"/>
      <c r="Q18" s="15"/>
      <c r="R18" s="15"/>
      <c r="S18" s="15"/>
      <c r="T18" s="15"/>
      <c r="V18" s="55"/>
    </row>
    <row r="19" spans="1:22">
      <c r="A19" s="64" t="s">
        <v>381</v>
      </c>
      <c r="B19" s="17" t="s">
        <v>382</v>
      </c>
      <c r="C19" s="551">
        <v>4714.7600000000011</v>
      </c>
      <c r="E19" s="57"/>
      <c r="F19" s="69"/>
      <c r="G19" s="15" t="s">
        <v>1102</v>
      </c>
      <c r="H19" s="17" t="s">
        <v>1103</v>
      </c>
      <c r="I19" s="87">
        <v>10846.279999999999</v>
      </c>
      <c r="J19" s="83"/>
      <c r="L19" s="55"/>
      <c r="M19" s="15"/>
      <c r="N19" s="15"/>
      <c r="O19" s="15"/>
      <c r="P19" s="15"/>
      <c r="Q19" s="13"/>
      <c r="R19" s="55"/>
      <c r="S19" s="55"/>
      <c r="T19" s="55"/>
      <c r="U19" s="55"/>
      <c r="V19" s="55"/>
    </row>
    <row r="20" spans="1:22">
      <c r="A20" s="64" t="s">
        <v>385</v>
      </c>
      <c r="B20" s="17" t="s">
        <v>386</v>
      </c>
      <c r="C20" s="551">
        <v>6763.3899999999994</v>
      </c>
      <c r="D20" s="81" t="s">
        <v>390</v>
      </c>
      <c r="E20" s="82">
        <f>SUM(C4:C20)</f>
        <v>432336.66000000003</v>
      </c>
      <c r="F20" s="67"/>
      <c r="G20" s="53"/>
      <c r="H20" s="54"/>
      <c r="J20" s="71"/>
      <c r="K20" s="83"/>
      <c r="L20" s="55"/>
      <c r="M20" s="15"/>
      <c r="N20" s="13"/>
      <c r="R20" s="55"/>
      <c r="S20" s="55"/>
      <c r="T20" s="55"/>
      <c r="U20" s="55"/>
      <c r="V20" s="55"/>
    </row>
    <row r="21" spans="1:22" ht="12" customHeight="1">
      <c r="A21" s="64" t="s">
        <v>388</v>
      </c>
      <c r="B21" s="17" t="s">
        <v>389</v>
      </c>
      <c r="C21" s="85">
        <v>120111.11</v>
      </c>
      <c r="E21" s="56"/>
      <c r="F21" s="86"/>
      <c r="G21" s="55"/>
      <c r="J21" s="66"/>
      <c r="K21" s="53"/>
      <c r="L21" s="55"/>
      <c r="M21" s="15"/>
      <c r="N21" s="13"/>
      <c r="R21" s="55"/>
      <c r="S21" s="55"/>
      <c r="T21" s="55"/>
      <c r="U21" s="55"/>
      <c r="V21" s="55"/>
    </row>
    <row r="22" spans="1:22" ht="12" customHeight="1">
      <c r="A22" s="60" t="s">
        <v>391</v>
      </c>
      <c r="B22" s="84"/>
      <c r="C22" s="85"/>
      <c r="D22" s="88"/>
      <c r="E22" s="57"/>
      <c r="F22" s="89"/>
      <c r="G22" s="90" t="s">
        <v>394</v>
      </c>
      <c r="H22" s="91" t="s">
        <v>395</v>
      </c>
      <c r="I22" s="74">
        <v>294291.13999999996</v>
      </c>
      <c r="J22" s="92"/>
      <c r="K22" s="73"/>
      <c r="L22" s="55"/>
      <c r="M22" s="63"/>
      <c r="N22" s="15"/>
      <c r="R22" s="55"/>
      <c r="S22" s="55"/>
      <c r="T22" s="55"/>
      <c r="U22" s="55"/>
      <c r="V22" s="55"/>
    </row>
    <row r="23" spans="1:22" ht="11.4">
      <c r="A23" s="64" t="s">
        <v>392</v>
      </c>
      <c r="B23" s="17" t="s">
        <v>393</v>
      </c>
      <c r="C23" s="85">
        <v>49943.48000000001</v>
      </c>
      <c r="D23" s="88"/>
      <c r="E23" s="57"/>
      <c r="F23" s="89"/>
      <c r="G23" s="90" t="s">
        <v>398</v>
      </c>
      <c r="H23" s="91" t="s">
        <v>399</v>
      </c>
      <c r="I23" s="74">
        <v>4219.5</v>
      </c>
      <c r="J23" s="92"/>
      <c r="K23" s="621" t="s">
        <v>1247</v>
      </c>
      <c r="L23" s="622"/>
      <c r="R23" s="55"/>
      <c r="S23" s="55"/>
      <c r="T23" s="55"/>
      <c r="U23" s="55"/>
      <c r="V23" s="55"/>
    </row>
    <row r="24" spans="1:22" ht="11.4">
      <c r="A24" s="64" t="s">
        <v>396</v>
      </c>
      <c r="B24" s="17" t="s">
        <v>397</v>
      </c>
      <c r="C24" s="85">
        <v>25692.26</v>
      </c>
      <c r="D24" s="88"/>
      <c r="E24" s="57"/>
      <c r="F24" s="62"/>
      <c r="G24" s="90" t="s">
        <v>402</v>
      </c>
      <c r="H24" s="91" t="s">
        <v>403</v>
      </c>
      <c r="I24" s="74">
        <v>238813.32000000007</v>
      </c>
      <c r="J24" s="92"/>
      <c r="K24" s="623"/>
      <c r="L24" s="624"/>
      <c r="R24" s="55"/>
      <c r="S24" s="55"/>
      <c r="T24" s="55"/>
      <c r="U24" s="55"/>
      <c r="V24" s="55"/>
    </row>
    <row r="25" spans="1:22" ht="11.4">
      <c r="A25" s="64" t="s">
        <v>400</v>
      </c>
      <c r="B25" s="17" t="s">
        <v>401</v>
      </c>
      <c r="C25" s="85">
        <v>18673.21</v>
      </c>
      <c r="D25" s="88"/>
      <c r="E25" s="57"/>
      <c r="F25" s="62"/>
      <c r="G25" s="90" t="s">
        <v>406</v>
      </c>
      <c r="H25" s="91" t="s">
        <v>407</v>
      </c>
      <c r="I25" s="74">
        <v>2225.3299999999995</v>
      </c>
      <c r="J25" s="92">
        <f>I22+I24+I26+I28+I30</f>
        <v>1172981.71</v>
      </c>
      <c r="K25" s="623"/>
      <c r="L25" s="624"/>
      <c r="R25" s="55"/>
      <c r="S25" s="55"/>
      <c r="T25" s="55"/>
      <c r="U25" s="55"/>
      <c r="V25" s="55"/>
    </row>
    <row r="26" spans="1:22">
      <c r="A26" s="64" t="s">
        <v>404</v>
      </c>
      <c r="B26" s="17" t="s">
        <v>405</v>
      </c>
      <c r="C26" s="85">
        <v>16142.029999999999</v>
      </c>
      <c r="D26" s="88"/>
      <c r="E26" s="57"/>
      <c r="F26" s="62"/>
      <c r="G26" s="90" t="s">
        <v>410</v>
      </c>
      <c r="H26" s="91" t="s">
        <v>411</v>
      </c>
      <c r="I26" s="79">
        <v>198619.74000000002</v>
      </c>
      <c r="J26" s="92">
        <f>SUM(I22:I31)</f>
        <v>1186051.7999999998</v>
      </c>
      <c r="K26" s="623"/>
      <c r="L26" s="624"/>
      <c r="M26" s="15"/>
      <c r="N26" s="13"/>
      <c r="R26" s="55"/>
      <c r="S26" s="55"/>
      <c r="T26" s="55"/>
      <c r="U26" s="55"/>
      <c r="V26" s="55"/>
    </row>
    <row r="27" spans="1:22">
      <c r="A27" s="64" t="s">
        <v>408</v>
      </c>
      <c r="B27" s="17" t="s">
        <v>409</v>
      </c>
      <c r="C27" s="85">
        <v>57500.630000000005</v>
      </c>
      <c r="E27" s="82"/>
      <c r="F27" s="55"/>
      <c r="G27" s="90" t="s">
        <v>414</v>
      </c>
      <c r="H27" s="91" t="s">
        <v>415</v>
      </c>
      <c r="I27" s="79">
        <v>2199.5199999999995</v>
      </c>
      <c r="J27" s="92"/>
      <c r="K27" s="623"/>
      <c r="L27" s="624"/>
      <c r="M27" s="15"/>
      <c r="N27" s="13"/>
      <c r="R27" s="55"/>
      <c r="S27" s="55"/>
      <c r="T27" s="55"/>
      <c r="U27" s="55"/>
      <c r="V27" s="55"/>
    </row>
    <row r="28" spans="1:22">
      <c r="A28" s="64" t="s">
        <v>412</v>
      </c>
      <c r="B28" s="17" t="s">
        <v>413</v>
      </c>
      <c r="C28" s="85">
        <v>3025.5800000000004</v>
      </c>
      <c r="D28" s="77"/>
      <c r="E28" s="56"/>
      <c r="F28" s="57"/>
      <c r="G28" s="90" t="s">
        <v>418</v>
      </c>
      <c r="H28" s="91" t="s">
        <v>419</v>
      </c>
      <c r="I28" s="79">
        <v>186966.52999999997</v>
      </c>
      <c r="J28" s="92"/>
      <c r="K28" s="623"/>
      <c r="L28" s="624"/>
      <c r="M28" s="63"/>
      <c r="N28" s="13"/>
      <c r="R28" s="55"/>
      <c r="S28" s="55"/>
      <c r="T28" s="55"/>
      <c r="U28" s="55"/>
      <c r="V28" s="55"/>
    </row>
    <row r="29" spans="1:22">
      <c r="A29" s="64" t="s">
        <v>416</v>
      </c>
      <c r="B29" s="17" t="s">
        <v>417</v>
      </c>
      <c r="C29" s="85">
        <v>427234.18</v>
      </c>
      <c r="D29" s="88"/>
      <c r="E29" s="82"/>
      <c r="F29" s="89"/>
      <c r="G29" s="90" t="s">
        <v>422</v>
      </c>
      <c r="H29" s="91" t="s">
        <v>423</v>
      </c>
      <c r="I29" s="79">
        <v>2199.5199999999995</v>
      </c>
      <c r="J29" s="92"/>
      <c r="K29" s="623"/>
      <c r="L29" s="624"/>
      <c r="Q29" s="13"/>
      <c r="R29" s="55"/>
      <c r="S29" s="55"/>
      <c r="T29" s="55"/>
      <c r="U29" s="55"/>
      <c r="V29" s="55"/>
    </row>
    <row r="30" spans="1:22">
      <c r="A30" s="64" t="s">
        <v>420</v>
      </c>
      <c r="B30" s="17" t="s">
        <v>421</v>
      </c>
      <c r="C30" s="85">
        <v>6182.57</v>
      </c>
      <c r="D30" s="88"/>
      <c r="E30" s="57"/>
      <c r="F30" s="89"/>
      <c r="G30" s="90" t="s">
        <v>426</v>
      </c>
      <c r="H30" s="91" t="s">
        <v>427</v>
      </c>
      <c r="I30" s="79">
        <v>254290.97999999998</v>
      </c>
      <c r="J30" s="92"/>
      <c r="K30" s="623"/>
      <c r="L30" s="624"/>
      <c r="Q30" s="13"/>
      <c r="R30" s="55"/>
      <c r="S30" s="55"/>
      <c r="T30" s="55"/>
      <c r="U30" s="55"/>
      <c r="V30" s="55"/>
    </row>
    <row r="31" spans="1:22">
      <c r="A31" s="64" t="s">
        <v>424</v>
      </c>
      <c r="B31" s="17" t="s">
        <v>425</v>
      </c>
      <c r="C31" s="85">
        <v>568798.89999999991</v>
      </c>
      <c r="E31" s="66"/>
      <c r="F31" s="57"/>
      <c r="G31" s="90" t="s">
        <v>428</v>
      </c>
      <c r="H31" s="91" t="s">
        <v>429</v>
      </c>
      <c r="I31" s="79">
        <v>2226.2199999999998</v>
      </c>
      <c r="J31" s="92"/>
      <c r="K31" s="623"/>
      <c r="L31" s="624"/>
      <c r="Q31" s="13"/>
      <c r="R31" s="55"/>
      <c r="S31" s="55"/>
      <c r="T31" s="55"/>
      <c r="U31" s="55"/>
      <c r="V31" s="55"/>
    </row>
    <row r="32" spans="1:22" ht="11.4">
      <c r="A32" s="93" t="s">
        <v>430</v>
      </c>
      <c r="B32" s="17" t="s">
        <v>431</v>
      </c>
      <c r="C32" s="85">
        <v>526509.35</v>
      </c>
      <c r="E32" s="57"/>
      <c r="F32" s="62"/>
      <c r="G32" s="68"/>
      <c r="H32" s="54"/>
      <c r="I32" s="79"/>
      <c r="J32" s="92"/>
      <c r="K32" s="625"/>
      <c r="L32" s="626"/>
      <c r="M32" s="15"/>
      <c r="N32" s="15"/>
      <c r="R32" s="55"/>
      <c r="S32" s="55"/>
      <c r="T32" s="55"/>
      <c r="U32" s="55"/>
      <c r="V32" s="55"/>
    </row>
    <row r="33" spans="1:22" ht="11.4">
      <c r="A33" s="93" t="s">
        <v>432</v>
      </c>
      <c r="B33" s="17" t="s">
        <v>433</v>
      </c>
      <c r="C33" s="85">
        <v>94273.349999999991</v>
      </c>
      <c r="E33" s="57"/>
      <c r="F33" s="62"/>
      <c r="G33" s="90" t="s">
        <v>434</v>
      </c>
      <c r="H33" s="17" t="s">
        <v>435</v>
      </c>
      <c r="I33" s="79">
        <v>126999.6</v>
      </c>
      <c r="J33" s="92"/>
      <c r="K33" s="621" t="s">
        <v>439</v>
      </c>
      <c r="L33" s="622"/>
      <c r="M33" s="15"/>
      <c r="R33" s="55"/>
      <c r="S33" s="55"/>
      <c r="T33" s="55"/>
      <c r="U33" s="55"/>
      <c r="V33" s="55"/>
    </row>
    <row r="34" spans="1:22" ht="11.4">
      <c r="A34" s="64" t="s">
        <v>437</v>
      </c>
      <c r="B34" s="17" t="s">
        <v>438</v>
      </c>
      <c r="C34" s="95">
        <v>14592.669999999998</v>
      </c>
      <c r="D34" s="96"/>
      <c r="E34" s="56"/>
      <c r="F34" s="57"/>
      <c r="G34" s="90" t="s">
        <v>436</v>
      </c>
      <c r="H34" s="17" t="s">
        <v>435</v>
      </c>
      <c r="I34" s="79">
        <v>4770.7300000000005</v>
      </c>
      <c r="K34" s="625"/>
      <c r="L34" s="626"/>
      <c r="M34" s="15"/>
      <c r="R34" s="55"/>
      <c r="S34" s="55"/>
      <c r="T34" s="55"/>
      <c r="U34" s="55"/>
      <c r="V34" s="55"/>
    </row>
    <row r="35" spans="1:22">
      <c r="A35" s="64" t="s">
        <v>440</v>
      </c>
      <c r="B35" s="17" t="s">
        <v>441</v>
      </c>
      <c r="C35" s="85">
        <v>64171.080000000009</v>
      </c>
      <c r="E35" s="66"/>
      <c r="F35" s="55"/>
      <c r="G35" s="68" t="s">
        <v>442</v>
      </c>
      <c r="H35" s="54" t="s">
        <v>2</v>
      </c>
      <c r="I35" s="79"/>
      <c r="J35" s="57"/>
      <c r="K35" s="94"/>
      <c r="L35" s="55"/>
      <c r="M35" s="13"/>
      <c r="N35" s="13"/>
      <c r="R35" s="55"/>
      <c r="S35" s="55"/>
      <c r="T35" s="55"/>
      <c r="U35" s="55"/>
      <c r="V35" s="55"/>
    </row>
    <row r="36" spans="1:22">
      <c r="A36" s="64" t="s">
        <v>443</v>
      </c>
      <c r="B36" s="17" t="s">
        <v>444</v>
      </c>
      <c r="C36" s="85">
        <v>8436.5400000000009</v>
      </c>
      <c r="D36" s="81" t="s">
        <v>390</v>
      </c>
      <c r="E36" s="82">
        <f>SUM(C23:C36)</f>
        <v>1881175.83</v>
      </c>
      <c r="F36" s="73"/>
      <c r="G36" s="53" t="s">
        <v>445</v>
      </c>
      <c r="H36" s="17" t="s">
        <v>446</v>
      </c>
      <c r="I36" s="74">
        <v>10770.710000000003</v>
      </c>
      <c r="M36" s="15"/>
      <c r="N36" s="13"/>
      <c r="R36" s="55"/>
      <c r="S36" s="55"/>
      <c r="T36" s="55"/>
      <c r="U36" s="55"/>
      <c r="V36" s="55"/>
    </row>
    <row r="37" spans="1:22">
      <c r="A37" s="97" t="s">
        <v>447</v>
      </c>
      <c r="B37" s="17" t="s">
        <v>448</v>
      </c>
      <c r="C37" s="95">
        <v>139382.99</v>
      </c>
      <c r="E37" s="56"/>
      <c r="F37" s="62"/>
      <c r="G37" s="53" t="s">
        <v>453</v>
      </c>
      <c r="H37" s="17" t="s">
        <v>454</v>
      </c>
      <c r="I37" s="70">
        <v>197.2</v>
      </c>
      <c r="J37" s="66"/>
      <c r="M37" s="15"/>
      <c r="N37" s="15"/>
      <c r="O37" s="15"/>
      <c r="P37" s="15"/>
      <c r="Q37" s="13"/>
      <c r="R37" s="55"/>
      <c r="S37" s="55"/>
      <c r="T37" s="55"/>
      <c r="U37" s="55"/>
      <c r="V37" s="55"/>
    </row>
    <row r="38" spans="1:22">
      <c r="A38" s="97" t="s">
        <v>449</v>
      </c>
      <c r="B38" s="17" t="s">
        <v>450</v>
      </c>
      <c r="C38" s="85">
        <v>15237.77</v>
      </c>
      <c r="D38" s="98" t="s">
        <v>326</v>
      </c>
      <c r="E38" s="99">
        <f>SUM(C37:C38)</f>
        <v>154620.75999999998</v>
      </c>
      <c r="F38" s="62"/>
      <c r="G38" s="15" t="s">
        <v>456</v>
      </c>
      <c r="H38" s="17" t="s">
        <v>457</v>
      </c>
      <c r="I38" s="70">
        <v>0</v>
      </c>
      <c r="K38" s="62"/>
      <c r="L38" s="55"/>
      <c r="M38" s="15"/>
      <c r="N38" s="15"/>
      <c r="O38" s="15"/>
      <c r="P38" s="15"/>
      <c r="Q38" s="13"/>
      <c r="R38" s="55"/>
      <c r="S38" s="55"/>
      <c r="T38" s="55"/>
      <c r="U38" s="55"/>
      <c r="V38" s="55"/>
    </row>
    <row r="39" spans="1:22" ht="11.4">
      <c r="A39" s="100" t="s">
        <v>451</v>
      </c>
      <c r="B39" s="54"/>
      <c r="C39" s="552"/>
      <c r="D39" s="98"/>
      <c r="E39" s="99"/>
      <c r="F39" s="62"/>
      <c r="G39" s="15" t="s">
        <v>460</v>
      </c>
      <c r="H39" s="17" t="s">
        <v>461</v>
      </c>
      <c r="I39" s="70">
        <v>0</v>
      </c>
      <c r="L39" s="55"/>
      <c r="M39" s="15"/>
      <c r="N39" s="15"/>
      <c r="O39" s="15"/>
      <c r="P39" s="15"/>
      <c r="Q39" s="15"/>
      <c r="R39" s="55"/>
      <c r="S39" s="55"/>
      <c r="T39" s="55"/>
      <c r="U39" s="55"/>
      <c r="V39" s="55"/>
    </row>
    <row r="40" spans="1:22" ht="11.4">
      <c r="A40" s="102" t="s">
        <v>325</v>
      </c>
      <c r="B40" s="17" t="s">
        <v>452</v>
      </c>
      <c r="C40" s="551">
        <v>491.75</v>
      </c>
      <c r="E40" s="99"/>
      <c r="F40" s="62"/>
      <c r="G40" s="15" t="s">
        <v>464</v>
      </c>
      <c r="H40" s="17" t="s">
        <v>465</v>
      </c>
      <c r="I40" s="70">
        <v>0</v>
      </c>
      <c r="J40" s="101"/>
      <c r="L40" s="55"/>
      <c r="M40" s="15"/>
      <c r="N40" s="15"/>
      <c r="O40" s="15"/>
      <c r="P40" s="15"/>
      <c r="R40" s="55"/>
      <c r="S40" s="55"/>
      <c r="T40" s="55"/>
      <c r="U40" s="55"/>
      <c r="V40" s="55"/>
    </row>
    <row r="41" spans="1:22" ht="11.4">
      <c r="A41" s="102" t="s">
        <v>325</v>
      </c>
      <c r="B41" s="17" t="s">
        <v>455</v>
      </c>
      <c r="C41" s="552"/>
      <c r="E41" s="57"/>
      <c r="F41" s="62"/>
      <c r="G41" s="15" t="s">
        <v>468</v>
      </c>
      <c r="H41" s="17" t="s">
        <v>469</v>
      </c>
      <c r="I41" s="70">
        <v>0</v>
      </c>
      <c r="J41" s="103"/>
      <c r="L41" s="55"/>
      <c r="M41" s="15"/>
      <c r="N41" s="15"/>
      <c r="O41" s="15"/>
      <c r="P41" s="15"/>
      <c r="Q41" s="15"/>
      <c r="R41" s="55"/>
      <c r="S41" s="55"/>
      <c r="T41" s="55"/>
      <c r="U41" s="55"/>
      <c r="V41" s="55"/>
    </row>
    <row r="42" spans="1:22" ht="11.4">
      <c r="A42" s="102" t="s">
        <v>458</v>
      </c>
      <c r="B42" s="17" t="s">
        <v>459</v>
      </c>
      <c r="C42" s="374">
        <v>234.2</v>
      </c>
      <c r="E42" s="56"/>
      <c r="F42" s="62"/>
      <c r="G42" s="108" t="s">
        <v>471</v>
      </c>
      <c r="H42" s="17" t="s">
        <v>472</v>
      </c>
      <c r="J42" s="57"/>
      <c r="L42" s="55"/>
      <c r="M42" s="15"/>
      <c r="N42" s="15"/>
      <c r="O42" s="15"/>
      <c r="P42" s="15"/>
      <c r="R42" s="55"/>
      <c r="S42" s="55"/>
      <c r="T42" s="55"/>
      <c r="U42" s="55"/>
      <c r="V42" s="55"/>
    </row>
    <row r="43" spans="1:22" ht="11.4">
      <c r="A43" s="102" t="s">
        <v>462</v>
      </c>
      <c r="B43" s="17" t="s">
        <v>463</v>
      </c>
      <c r="C43" s="374">
        <v>24520.760000000002</v>
      </c>
      <c r="E43" s="56"/>
      <c r="F43" s="67"/>
      <c r="G43" s="108" t="s">
        <v>475</v>
      </c>
      <c r="H43" s="17" t="s">
        <v>476</v>
      </c>
      <c r="J43" s="104"/>
      <c r="L43" s="55"/>
      <c r="N43" s="15"/>
      <c r="O43" s="15"/>
      <c r="P43" s="15"/>
      <c r="R43" s="55"/>
      <c r="S43" s="55"/>
      <c r="T43" s="55"/>
      <c r="U43" s="55"/>
      <c r="V43" s="55"/>
    </row>
    <row r="44" spans="1:22" ht="11.4">
      <c r="A44" s="105" t="s">
        <v>466</v>
      </c>
      <c r="B44" s="17" t="s">
        <v>467</v>
      </c>
      <c r="C44" s="551"/>
      <c r="D44" s="96" t="s">
        <v>45</v>
      </c>
      <c r="E44" s="106">
        <f>SUM(C40:C44)</f>
        <v>25246.710000000003</v>
      </c>
      <c r="F44" s="62"/>
      <c r="G44" s="108" t="s">
        <v>479</v>
      </c>
      <c r="H44" s="17" t="s">
        <v>480</v>
      </c>
      <c r="I44" s="70">
        <v>779.14</v>
      </c>
      <c r="J44" s="104"/>
      <c r="L44" s="55"/>
      <c r="N44" s="15"/>
      <c r="O44" s="15"/>
      <c r="P44" s="15"/>
      <c r="R44" s="55"/>
      <c r="S44" s="55"/>
      <c r="T44" s="55"/>
      <c r="U44" s="55"/>
      <c r="V44" s="55"/>
    </row>
    <row r="45" spans="1:22" ht="11.4">
      <c r="A45" s="100" t="s">
        <v>470</v>
      </c>
      <c r="B45" s="54"/>
      <c r="C45" s="107"/>
      <c r="D45" s="88"/>
      <c r="E45" s="57"/>
      <c r="F45" s="62"/>
      <c r="G45" s="108" t="s">
        <v>1069</v>
      </c>
      <c r="H45" s="17" t="s">
        <v>1105</v>
      </c>
      <c r="I45" s="70">
        <v>201514.51</v>
      </c>
      <c r="J45" s="104"/>
      <c r="K45" s="71"/>
      <c r="L45" s="76"/>
      <c r="M45" s="15"/>
      <c r="R45" s="55"/>
      <c r="S45" s="55"/>
      <c r="T45" s="55"/>
      <c r="U45" s="55"/>
      <c r="V45" s="55"/>
    </row>
    <row r="46" spans="1:22" ht="11.4">
      <c r="A46" s="102" t="s">
        <v>473</v>
      </c>
      <c r="B46" s="17" t="s">
        <v>474</v>
      </c>
      <c r="C46" s="85">
        <v>21810.3</v>
      </c>
      <c r="D46" s="366"/>
      <c r="E46" s="82"/>
      <c r="F46" s="55"/>
      <c r="G46" s="108" t="s">
        <v>1069</v>
      </c>
      <c r="H46" s="17" t="s">
        <v>1104</v>
      </c>
      <c r="I46" s="70">
        <v>36082.43</v>
      </c>
      <c r="K46" s="59"/>
      <c r="L46" s="76"/>
      <c r="M46" s="15"/>
      <c r="R46" s="55"/>
      <c r="S46" s="55"/>
      <c r="T46" s="55"/>
      <c r="U46" s="55"/>
      <c r="V46" s="55"/>
    </row>
    <row r="47" spans="1:22" ht="11.4">
      <c r="A47" s="102" t="s">
        <v>477</v>
      </c>
      <c r="B47" s="17" t="s">
        <v>478</v>
      </c>
      <c r="C47" s="85">
        <v>53866.57</v>
      </c>
      <c r="D47" s="366"/>
      <c r="E47" s="57"/>
      <c r="F47" s="62"/>
      <c r="G47" s="108" t="s">
        <v>1106</v>
      </c>
      <c r="H47" s="322" t="s">
        <v>1070</v>
      </c>
      <c r="I47" s="70">
        <v>8095.95</v>
      </c>
      <c r="J47" s="104"/>
      <c r="K47" s="59"/>
      <c r="L47" s="76"/>
      <c r="M47" s="15"/>
      <c r="N47" s="15"/>
      <c r="O47" s="15"/>
      <c r="P47" s="15"/>
      <c r="R47" s="55"/>
      <c r="S47" s="55"/>
      <c r="T47" s="55"/>
      <c r="U47" s="55"/>
      <c r="V47" s="55"/>
    </row>
    <row r="48" spans="1:22" ht="11.4">
      <c r="A48" s="102" t="s">
        <v>481</v>
      </c>
      <c r="B48" s="17" t="s">
        <v>482</v>
      </c>
      <c r="C48" s="85">
        <v>65371.68</v>
      </c>
      <c r="D48" s="366"/>
      <c r="E48" s="57"/>
      <c r="F48" s="62"/>
      <c r="G48" s="108" t="s">
        <v>1107</v>
      </c>
      <c r="H48" s="361" t="s">
        <v>1071</v>
      </c>
      <c r="I48" s="70">
        <v>435.93999999999994</v>
      </c>
      <c r="J48" s="104"/>
      <c r="K48" s="59"/>
      <c r="L48" s="76"/>
      <c r="N48" s="15"/>
      <c r="O48" s="15"/>
      <c r="P48" s="15"/>
      <c r="R48" s="55"/>
      <c r="S48" s="55"/>
      <c r="T48" s="55"/>
      <c r="U48" s="55"/>
      <c r="V48" s="55"/>
    </row>
    <row r="49" spans="1:22" ht="11.4">
      <c r="A49" s="102" t="s">
        <v>485</v>
      </c>
      <c r="B49" s="17" t="s">
        <v>486</v>
      </c>
      <c r="C49" s="85">
        <v>15486.26</v>
      </c>
      <c r="D49" s="366"/>
      <c r="E49" s="57"/>
      <c r="F49" s="62"/>
      <c r="G49" s="53" t="s">
        <v>483</v>
      </c>
      <c r="H49" s="17" t="s">
        <v>484</v>
      </c>
      <c r="I49" s="70">
        <v>13347.74</v>
      </c>
      <c r="L49" s="76"/>
      <c r="N49" s="15"/>
      <c r="O49" s="15"/>
      <c r="P49" s="15"/>
      <c r="R49" s="55"/>
      <c r="S49" s="55"/>
      <c r="T49" s="55"/>
      <c r="U49" s="55"/>
      <c r="V49" s="55"/>
    </row>
    <row r="50" spans="1:22" ht="11.4">
      <c r="A50" s="102" t="s">
        <v>489</v>
      </c>
      <c r="B50" s="17" t="s">
        <v>490</v>
      </c>
      <c r="C50" s="85">
        <v>31473.080000000005</v>
      </c>
      <c r="D50" s="366"/>
      <c r="E50" s="57"/>
      <c r="F50" s="62"/>
      <c r="G50" s="15" t="s">
        <v>487</v>
      </c>
      <c r="H50" s="17" t="s">
        <v>488</v>
      </c>
      <c r="I50" s="70">
        <v>14719.61</v>
      </c>
      <c r="K50" s="59"/>
      <c r="L50" s="55"/>
      <c r="R50" s="55"/>
      <c r="S50" s="55"/>
      <c r="T50" s="55"/>
      <c r="U50" s="55"/>
      <c r="V50" s="55"/>
    </row>
    <row r="51" spans="1:22" ht="11.4">
      <c r="A51" s="102" t="s">
        <v>493</v>
      </c>
      <c r="B51" s="17" t="s">
        <v>494</v>
      </c>
      <c r="C51" s="85">
        <v>2007.6399999999996</v>
      </c>
      <c r="D51" s="366"/>
      <c r="E51" s="57"/>
      <c r="F51" s="62"/>
      <c r="G51" s="15" t="s">
        <v>491</v>
      </c>
      <c r="H51" s="17" t="s">
        <v>492</v>
      </c>
      <c r="I51" s="70">
        <v>6972.1999999999989</v>
      </c>
      <c r="L51" s="55"/>
      <c r="M51" s="15"/>
      <c r="R51" s="55"/>
      <c r="S51" s="55"/>
      <c r="T51" s="55"/>
      <c r="U51" s="55"/>
      <c r="V51" s="55"/>
    </row>
    <row r="52" spans="1:22" ht="11.4">
      <c r="A52" s="102" t="s">
        <v>495</v>
      </c>
      <c r="B52" s="17" t="s">
        <v>496</v>
      </c>
      <c r="C52" s="85">
        <v>57464.350000000006</v>
      </c>
      <c r="D52" s="366"/>
      <c r="E52" s="57"/>
      <c r="F52" s="57"/>
      <c r="G52" s="53" t="s">
        <v>1108</v>
      </c>
      <c r="H52" s="17" t="s">
        <v>497</v>
      </c>
      <c r="I52" s="70">
        <v>54598.350000000006</v>
      </c>
      <c r="L52" s="55"/>
      <c r="M52" s="15"/>
      <c r="R52" s="55"/>
      <c r="S52" s="55"/>
      <c r="T52" s="55"/>
      <c r="U52" s="55"/>
      <c r="V52" s="55"/>
    </row>
    <row r="53" spans="1:22" ht="11.4">
      <c r="A53" s="102" t="s">
        <v>462</v>
      </c>
      <c r="B53" s="17" t="s">
        <v>498</v>
      </c>
      <c r="C53" s="85">
        <v>38418.200000000004</v>
      </c>
      <c r="D53" s="366"/>
      <c r="E53" s="56"/>
      <c r="F53" s="62"/>
      <c r="G53" s="53" t="s">
        <v>1109</v>
      </c>
      <c r="H53" s="17" t="s">
        <v>1115</v>
      </c>
      <c r="I53" s="70">
        <v>1512.98</v>
      </c>
      <c r="L53" s="55"/>
      <c r="M53" s="15"/>
      <c r="R53" s="55"/>
      <c r="S53" s="55"/>
      <c r="T53" s="55"/>
      <c r="U53" s="55"/>
      <c r="V53" s="55"/>
    </row>
    <row r="54" spans="1:22" ht="11.4">
      <c r="A54" s="102" t="s">
        <v>499</v>
      </c>
      <c r="B54" s="91" t="s">
        <v>500</v>
      </c>
      <c r="C54" s="85">
        <v>7711.26</v>
      </c>
      <c r="D54" s="366"/>
      <c r="E54" s="57"/>
      <c r="F54" s="109"/>
      <c r="G54" s="53" t="s">
        <v>1110</v>
      </c>
      <c r="H54" s="17" t="s">
        <v>1116</v>
      </c>
      <c r="I54" s="374">
        <v>0</v>
      </c>
      <c r="L54" s="55"/>
      <c r="M54" s="15"/>
      <c r="R54" s="55"/>
      <c r="S54" s="55"/>
      <c r="T54" s="55"/>
      <c r="U54" s="55"/>
      <c r="V54" s="55"/>
    </row>
    <row r="55" spans="1:22" ht="11.4">
      <c r="A55" s="102" t="s">
        <v>502</v>
      </c>
      <c r="B55" s="17" t="s">
        <v>503</v>
      </c>
      <c r="C55" s="85">
        <v>10756.86</v>
      </c>
      <c r="D55" s="366"/>
      <c r="E55" s="57"/>
      <c r="F55" s="109"/>
      <c r="G55" s="53" t="s">
        <v>1111</v>
      </c>
      <c r="H55" s="17" t="s">
        <v>1117</v>
      </c>
      <c r="I55" s="374">
        <v>241.51</v>
      </c>
      <c r="L55" s="55"/>
      <c r="R55" s="55"/>
      <c r="S55" s="55"/>
      <c r="T55" s="55"/>
      <c r="U55" s="55"/>
      <c r="V55" s="55"/>
    </row>
    <row r="56" spans="1:22" ht="11.4">
      <c r="A56" s="102" t="s">
        <v>504</v>
      </c>
      <c r="B56" s="17" t="s">
        <v>505</v>
      </c>
      <c r="C56" s="85">
        <v>15232.55</v>
      </c>
      <c r="D56" s="366"/>
      <c r="E56" s="56"/>
      <c r="F56" s="62"/>
      <c r="G56" s="53" t="s">
        <v>1112</v>
      </c>
      <c r="H56" s="17" t="s">
        <v>1118</v>
      </c>
      <c r="I56" s="374">
        <v>209.55</v>
      </c>
      <c r="L56" s="55"/>
      <c r="N56" s="15"/>
      <c r="O56" s="15"/>
      <c r="P56" s="15"/>
      <c r="R56" s="55"/>
      <c r="S56" s="55"/>
      <c r="T56" s="55"/>
      <c r="U56" s="55"/>
      <c r="V56" s="55"/>
    </row>
    <row r="57" spans="1:22" ht="11.4">
      <c r="A57" s="102" t="s">
        <v>508</v>
      </c>
      <c r="B57" s="17" t="s">
        <v>509</v>
      </c>
      <c r="C57" s="85">
        <v>52302.86</v>
      </c>
      <c r="D57" s="366"/>
      <c r="E57" s="113"/>
      <c r="F57" s="62"/>
      <c r="G57" s="57" t="s">
        <v>1113</v>
      </c>
      <c r="H57" s="56" t="s">
        <v>1119</v>
      </c>
      <c r="I57" s="374">
        <v>0</v>
      </c>
      <c r="L57" s="55"/>
      <c r="N57" s="15"/>
      <c r="O57" s="15"/>
      <c r="P57" s="15"/>
      <c r="R57" s="55"/>
      <c r="S57" s="55"/>
      <c r="T57" s="55"/>
      <c r="U57" s="55"/>
      <c r="V57" s="55"/>
    </row>
    <row r="58" spans="1:22" ht="11.4">
      <c r="A58" s="102" t="s">
        <v>412</v>
      </c>
      <c r="B58" s="17" t="s">
        <v>510</v>
      </c>
      <c r="C58" s="85">
        <v>2567.3700000000003</v>
      </c>
      <c r="D58" s="366"/>
      <c r="E58" s="115"/>
      <c r="F58" s="57"/>
      <c r="G58" s="57" t="s">
        <v>1114</v>
      </c>
      <c r="H58" s="56" t="s">
        <v>1120</v>
      </c>
      <c r="I58" s="375">
        <v>121.64</v>
      </c>
      <c r="L58" s="55"/>
      <c r="N58" s="15"/>
      <c r="O58" s="15"/>
      <c r="P58" s="15"/>
      <c r="R58" s="55"/>
      <c r="S58" s="55"/>
      <c r="T58" s="55"/>
      <c r="U58" s="55"/>
      <c r="V58" s="55"/>
    </row>
    <row r="59" spans="1:22" ht="11.4">
      <c r="A59" s="102" t="s">
        <v>511</v>
      </c>
      <c r="B59" s="17" t="s">
        <v>512</v>
      </c>
      <c r="C59" s="85">
        <v>22218.070000000003</v>
      </c>
      <c r="D59" s="366"/>
      <c r="E59" s="57"/>
      <c r="F59" s="57"/>
      <c r="G59" s="57" t="s">
        <v>1243</v>
      </c>
      <c r="H59" s="56" t="s">
        <v>1244</v>
      </c>
      <c r="I59" s="375">
        <v>267.26</v>
      </c>
      <c r="L59" s="55"/>
      <c r="N59" s="15"/>
      <c r="O59" s="15"/>
      <c r="P59" s="15"/>
      <c r="R59" s="55"/>
      <c r="S59" s="55"/>
      <c r="T59" s="55"/>
      <c r="U59" s="55"/>
      <c r="V59" s="55"/>
    </row>
    <row r="60" spans="1:22">
      <c r="A60" s="102" t="s">
        <v>326</v>
      </c>
      <c r="B60" s="17" t="s">
        <v>513</v>
      </c>
      <c r="C60" s="553">
        <v>20226.060000000001</v>
      </c>
      <c r="D60" s="96" t="s">
        <v>45</v>
      </c>
      <c r="E60" s="106">
        <f>SUM(C46:C60)</f>
        <v>416913.11</v>
      </c>
      <c r="F60" s="55"/>
      <c r="G60" s="76" t="s">
        <v>1245</v>
      </c>
      <c r="H60" s="56" t="s">
        <v>1246</v>
      </c>
      <c r="I60" s="362">
        <v>47338.58</v>
      </c>
      <c r="L60" s="55"/>
      <c r="O60" s="15"/>
      <c r="P60" s="15"/>
      <c r="Q60" s="15"/>
      <c r="R60" s="55"/>
      <c r="S60" s="55"/>
      <c r="T60" s="55"/>
      <c r="U60" s="55"/>
      <c r="V60" s="55"/>
    </row>
    <row r="61" spans="1:22">
      <c r="A61" s="102"/>
      <c r="B61" s="54"/>
      <c r="C61" s="554">
        <f>SUM(C4:C60)</f>
        <v>3030404.1799999992</v>
      </c>
      <c r="F61" s="55"/>
      <c r="G61" s="55" t="s">
        <v>501</v>
      </c>
      <c r="I61" s="110">
        <f>SUM(I5:I60)</f>
        <v>4039095.04</v>
      </c>
      <c r="L61" s="55"/>
      <c r="O61" s="15"/>
      <c r="P61" s="15"/>
      <c r="R61" s="55"/>
      <c r="S61" s="55"/>
      <c r="T61" s="55"/>
      <c r="U61" s="55"/>
      <c r="V61" s="55"/>
    </row>
    <row r="62" spans="1:22">
      <c r="C62" s="65"/>
      <c r="F62" s="55"/>
      <c r="G62" s="55"/>
      <c r="I62" s="110">
        <f>I61+C61</f>
        <v>7069499.2199999988</v>
      </c>
      <c r="L62" s="55"/>
      <c r="O62" s="15"/>
      <c r="P62" s="15"/>
      <c r="R62" s="55"/>
      <c r="S62" s="55"/>
      <c r="T62" s="55"/>
      <c r="U62" s="55"/>
      <c r="V62" s="55"/>
    </row>
    <row r="63" spans="1:22" ht="13.8" thickBot="1">
      <c r="A63" s="53"/>
      <c r="B63" s="54"/>
      <c r="C63" s="54"/>
      <c r="D63" s="53"/>
      <c r="E63" s="53"/>
      <c r="F63" s="266"/>
      <c r="G63" s="76" t="s">
        <v>506</v>
      </c>
      <c r="H63" s="111"/>
      <c r="I63" s="112">
        <v>7069499.2199999997</v>
      </c>
      <c r="L63" s="55"/>
      <c r="O63" s="15"/>
      <c r="P63" s="15"/>
      <c r="R63" s="55"/>
      <c r="S63" s="55"/>
      <c r="T63" s="55"/>
      <c r="U63" s="55"/>
      <c r="V63" s="55"/>
    </row>
    <row r="64" spans="1:22" ht="15.6">
      <c r="A64" s="627" t="s">
        <v>514</v>
      </c>
      <c r="B64" s="628"/>
      <c r="C64" s="629"/>
      <c r="D64" s="83"/>
      <c r="E64" s="266"/>
      <c r="F64" s="117"/>
      <c r="G64" s="76" t="s">
        <v>507</v>
      </c>
      <c r="H64" s="111"/>
      <c r="I64" s="114">
        <f>I62-I63</f>
        <v>0</v>
      </c>
      <c r="K64" s="59"/>
      <c r="L64" s="55"/>
      <c r="O64" s="15"/>
      <c r="P64" s="15"/>
      <c r="R64" s="55"/>
      <c r="S64" s="55"/>
      <c r="T64" s="55"/>
      <c r="U64" s="55"/>
      <c r="V64" s="55"/>
    </row>
    <row r="65" spans="1:22" ht="11.4">
      <c r="A65" s="118" t="s">
        <v>390</v>
      </c>
      <c r="B65" s="119">
        <f>E20+E36</f>
        <v>2313512.4900000002</v>
      </c>
      <c r="C65" s="120">
        <f>B65/$B$69</f>
        <v>0.79494141461155332</v>
      </c>
      <c r="D65" s="267" t="s">
        <v>694</v>
      </c>
      <c r="E65" s="266"/>
      <c r="F65" s="121"/>
      <c r="G65" s="55"/>
      <c r="K65" s="59"/>
      <c r="L65" s="55"/>
      <c r="O65" s="15"/>
      <c r="P65" s="15"/>
      <c r="R65" s="55"/>
      <c r="S65" s="55"/>
      <c r="T65" s="55"/>
      <c r="U65" s="55"/>
      <c r="V65" s="55"/>
    </row>
    <row r="66" spans="1:22" ht="11.4">
      <c r="A66" s="122" t="s">
        <v>45</v>
      </c>
      <c r="B66" s="123">
        <f>+E44+E60</f>
        <v>442159.82</v>
      </c>
      <c r="C66" s="120">
        <f>B66/$B$69</f>
        <v>0.15192965428736016</v>
      </c>
      <c r="D66" s="267" t="s">
        <v>696</v>
      </c>
      <c r="E66" s="270"/>
      <c r="F66" s="124"/>
      <c r="G66" s="55"/>
      <c r="K66" s="59"/>
      <c r="L66" s="55"/>
      <c r="P66" s="15"/>
      <c r="Q66" s="15"/>
      <c r="R66" s="55"/>
      <c r="S66" s="55"/>
      <c r="T66" s="55"/>
      <c r="U66" s="55"/>
      <c r="V66" s="55"/>
    </row>
    <row r="67" spans="1:22" ht="11.4">
      <c r="A67" s="125" t="s">
        <v>515</v>
      </c>
      <c r="B67" s="126">
        <v>0</v>
      </c>
      <c r="C67" s="120">
        <f>B67/$B$69</f>
        <v>0</v>
      </c>
      <c r="D67" s="267" t="s">
        <v>698</v>
      </c>
      <c r="E67" s="53"/>
      <c r="F67" s="57"/>
      <c r="G67" s="55"/>
      <c r="K67" s="59"/>
      <c r="L67" s="55"/>
      <c r="O67" s="15"/>
      <c r="P67" s="15"/>
      <c r="R67" s="55"/>
      <c r="S67" s="55"/>
      <c r="T67" s="55"/>
      <c r="U67" s="55"/>
      <c r="V67" s="55"/>
    </row>
    <row r="68" spans="1:22">
      <c r="A68" s="127" t="s">
        <v>699</v>
      </c>
      <c r="B68" s="128">
        <f>E38</f>
        <v>154620.75999999998</v>
      </c>
      <c r="C68" s="129">
        <f>B68/$B$69</f>
        <v>5.3128931101086664E-2</v>
      </c>
      <c r="D68" s="267" t="s">
        <v>700</v>
      </c>
      <c r="E68" s="57"/>
      <c r="F68" s="57"/>
      <c r="G68" s="76"/>
      <c r="H68" s="111"/>
      <c r="K68" s="59"/>
      <c r="L68" s="76"/>
      <c r="O68" s="15"/>
      <c r="P68" s="15"/>
      <c r="R68" s="55"/>
      <c r="S68" s="55"/>
      <c r="T68" s="55"/>
      <c r="U68" s="55"/>
      <c r="V68" s="55"/>
    </row>
    <row r="69" spans="1:22" ht="13.8" thickBot="1">
      <c r="A69" s="130" t="s">
        <v>9</v>
      </c>
      <c r="B69" s="131">
        <f>SUM(B65:B68)</f>
        <v>2910293.07</v>
      </c>
      <c r="C69" s="132">
        <f>SUM(C65:C68)</f>
        <v>1.0000000000000002</v>
      </c>
      <c r="D69" s="267" t="s">
        <v>702</v>
      </c>
      <c r="E69" s="267"/>
      <c r="F69" s="267"/>
      <c r="G69" s="76"/>
      <c r="K69" s="59"/>
      <c r="L69" s="76"/>
      <c r="O69" s="15"/>
      <c r="P69" s="15"/>
      <c r="R69" s="55"/>
      <c r="S69" s="55"/>
      <c r="T69" s="55"/>
      <c r="U69" s="55"/>
      <c r="V69" s="55"/>
    </row>
    <row r="70" spans="1:22" ht="13.8">
      <c r="A70" s="53"/>
      <c r="B70" s="54"/>
      <c r="C70" s="54"/>
      <c r="D70" s="267" t="s">
        <v>703</v>
      </c>
      <c r="E70" s="267"/>
      <c r="F70" s="267"/>
      <c r="G70" s="117"/>
      <c r="H70" s="630" t="s">
        <v>692</v>
      </c>
      <c r="I70" s="630"/>
      <c r="K70" s="59"/>
      <c r="L70" s="55"/>
      <c r="O70" s="15"/>
      <c r="P70" s="15"/>
      <c r="R70" s="55"/>
      <c r="S70" s="55"/>
      <c r="T70" s="55"/>
      <c r="U70" s="55"/>
      <c r="V70" s="55"/>
    </row>
    <row r="71" spans="1:22" ht="13.8">
      <c r="A71" s="53"/>
      <c r="B71" s="54"/>
      <c r="C71" s="126"/>
      <c r="D71" s="272" t="s">
        <v>705</v>
      </c>
      <c r="E71" s="267"/>
      <c r="F71" s="267"/>
      <c r="G71" s="53"/>
      <c r="H71" s="630" t="s">
        <v>693</v>
      </c>
      <c r="I71" s="630"/>
      <c r="K71" s="59"/>
      <c r="L71" s="55"/>
      <c r="O71" s="15"/>
      <c r="P71" s="15"/>
      <c r="R71" s="55"/>
      <c r="S71" s="55"/>
      <c r="T71" s="55"/>
      <c r="U71" s="55"/>
      <c r="V71" s="55"/>
    </row>
    <row r="72" spans="1:22" ht="11.4">
      <c r="A72" s="53"/>
      <c r="B72" s="54"/>
      <c r="C72" s="54"/>
      <c r="D72" s="53"/>
      <c r="E72" s="53"/>
      <c r="F72" s="53"/>
      <c r="G72" s="53"/>
      <c r="H72" s="268" t="s">
        <v>695</v>
      </c>
      <c r="I72" s="269"/>
      <c r="K72" s="59"/>
      <c r="L72" s="55"/>
      <c r="O72" s="15"/>
      <c r="P72" s="15"/>
      <c r="R72" s="55"/>
      <c r="S72" s="55"/>
      <c r="T72" s="55"/>
      <c r="U72" s="55"/>
      <c r="V72" s="55"/>
    </row>
    <row r="73" spans="1:22" ht="11.4">
      <c r="A73" s="267"/>
      <c r="B73" s="267"/>
      <c r="C73" s="267"/>
      <c r="D73" s="267"/>
      <c r="E73" s="267"/>
      <c r="F73" s="267"/>
      <c r="G73" s="53"/>
      <c r="H73" s="268" t="s">
        <v>697</v>
      </c>
      <c r="I73" s="269"/>
      <c r="K73" s="59"/>
      <c r="L73" s="55"/>
      <c r="P73" s="15"/>
      <c r="Q73" s="15"/>
      <c r="R73" s="55"/>
      <c r="S73" s="55"/>
      <c r="T73" s="55"/>
      <c r="U73" s="55"/>
      <c r="V73" s="55"/>
    </row>
    <row r="74" spans="1:22" ht="11.4">
      <c r="A74" s="267" t="s">
        <v>706</v>
      </c>
      <c r="B74" s="267"/>
      <c r="C74" s="267"/>
      <c r="D74" s="267"/>
      <c r="E74" s="267"/>
      <c r="F74" s="267"/>
      <c r="G74" s="53"/>
      <c r="H74" s="268"/>
      <c r="I74" s="269"/>
      <c r="K74" s="59"/>
      <c r="L74" s="55"/>
      <c r="P74" s="15"/>
      <c r="Q74" s="15"/>
      <c r="R74" s="55"/>
      <c r="S74" s="55"/>
      <c r="T74" s="55"/>
      <c r="U74" s="55"/>
      <c r="V74" s="55"/>
    </row>
    <row r="75" spans="1:22" ht="11.4">
      <c r="A75" s="267" t="s">
        <v>708</v>
      </c>
      <c r="B75" s="267"/>
      <c r="C75" s="267"/>
      <c r="D75" s="267"/>
      <c r="E75" s="267"/>
      <c r="F75" s="267"/>
      <c r="G75" s="53"/>
      <c r="H75" s="268" t="s">
        <v>701</v>
      </c>
      <c r="I75" s="269"/>
      <c r="K75" s="76"/>
      <c r="P75" s="15"/>
      <c r="Q75" s="15"/>
      <c r="R75" s="55"/>
      <c r="S75" s="55"/>
      <c r="T75" s="55"/>
      <c r="U75" s="55"/>
      <c r="V75" s="55"/>
    </row>
    <row r="76" spans="1:22" ht="11.4">
      <c r="A76" s="267" t="s">
        <v>709</v>
      </c>
      <c r="B76" s="267"/>
      <c r="C76" s="267"/>
      <c r="D76" s="267"/>
      <c r="E76" s="267"/>
      <c r="F76" s="267"/>
      <c r="G76" s="267"/>
      <c r="H76" s="271" t="s">
        <v>6</v>
      </c>
      <c r="I76" s="271"/>
      <c r="K76" s="76"/>
      <c r="R76" s="55"/>
      <c r="S76" s="55"/>
      <c r="T76" s="15"/>
      <c r="U76" s="15"/>
      <c r="V76" s="55"/>
    </row>
    <row r="77" spans="1:22" ht="11.4">
      <c r="A77" s="272" t="s">
        <v>710</v>
      </c>
      <c r="B77" s="267"/>
      <c r="C77" s="267"/>
      <c r="D77" s="267"/>
      <c r="E77" s="267"/>
      <c r="F77" s="267"/>
      <c r="G77" s="267"/>
      <c r="H77" s="271"/>
      <c r="I77" s="271" t="s">
        <v>704</v>
      </c>
      <c r="K77" s="76"/>
      <c r="R77" s="55"/>
      <c r="S77" s="55"/>
      <c r="T77" s="15"/>
      <c r="U77" s="15"/>
      <c r="V77" s="55"/>
    </row>
    <row r="78" spans="1:22" ht="11.4">
      <c r="A78" s="273"/>
      <c r="B78" s="267"/>
      <c r="C78" s="267"/>
      <c r="D78" s="267"/>
      <c r="E78" s="267"/>
      <c r="F78" s="267"/>
      <c r="G78" s="267"/>
      <c r="H78" s="271"/>
      <c r="I78" s="271"/>
      <c r="K78" s="76"/>
      <c r="R78" s="55"/>
      <c r="S78" s="55"/>
      <c r="T78" s="15"/>
      <c r="U78" s="15"/>
      <c r="V78" s="55"/>
    </row>
    <row r="79" spans="1:22" ht="15" customHeight="1">
      <c r="A79" s="267" t="s">
        <v>711</v>
      </c>
      <c r="B79" s="267"/>
      <c r="C79" s="267"/>
      <c r="D79" s="267"/>
      <c r="E79" s="267"/>
      <c r="F79" s="267"/>
      <c r="H79" s="54"/>
      <c r="I79" s="269"/>
      <c r="K79" s="76"/>
      <c r="R79" s="55"/>
      <c r="S79" s="55"/>
      <c r="T79" s="15"/>
      <c r="U79" s="15"/>
      <c r="V79" s="55"/>
    </row>
    <row r="80" spans="1:22" ht="11.4">
      <c r="A80" s="274" t="s">
        <v>712</v>
      </c>
      <c r="B80" s="267"/>
      <c r="C80" s="267"/>
      <c r="D80" s="267"/>
      <c r="E80" s="267"/>
      <c r="F80" s="267"/>
      <c r="G80" s="267"/>
      <c r="H80" s="271"/>
      <c r="I80" s="271"/>
      <c r="R80" s="55"/>
      <c r="S80" s="55"/>
      <c r="T80" s="15"/>
      <c r="U80" s="15"/>
      <c r="V80" s="55"/>
    </row>
    <row r="81" spans="1:22" ht="11.4">
      <c r="A81" s="267"/>
      <c r="B81" s="267"/>
      <c r="C81" s="267"/>
      <c r="D81" s="267"/>
      <c r="E81" s="267"/>
      <c r="F81" s="267"/>
      <c r="G81" s="267"/>
      <c r="H81" s="271"/>
      <c r="I81" s="271" t="s">
        <v>707</v>
      </c>
      <c r="R81" s="55"/>
      <c r="S81" s="55"/>
      <c r="T81" s="15"/>
      <c r="U81" s="15"/>
      <c r="V81" s="55"/>
    </row>
    <row r="82" spans="1:22" ht="13.8">
      <c r="A82" s="275" t="s">
        <v>715</v>
      </c>
      <c r="B82" s="267"/>
      <c r="C82" s="267"/>
      <c r="D82" s="267"/>
      <c r="E82" s="267"/>
      <c r="F82" s="267"/>
      <c r="G82" s="267"/>
      <c r="H82" s="271"/>
      <c r="I82" s="271" t="s">
        <v>707</v>
      </c>
      <c r="R82" s="55"/>
      <c r="S82" s="55"/>
      <c r="T82" s="15"/>
      <c r="U82" s="15"/>
      <c r="V82" s="55"/>
    </row>
    <row r="83" spans="1:22" ht="11.4">
      <c r="A83" s="268" t="s">
        <v>713</v>
      </c>
      <c r="B83" s="267"/>
      <c r="C83" s="267"/>
      <c r="D83" s="267"/>
      <c r="E83" s="267"/>
      <c r="F83" s="267"/>
      <c r="G83" s="267"/>
      <c r="H83" s="620"/>
      <c r="I83" s="620"/>
      <c r="R83" s="55"/>
      <c r="S83" s="55"/>
      <c r="T83" s="15"/>
      <c r="U83" s="15"/>
      <c r="V83" s="55"/>
    </row>
    <row r="84" spans="1:22" ht="11.4">
      <c r="A84" s="267" t="s">
        <v>714</v>
      </c>
      <c r="B84" s="267"/>
      <c r="C84" s="267"/>
      <c r="D84" s="267"/>
      <c r="E84" s="267"/>
      <c r="F84" s="267"/>
      <c r="G84" s="267"/>
      <c r="H84" s="620"/>
      <c r="I84" s="620"/>
      <c r="R84" s="55"/>
      <c r="S84" s="55"/>
      <c r="T84" s="15"/>
      <c r="U84" s="15"/>
      <c r="V84" s="55"/>
    </row>
    <row r="85" spans="1:22" ht="11.4">
      <c r="A85" s="267"/>
      <c r="B85" s="267"/>
      <c r="C85" s="267"/>
      <c r="D85" s="267"/>
      <c r="E85" s="267"/>
      <c r="F85" s="267"/>
      <c r="G85" s="267"/>
      <c r="H85" s="620"/>
      <c r="I85" s="620"/>
      <c r="R85" s="55"/>
      <c r="S85" s="55"/>
      <c r="T85" s="15"/>
      <c r="U85" s="15"/>
      <c r="V85" s="55"/>
    </row>
    <row r="86" spans="1:22" ht="15">
      <c r="A86" s="249"/>
      <c r="B86" s="249"/>
      <c r="C86" s="249"/>
      <c r="D86" s="249"/>
      <c r="E86" s="249"/>
      <c r="F86" s="249"/>
      <c r="G86" s="267"/>
      <c r="H86" s="271"/>
      <c r="I86" s="271"/>
      <c r="R86" s="55"/>
      <c r="S86" s="55"/>
      <c r="T86" s="15"/>
      <c r="U86" s="15"/>
      <c r="V86" s="55"/>
    </row>
    <row r="87" spans="1:22" ht="11.4">
      <c r="D87" s="76"/>
      <c r="E87" s="76"/>
      <c r="G87" s="267"/>
      <c r="H87" s="271"/>
      <c r="I87" s="271"/>
      <c r="R87" s="55"/>
      <c r="S87" s="55"/>
      <c r="T87" s="15"/>
      <c r="U87" s="15"/>
      <c r="V87" s="55"/>
    </row>
    <row r="88" spans="1:22" ht="11.4">
      <c r="G88" s="267"/>
      <c r="H88" s="271"/>
      <c r="I88" s="271"/>
      <c r="R88" s="55"/>
      <c r="S88" s="55"/>
      <c r="T88" s="15"/>
      <c r="U88" s="15"/>
      <c r="V88" s="55"/>
    </row>
    <row r="89" spans="1:22" ht="11.4">
      <c r="A89" s="76"/>
      <c r="B89" s="133"/>
      <c r="C89" s="133"/>
      <c r="G89" s="267"/>
      <c r="H89" s="271"/>
      <c r="I89" s="271"/>
      <c r="R89" s="55"/>
      <c r="S89" s="55"/>
      <c r="T89" s="15"/>
      <c r="U89" s="15"/>
      <c r="V89" s="55"/>
    </row>
    <row r="90" spans="1:22" ht="11.4">
      <c r="A90" s="76"/>
      <c r="B90" s="133"/>
      <c r="C90" s="133"/>
      <c r="G90" s="267"/>
      <c r="H90" s="271"/>
      <c r="I90" s="271"/>
      <c r="R90" s="55"/>
      <c r="S90" s="55"/>
      <c r="T90" s="15"/>
      <c r="U90" s="15"/>
      <c r="V90" s="55"/>
    </row>
    <row r="91" spans="1:22" ht="11.4">
      <c r="A91" s="76"/>
      <c r="B91" s="133"/>
      <c r="C91" s="133"/>
      <c r="G91" s="267"/>
      <c r="H91" s="271"/>
      <c r="I91" s="271"/>
      <c r="R91" s="55"/>
      <c r="S91" s="55"/>
      <c r="T91" s="15"/>
      <c r="U91" s="15"/>
      <c r="V91" s="55"/>
    </row>
    <row r="92" spans="1:22" ht="11.4">
      <c r="A92" s="76"/>
      <c r="B92" s="133"/>
      <c r="C92" s="133"/>
      <c r="G92" s="267"/>
      <c r="H92" s="271"/>
      <c r="I92" s="271"/>
      <c r="R92" s="55"/>
      <c r="S92" s="55"/>
      <c r="T92" s="15"/>
      <c r="U92" s="15"/>
      <c r="V92" s="55"/>
    </row>
    <row r="93" spans="1:22" ht="15">
      <c r="A93" s="76"/>
      <c r="B93" s="133"/>
      <c r="C93" s="133"/>
      <c r="G93" s="249"/>
      <c r="H93" s="248"/>
      <c r="I93" s="248"/>
      <c r="R93" s="55"/>
      <c r="S93" s="55"/>
      <c r="T93" s="15"/>
      <c r="U93" s="15"/>
      <c r="V93" s="55"/>
    </row>
    <row r="94" spans="1:22" ht="11.4">
      <c r="A94" s="76"/>
      <c r="B94" s="133"/>
      <c r="C94" s="133"/>
      <c r="R94" s="55"/>
      <c r="S94" s="55"/>
      <c r="T94" s="15"/>
      <c r="U94" s="15"/>
      <c r="V94" s="55"/>
    </row>
    <row r="95" spans="1:22" ht="11.4">
      <c r="C95" s="134"/>
      <c r="R95" s="55"/>
      <c r="S95" s="55"/>
      <c r="T95" s="15"/>
      <c r="U95" s="15"/>
      <c r="V95" s="55"/>
    </row>
    <row r="96" spans="1:22" ht="11.4">
      <c r="R96" s="55"/>
      <c r="S96" s="55"/>
      <c r="T96" s="15"/>
      <c r="U96" s="15"/>
      <c r="V96" s="55"/>
    </row>
    <row r="97" spans="18:22" ht="11.4">
      <c r="R97" s="55"/>
      <c r="S97" s="55"/>
      <c r="T97" s="15"/>
      <c r="U97" s="15"/>
      <c r="V97" s="55"/>
    </row>
    <row r="98" spans="18:22" ht="11.4">
      <c r="R98" s="55"/>
      <c r="S98" s="55"/>
      <c r="T98" s="15"/>
      <c r="U98" s="15"/>
      <c r="V98" s="55"/>
    </row>
    <row r="99" spans="18:22" ht="11.4">
      <c r="R99" s="55"/>
      <c r="S99" s="55"/>
      <c r="T99" s="15"/>
      <c r="U99" s="15"/>
      <c r="V99" s="55"/>
    </row>
    <row r="100" spans="18:22" ht="11.4">
      <c r="R100" s="55"/>
      <c r="S100" s="55"/>
      <c r="T100" s="15"/>
      <c r="U100" s="15"/>
      <c r="V100" s="55"/>
    </row>
    <row r="101" spans="18:22" ht="11.4">
      <c r="R101" s="55"/>
      <c r="S101" s="55"/>
      <c r="T101" s="15"/>
      <c r="U101" s="15"/>
      <c r="V101" s="55"/>
    </row>
    <row r="102" spans="18:22" ht="11.4">
      <c r="R102" s="55"/>
      <c r="S102" s="55"/>
      <c r="T102" s="15"/>
      <c r="U102" s="15"/>
      <c r="V102" s="55"/>
    </row>
    <row r="103" spans="18:22" ht="11.4">
      <c r="R103" s="55"/>
      <c r="S103" s="55"/>
      <c r="T103" s="15"/>
      <c r="U103" s="15"/>
      <c r="V103" s="55"/>
    </row>
    <row r="104" spans="18:22" ht="11.4">
      <c r="R104" s="55"/>
      <c r="S104" s="55"/>
      <c r="T104" s="15"/>
      <c r="U104" s="15"/>
      <c r="V104" s="55"/>
    </row>
    <row r="105" spans="18:22" ht="11.4">
      <c r="R105" s="55"/>
      <c r="S105" s="55"/>
      <c r="T105" s="15"/>
      <c r="U105" s="15"/>
      <c r="V105" s="55"/>
    </row>
    <row r="106" spans="18:22">
      <c r="R106" s="55"/>
      <c r="S106" s="55"/>
    </row>
    <row r="107" spans="18:22">
      <c r="R107" s="55"/>
      <c r="S107" s="55"/>
    </row>
  </sheetData>
  <mergeCells count="8">
    <mergeCell ref="B1:I1"/>
    <mergeCell ref="B2:I2"/>
    <mergeCell ref="H83:I85"/>
    <mergeCell ref="K23:L32"/>
    <mergeCell ref="K33:L34"/>
    <mergeCell ref="A64:C64"/>
    <mergeCell ref="H70:I70"/>
    <mergeCell ref="H71:I71"/>
  </mergeCells>
  <printOptions horizontalCentered="1" verticalCentered="1"/>
  <pageMargins left="0" right="0" top="0.71" bottom="0" header="0.25" footer="0.5"/>
  <pageSetup scale="70" orientation="landscape" verticalDpi="300" r:id="rId1"/>
  <headerFooter alignWithMargins="0">
    <oddHeade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topLeftCell="A85" workbookViewId="0">
      <selection activeCell="H58" sqref="H58"/>
    </sheetView>
  </sheetViews>
  <sheetFormatPr defaultRowHeight="15"/>
  <cols>
    <col min="1" max="1" width="42.1796875" style="216" customWidth="1"/>
    <col min="2" max="2" width="11.81640625" style="216" bestFit="1" customWidth="1"/>
    <col min="3" max="3" width="13.81640625" style="216" bestFit="1" customWidth="1"/>
    <col min="4" max="4" width="8.90625" style="216"/>
    <col min="5" max="5" width="12.54296875" style="216" bestFit="1" customWidth="1"/>
    <col min="6" max="6" width="9.36328125" style="216" bestFit="1" customWidth="1"/>
    <col min="7" max="7" width="12.54296875" style="216" bestFit="1" customWidth="1"/>
    <col min="8" max="8" width="8.90625" style="216"/>
  </cols>
  <sheetData>
    <row r="1" spans="1:8">
      <c r="A1" s="631">
        <f>Index!D4</f>
        <v>2012</v>
      </c>
      <c r="B1" s="631"/>
      <c r="C1" s="631"/>
      <c r="D1" s="631"/>
      <c r="E1" s="631"/>
      <c r="F1" s="631"/>
      <c r="G1" s="631"/>
      <c r="H1" s="276"/>
    </row>
    <row r="2" spans="1:8">
      <c r="A2" s="279" t="s">
        <v>716</v>
      </c>
      <c r="B2" s="280"/>
      <c r="C2" s="282"/>
      <c r="D2" s="282"/>
      <c r="E2" s="283" t="s">
        <v>717</v>
      </c>
      <c r="F2" s="283" t="s">
        <v>718</v>
      </c>
      <c r="G2" s="283" t="s">
        <v>719</v>
      </c>
      <c r="H2" s="281"/>
    </row>
    <row r="3" spans="1:8" ht="18.600000000000001">
      <c r="A3" s="282"/>
      <c r="B3" s="284" t="s">
        <v>327</v>
      </c>
      <c r="C3" s="285"/>
      <c r="D3" s="285"/>
      <c r="E3" s="284" t="s">
        <v>719</v>
      </c>
      <c r="F3" s="284" t="s">
        <v>720</v>
      </c>
      <c r="G3" s="284" t="s">
        <v>721</v>
      </c>
      <c r="H3" s="281"/>
    </row>
    <row r="4" spans="1:8">
      <c r="A4" s="286" t="s">
        <v>722</v>
      </c>
      <c r="B4" s="278"/>
      <c r="C4" s="277"/>
      <c r="D4" s="277"/>
      <c r="E4" s="287"/>
      <c r="F4" s="278"/>
      <c r="G4" s="278"/>
      <c r="H4" s="288"/>
    </row>
    <row r="5" spans="1:8">
      <c r="A5" s="286"/>
      <c r="B5" s="287"/>
      <c r="C5" s="289"/>
      <c r="D5" s="289"/>
      <c r="E5" s="287"/>
      <c r="F5" s="290"/>
      <c r="G5" s="290"/>
      <c r="H5" s="288"/>
    </row>
    <row r="6" spans="1:8">
      <c r="A6" s="291" t="s">
        <v>723</v>
      </c>
      <c r="B6" s="287">
        <f>279797297-B37</f>
        <v>274238021</v>
      </c>
      <c r="C6" s="292"/>
      <c r="D6" s="292"/>
      <c r="E6" s="287">
        <f>175436835-E37</f>
        <v>174153555</v>
      </c>
      <c r="F6" s="287">
        <f>B6-E6</f>
        <v>100084466</v>
      </c>
      <c r="G6" s="287">
        <f>1814246+141010+2067035</f>
        <v>4022291</v>
      </c>
      <c r="H6" s="293"/>
    </row>
    <row r="7" spans="1:8">
      <c r="A7" s="294" t="s">
        <v>724</v>
      </c>
      <c r="B7" s="264">
        <v>0</v>
      </c>
      <c r="C7" s="295"/>
      <c r="D7" s="295"/>
      <c r="E7" s="264">
        <v>0</v>
      </c>
      <c r="F7" s="264">
        <f t="shared" ref="F7:F13" si="0">B7-E7</f>
        <v>0</v>
      </c>
      <c r="G7" s="264">
        <v>0</v>
      </c>
      <c r="H7" s="288"/>
    </row>
    <row r="8" spans="1:8">
      <c r="A8" s="294" t="s">
        <v>725</v>
      </c>
      <c r="B8" s="264">
        <v>0</v>
      </c>
      <c r="C8" s="295"/>
      <c r="D8" s="295"/>
      <c r="E8" s="264">
        <v>0</v>
      </c>
      <c r="F8" s="264">
        <f t="shared" si="0"/>
        <v>0</v>
      </c>
      <c r="G8" s="264">
        <v>0</v>
      </c>
      <c r="H8" s="288"/>
    </row>
    <row r="9" spans="1:8">
      <c r="A9" s="294" t="s">
        <v>726</v>
      </c>
      <c r="B9" s="264">
        <v>0</v>
      </c>
      <c r="C9" s="295"/>
      <c r="D9" s="295"/>
      <c r="E9" s="264">
        <v>0</v>
      </c>
      <c r="F9" s="264">
        <f t="shared" si="0"/>
        <v>0</v>
      </c>
      <c r="G9" s="264">
        <v>0</v>
      </c>
      <c r="H9" s="288"/>
    </row>
    <row r="10" spans="1:8">
      <c r="A10" s="294" t="s">
        <v>727</v>
      </c>
      <c r="B10" s="264">
        <v>0</v>
      </c>
      <c r="C10" s="295"/>
      <c r="D10" s="295"/>
      <c r="E10" s="264">
        <v>0</v>
      </c>
      <c r="F10" s="264">
        <f t="shared" si="0"/>
        <v>0</v>
      </c>
      <c r="G10" s="264">
        <v>0</v>
      </c>
      <c r="H10" s="288"/>
    </row>
    <row r="11" spans="1:8">
      <c r="A11" s="294" t="s">
        <v>728</v>
      </c>
      <c r="B11" s="264">
        <v>0</v>
      </c>
      <c r="C11" s="295"/>
      <c r="D11" s="295"/>
      <c r="E11" s="264">
        <v>0</v>
      </c>
      <c r="F11" s="264">
        <f t="shared" si="0"/>
        <v>0</v>
      </c>
      <c r="G11" s="264">
        <v>0</v>
      </c>
      <c r="H11" s="288"/>
    </row>
    <row r="12" spans="1:8">
      <c r="A12" s="294" t="s">
        <v>729</v>
      </c>
      <c r="B12" s="264">
        <v>0</v>
      </c>
      <c r="C12" s="295"/>
      <c r="D12" s="295"/>
      <c r="E12" s="264">
        <v>0</v>
      </c>
      <c r="F12" s="264">
        <f t="shared" si="0"/>
        <v>0</v>
      </c>
      <c r="G12" s="264">
        <v>0</v>
      </c>
      <c r="H12" s="281"/>
    </row>
    <row r="13" spans="1:8" ht="16.2">
      <c r="A13" s="294" t="s">
        <v>730</v>
      </c>
      <c r="B13" s="296">
        <v>0</v>
      </c>
      <c r="C13" s="297"/>
      <c r="D13" s="297"/>
      <c r="E13" s="296">
        <v>0</v>
      </c>
      <c r="F13" s="296">
        <f t="shared" si="0"/>
        <v>0</v>
      </c>
      <c r="G13" s="296">
        <v>0</v>
      </c>
      <c r="H13" s="281"/>
    </row>
    <row r="14" spans="1:8">
      <c r="A14" s="298" t="s">
        <v>731</v>
      </c>
      <c r="B14" s="264">
        <f>SUM(B6:B13)</f>
        <v>274238021</v>
      </c>
      <c r="C14" s="299" t="s">
        <v>732</v>
      </c>
      <c r="D14" s="299"/>
      <c r="E14" s="212">
        <f>SUM(E6:E13)</f>
        <v>174153555</v>
      </c>
      <c r="F14" s="212">
        <f>SUM(F6:F13)</f>
        <v>100084466</v>
      </c>
      <c r="G14" s="212">
        <f>SUM(G6:G13)</f>
        <v>4022291</v>
      </c>
      <c r="H14" s="281"/>
    </row>
    <row r="15" spans="1:8">
      <c r="A15" s="298"/>
      <c r="B15" s="280"/>
      <c r="C15" s="281"/>
      <c r="D15" s="281"/>
      <c r="E15" s="280"/>
      <c r="F15" s="280"/>
      <c r="G15" s="280"/>
      <c r="H15" s="281"/>
    </row>
    <row r="16" spans="1:8">
      <c r="A16" s="291" t="s">
        <v>733</v>
      </c>
      <c r="B16" s="280"/>
      <c r="C16" s="281"/>
      <c r="D16" s="281"/>
      <c r="E16" s="280"/>
      <c r="F16" s="280"/>
      <c r="G16" s="280"/>
      <c r="H16" s="281"/>
    </row>
    <row r="17" spans="1:8">
      <c r="A17" s="300" t="s">
        <v>734</v>
      </c>
      <c r="B17" s="287">
        <v>0</v>
      </c>
      <c r="C17" s="292"/>
      <c r="D17" s="292"/>
      <c r="E17" s="287">
        <v>0</v>
      </c>
      <c r="F17" s="287">
        <f t="shared" ref="F17:F22" si="1">B17-E17</f>
        <v>0</v>
      </c>
      <c r="G17" s="287">
        <v>0</v>
      </c>
      <c r="H17" s="281"/>
    </row>
    <row r="18" spans="1:8">
      <c r="A18" s="300" t="s">
        <v>735</v>
      </c>
      <c r="B18" s="264">
        <v>0</v>
      </c>
      <c r="C18" s="295"/>
      <c r="D18" s="295"/>
      <c r="E18" s="264">
        <v>0</v>
      </c>
      <c r="F18" s="264">
        <f t="shared" si="1"/>
        <v>0</v>
      </c>
      <c r="G18" s="264">
        <v>0</v>
      </c>
      <c r="H18" s="281"/>
    </row>
    <row r="19" spans="1:8">
      <c r="A19" s="300" t="s">
        <v>736</v>
      </c>
      <c r="B19" s="264">
        <v>0</v>
      </c>
      <c r="C19" s="295"/>
      <c r="D19" s="295"/>
      <c r="E19" s="264">
        <v>0</v>
      </c>
      <c r="F19" s="264">
        <f t="shared" si="1"/>
        <v>0</v>
      </c>
      <c r="G19" s="264">
        <v>0</v>
      </c>
      <c r="H19" s="281"/>
    </row>
    <row r="20" spans="1:8">
      <c r="A20" s="300" t="s">
        <v>737</v>
      </c>
      <c r="B20" s="264">
        <v>0</v>
      </c>
      <c r="C20" s="295"/>
      <c r="D20" s="295"/>
      <c r="E20" s="264">
        <v>0</v>
      </c>
      <c r="F20" s="264">
        <f t="shared" si="1"/>
        <v>0</v>
      </c>
      <c r="G20" s="264">
        <v>0</v>
      </c>
      <c r="H20" s="281"/>
    </row>
    <row r="21" spans="1:8">
      <c r="A21" s="300" t="s">
        <v>738</v>
      </c>
      <c r="B21" s="264">
        <v>0</v>
      </c>
      <c r="C21" s="295"/>
      <c r="D21" s="295"/>
      <c r="E21" s="264">
        <v>0</v>
      </c>
      <c r="F21" s="264">
        <f t="shared" si="1"/>
        <v>0</v>
      </c>
      <c r="G21" s="264">
        <v>0</v>
      </c>
      <c r="H21" s="281"/>
    </row>
    <row r="22" spans="1:8" ht="16.2">
      <c r="A22" s="300" t="s">
        <v>739</v>
      </c>
      <c r="B22" s="296">
        <v>0</v>
      </c>
      <c r="C22" s="297"/>
      <c r="D22" s="297"/>
      <c r="E22" s="296">
        <v>0</v>
      </c>
      <c r="F22" s="296">
        <f t="shared" si="1"/>
        <v>0</v>
      </c>
      <c r="G22" s="296">
        <v>0</v>
      </c>
      <c r="H22" s="276"/>
    </row>
    <row r="23" spans="1:8">
      <c r="A23" s="300" t="s">
        <v>740</v>
      </c>
      <c r="B23" s="264">
        <f>SUM(B17:B22)</f>
        <v>0</v>
      </c>
      <c r="C23" s="299" t="s">
        <v>741</v>
      </c>
      <c r="D23" s="299"/>
      <c r="E23" s="264">
        <f>SUM(E17:E22)</f>
        <v>0</v>
      </c>
      <c r="F23" s="264">
        <f>SUM(F17:F22)</f>
        <v>0</v>
      </c>
      <c r="G23" s="264">
        <f>SUM(G17:G22)</f>
        <v>0</v>
      </c>
      <c r="H23" s="276"/>
    </row>
    <row r="24" spans="1:8">
      <c r="A24" s="300" t="s">
        <v>742</v>
      </c>
      <c r="B24" s="301"/>
      <c r="C24" s="302"/>
      <c r="D24" s="302"/>
      <c r="E24" s="301"/>
      <c r="F24" s="301"/>
      <c r="G24" s="301"/>
      <c r="H24" s="276"/>
    </row>
    <row r="25" spans="1:8">
      <c r="A25" s="300"/>
      <c r="B25" s="278"/>
      <c r="C25" s="277"/>
      <c r="D25" s="277"/>
      <c r="E25" s="278"/>
      <c r="F25" s="278"/>
      <c r="G25" s="278"/>
      <c r="H25" s="276"/>
    </row>
    <row r="26" spans="1:8">
      <c r="A26" s="291" t="s">
        <v>743</v>
      </c>
      <c r="B26" s="278"/>
      <c r="C26" s="276"/>
      <c r="D26" s="276"/>
      <c r="E26" s="278"/>
      <c r="F26" s="278"/>
      <c r="G26" s="278"/>
      <c r="H26" s="276"/>
    </row>
    <row r="27" spans="1:8">
      <c r="A27" s="300" t="s">
        <v>744</v>
      </c>
      <c r="B27" s="287">
        <v>0</v>
      </c>
      <c r="C27" s="292"/>
      <c r="D27" s="292"/>
      <c r="E27" s="287">
        <v>0</v>
      </c>
      <c r="F27" s="287">
        <f t="shared" ref="F27:F34" si="2">B27-E27</f>
        <v>0</v>
      </c>
      <c r="G27" s="287">
        <v>0</v>
      </c>
      <c r="H27" s="276"/>
    </row>
    <row r="28" spans="1:8">
      <c r="A28" s="300" t="s">
        <v>745</v>
      </c>
      <c r="B28" s="264">
        <v>0</v>
      </c>
      <c r="C28" s="295"/>
      <c r="D28" s="295"/>
      <c r="E28" s="264">
        <v>0</v>
      </c>
      <c r="F28" s="264">
        <f t="shared" si="2"/>
        <v>0</v>
      </c>
      <c r="G28" s="264">
        <v>0</v>
      </c>
      <c r="H28" s="276"/>
    </row>
    <row r="29" spans="1:8">
      <c r="A29" s="300" t="s">
        <v>746</v>
      </c>
      <c r="B29" s="264">
        <v>0</v>
      </c>
      <c r="C29" s="295"/>
      <c r="D29" s="295"/>
      <c r="E29" s="264">
        <v>0</v>
      </c>
      <c r="F29" s="264">
        <f t="shared" si="2"/>
        <v>0</v>
      </c>
      <c r="G29" s="264">
        <v>0</v>
      </c>
      <c r="H29" s="276"/>
    </row>
    <row r="30" spans="1:8">
      <c r="A30" s="300" t="s">
        <v>747</v>
      </c>
      <c r="B30" s="264">
        <v>0</v>
      </c>
      <c r="C30" s="295"/>
      <c r="D30" s="295"/>
      <c r="E30" s="264">
        <v>0</v>
      </c>
      <c r="F30" s="264">
        <f t="shared" si="2"/>
        <v>0</v>
      </c>
      <c r="G30" s="264">
        <v>0</v>
      </c>
      <c r="H30" s="276"/>
    </row>
    <row r="31" spans="1:8">
      <c r="A31" s="300" t="s">
        <v>748</v>
      </c>
      <c r="B31" s="264">
        <v>0</v>
      </c>
      <c r="C31" s="295"/>
      <c r="D31" s="295"/>
      <c r="E31" s="264">
        <v>0</v>
      </c>
      <c r="F31" s="264">
        <f t="shared" si="2"/>
        <v>0</v>
      </c>
      <c r="G31" s="264">
        <v>0</v>
      </c>
      <c r="H31" s="276"/>
    </row>
    <row r="32" spans="1:8">
      <c r="A32" s="300" t="s">
        <v>749</v>
      </c>
      <c r="B32" s="264">
        <v>0</v>
      </c>
      <c r="C32" s="295"/>
      <c r="D32" s="295"/>
      <c r="E32" s="264">
        <v>0</v>
      </c>
      <c r="F32" s="264">
        <f t="shared" si="2"/>
        <v>0</v>
      </c>
      <c r="G32" s="264">
        <v>0</v>
      </c>
      <c r="H32" s="276"/>
    </row>
    <row r="33" spans="1:8">
      <c r="A33" s="300" t="s">
        <v>750</v>
      </c>
      <c r="B33" s="264">
        <v>0</v>
      </c>
      <c r="C33" s="295"/>
      <c r="D33" s="295"/>
      <c r="E33" s="264">
        <v>0</v>
      </c>
      <c r="F33" s="264">
        <f t="shared" si="2"/>
        <v>0</v>
      </c>
      <c r="G33" s="264">
        <v>0</v>
      </c>
      <c r="H33" s="276"/>
    </row>
    <row r="34" spans="1:8" ht="16.2">
      <c r="A34" s="300" t="s">
        <v>751</v>
      </c>
      <c r="B34" s="296">
        <v>0</v>
      </c>
      <c r="C34" s="297"/>
      <c r="D34" s="297"/>
      <c r="E34" s="296">
        <v>0</v>
      </c>
      <c r="F34" s="296">
        <f t="shared" si="2"/>
        <v>0</v>
      </c>
      <c r="G34" s="296">
        <v>0</v>
      </c>
      <c r="H34" s="276"/>
    </row>
    <row r="35" spans="1:8">
      <c r="A35" s="303" t="s">
        <v>752</v>
      </c>
      <c r="B35" s="85">
        <f>SUM(B27:B34)</f>
        <v>0</v>
      </c>
      <c r="C35" s="299" t="s">
        <v>753</v>
      </c>
      <c r="D35" s="299"/>
      <c r="E35" s="65">
        <f>SUM(E27:E34)</f>
        <v>0</v>
      </c>
      <c r="F35" s="65">
        <f>SUM(F27:F34)</f>
        <v>0</v>
      </c>
      <c r="G35" s="65">
        <f>SUM(G27:G34)</f>
        <v>0</v>
      </c>
      <c r="H35" s="276"/>
    </row>
    <row r="36" spans="1:8">
      <c r="A36" s="304"/>
      <c r="B36" s="278"/>
      <c r="C36" s="276"/>
      <c r="D36" s="276"/>
      <c r="E36" s="278"/>
      <c r="F36" s="278"/>
      <c r="G36" s="278"/>
      <c r="H36" s="276"/>
    </row>
    <row r="37" spans="1:8">
      <c r="A37" s="291" t="s">
        <v>754</v>
      </c>
      <c r="B37" s="287">
        <f>3548807+2010469</f>
        <v>5559276</v>
      </c>
      <c r="C37" s="292"/>
      <c r="D37" s="292"/>
      <c r="E37" s="287">
        <v>1283280</v>
      </c>
      <c r="F37" s="287">
        <f>B37-E37</f>
        <v>4275996</v>
      </c>
      <c r="G37" s="287">
        <f>191635+80418</f>
        <v>272053</v>
      </c>
      <c r="H37" s="293"/>
    </row>
    <row r="38" spans="1:8">
      <c r="A38" s="300" t="s">
        <v>755</v>
      </c>
      <c r="B38" s="287">
        <v>0</v>
      </c>
      <c r="C38" s="292"/>
      <c r="D38" s="292"/>
      <c r="E38" s="287">
        <v>0</v>
      </c>
      <c r="F38" s="287">
        <f>B38-E38</f>
        <v>0</v>
      </c>
      <c r="G38" s="287">
        <v>0</v>
      </c>
      <c r="H38" s="276"/>
    </row>
    <row r="39" spans="1:8">
      <c r="A39" s="300" t="s">
        <v>756</v>
      </c>
      <c r="B39" s="264">
        <v>0</v>
      </c>
      <c r="C39" s="295"/>
      <c r="D39" s="295"/>
      <c r="E39" s="264">
        <v>0</v>
      </c>
      <c r="F39" s="264">
        <f t="shared" ref="F39:F45" si="3">B39-E39</f>
        <v>0</v>
      </c>
      <c r="G39" s="264">
        <v>0</v>
      </c>
      <c r="H39" s="276"/>
    </row>
    <row r="40" spans="1:8">
      <c r="A40" s="300" t="s">
        <v>757</v>
      </c>
      <c r="B40" s="264">
        <v>0</v>
      </c>
      <c r="C40" s="295"/>
      <c r="D40" s="295"/>
      <c r="E40" s="264">
        <v>0</v>
      </c>
      <c r="F40" s="264">
        <f t="shared" si="3"/>
        <v>0</v>
      </c>
      <c r="G40" s="264">
        <v>0</v>
      </c>
      <c r="H40" s="276"/>
    </row>
    <row r="41" spans="1:8">
      <c r="A41" s="300" t="s">
        <v>758</v>
      </c>
      <c r="B41" s="264">
        <v>0</v>
      </c>
      <c r="C41" s="295"/>
      <c r="D41" s="295"/>
      <c r="E41" s="264">
        <v>0</v>
      </c>
      <c r="F41" s="264">
        <f t="shared" si="3"/>
        <v>0</v>
      </c>
      <c r="G41" s="264">
        <v>0</v>
      </c>
      <c r="H41" s="276"/>
    </row>
    <row r="42" spans="1:8">
      <c r="A42" s="300" t="s">
        <v>759</v>
      </c>
      <c r="B42" s="264">
        <v>0</v>
      </c>
      <c r="C42" s="295"/>
      <c r="D42" s="295"/>
      <c r="E42" s="264">
        <v>0</v>
      </c>
      <c r="F42" s="264">
        <f t="shared" si="3"/>
        <v>0</v>
      </c>
      <c r="G42" s="264">
        <v>0</v>
      </c>
      <c r="H42" s="276"/>
    </row>
    <row r="43" spans="1:8">
      <c r="A43" s="300" t="s">
        <v>760</v>
      </c>
      <c r="B43" s="264">
        <v>0</v>
      </c>
      <c r="C43" s="295"/>
      <c r="D43" s="295"/>
      <c r="E43" s="264">
        <v>0</v>
      </c>
      <c r="F43" s="264">
        <f t="shared" si="3"/>
        <v>0</v>
      </c>
      <c r="G43" s="264">
        <v>0</v>
      </c>
      <c r="H43" s="276"/>
    </row>
    <row r="44" spans="1:8">
      <c r="A44" s="300" t="s">
        <v>761</v>
      </c>
      <c r="B44" s="264">
        <v>0</v>
      </c>
      <c r="C44" s="295"/>
      <c r="D44" s="295"/>
      <c r="E44" s="264">
        <v>0</v>
      </c>
      <c r="F44" s="264">
        <f t="shared" si="3"/>
        <v>0</v>
      </c>
      <c r="G44" s="264">
        <v>0</v>
      </c>
      <c r="H44" s="276"/>
    </row>
    <row r="45" spans="1:8" ht="16.2">
      <c r="A45" s="300" t="s">
        <v>762</v>
      </c>
      <c r="B45" s="296">
        <v>0</v>
      </c>
      <c r="C45" s="297"/>
      <c r="D45" s="297"/>
      <c r="E45" s="296">
        <v>0</v>
      </c>
      <c r="F45" s="296">
        <f t="shared" si="3"/>
        <v>0</v>
      </c>
      <c r="G45" s="296">
        <v>0</v>
      </c>
      <c r="H45" s="276"/>
    </row>
    <row r="46" spans="1:8">
      <c r="A46" s="300" t="s">
        <v>763</v>
      </c>
      <c r="B46" s="85">
        <f>SUM(B37:B45)</f>
        <v>5559276</v>
      </c>
      <c r="C46" s="299" t="s">
        <v>764</v>
      </c>
      <c r="D46" s="299"/>
      <c r="E46" s="85">
        <f>SUM(E37:E45)</f>
        <v>1283280</v>
      </c>
      <c r="F46" s="85">
        <f>SUM(F37:F45)</f>
        <v>4275996</v>
      </c>
      <c r="G46" s="65">
        <f>SUM(G37:G45)</f>
        <v>272053</v>
      </c>
      <c r="H46" s="276"/>
    </row>
    <row r="47" spans="1:8">
      <c r="A47" s="300"/>
      <c r="B47" s="65"/>
      <c r="C47" s="305"/>
      <c r="D47" s="305"/>
      <c r="E47" s="65"/>
      <c r="F47" s="65"/>
      <c r="G47" s="65"/>
      <c r="H47" s="276"/>
    </row>
    <row r="48" spans="1:8">
      <c r="A48" s="300"/>
      <c r="B48" s="306" t="s">
        <v>765</v>
      </c>
      <c r="C48" s="276"/>
      <c r="D48" s="276"/>
      <c r="E48" s="306" t="s">
        <v>766</v>
      </c>
      <c r="F48" s="278"/>
      <c r="G48" s="278"/>
      <c r="H48" s="276"/>
    </row>
    <row r="49" spans="1:8">
      <c r="A49" s="307" t="s">
        <v>767</v>
      </c>
      <c r="B49" s="308">
        <f>B14+B23+B35+B46</f>
        <v>279797297</v>
      </c>
      <c r="C49" s="299" t="s">
        <v>768</v>
      </c>
      <c r="D49" s="299"/>
      <c r="E49" s="308">
        <f>E14+E23+E35+E46</f>
        <v>175436835</v>
      </c>
      <c r="F49" s="309">
        <f>F14+F23+F35+F46</f>
        <v>104360462</v>
      </c>
      <c r="G49" s="309">
        <f>G14+G23+G35+G46</f>
        <v>4294344</v>
      </c>
      <c r="H49" s="293"/>
    </row>
    <row r="50" spans="1:8">
      <c r="A50" s="310"/>
      <c r="B50" s="278"/>
      <c r="C50" s="276">
        <f>B49-EIA_Sch_4!G8</f>
        <v>-5585344</v>
      </c>
      <c r="D50" s="276"/>
      <c r="E50" s="278"/>
      <c r="F50" s="278"/>
      <c r="G50" s="278"/>
      <c r="H50" s="276"/>
    </row>
    <row r="51" spans="1:8">
      <c r="A51" s="311" t="s">
        <v>769</v>
      </c>
      <c r="B51" s="287"/>
      <c r="C51" s="292"/>
      <c r="D51" s="292"/>
      <c r="E51" s="287"/>
      <c r="F51" s="287"/>
      <c r="G51" s="287"/>
      <c r="H51" s="293"/>
    </row>
    <row r="52" spans="1:8">
      <c r="A52" s="303" t="s">
        <v>770</v>
      </c>
      <c r="B52" s="278">
        <v>975549</v>
      </c>
      <c r="C52" s="276"/>
      <c r="D52" s="276"/>
      <c r="E52" s="278"/>
      <c r="F52" s="287">
        <f>B52-E52</f>
        <v>975549</v>
      </c>
      <c r="G52" s="278"/>
      <c r="H52" s="276"/>
    </row>
    <row r="53" spans="1:8">
      <c r="A53" s="303" t="s">
        <v>771</v>
      </c>
      <c r="B53" s="287">
        <v>1151454</v>
      </c>
      <c r="C53" s="292"/>
      <c r="D53" s="292"/>
      <c r="E53" s="287">
        <v>641662</v>
      </c>
      <c r="F53" s="287">
        <f>B53-E53</f>
        <v>509792</v>
      </c>
      <c r="G53" s="287">
        <v>14658.039947108224</v>
      </c>
      <c r="H53" s="209"/>
    </row>
    <row r="54" spans="1:8">
      <c r="A54" s="303" t="s">
        <v>772</v>
      </c>
      <c r="B54" s="264">
        <v>22009713</v>
      </c>
      <c r="C54" s="295"/>
      <c r="D54" s="295"/>
      <c r="E54" s="264">
        <v>12499878</v>
      </c>
      <c r="F54" s="264">
        <f t="shared" ref="F54:F60" si="4">B54-E54</f>
        <v>9509835</v>
      </c>
      <c r="G54" s="264">
        <v>278638.18148329423</v>
      </c>
      <c r="H54" s="209"/>
    </row>
    <row r="55" spans="1:8">
      <c r="A55" s="303" t="s">
        <v>773</v>
      </c>
      <c r="B55" s="264">
        <v>15815641</v>
      </c>
      <c r="C55" s="295"/>
      <c r="D55" s="295"/>
      <c r="E55" s="264">
        <v>8243477</v>
      </c>
      <c r="F55" s="264">
        <f t="shared" si="4"/>
        <v>7572164</v>
      </c>
      <c r="G55" s="264">
        <v>212746.79682013416</v>
      </c>
      <c r="H55" s="209"/>
    </row>
    <row r="56" spans="1:8">
      <c r="A56" s="303" t="s">
        <v>774</v>
      </c>
      <c r="B56" s="264">
        <v>11958300</v>
      </c>
      <c r="C56" s="295"/>
      <c r="D56" s="295"/>
      <c r="E56" s="264">
        <v>7030198</v>
      </c>
      <c r="F56" s="264">
        <f t="shared" si="4"/>
        <v>4928102</v>
      </c>
      <c r="G56" s="264">
        <v>262298.00244224741</v>
      </c>
      <c r="H56" s="209"/>
    </row>
    <row r="57" spans="1:8">
      <c r="A57" s="303" t="s">
        <v>775</v>
      </c>
      <c r="B57" s="264">
        <v>7178769</v>
      </c>
      <c r="C57" s="295"/>
      <c r="D57" s="295"/>
      <c r="E57" s="264">
        <v>3948386</v>
      </c>
      <c r="F57" s="264">
        <f t="shared" si="4"/>
        <v>3230383</v>
      </c>
      <c r="G57" s="264">
        <v>105078.97930721598</v>
      </c>
      <c r="H57" s="209"/>
    </row>
    <row r="58" spans="1:8">
      <c r="A58" s="303" t="s">
        <v>776</v>
      </c>
      <c r="B58" s="264">
        <v>0</v>
      </c>
      <c r="C58" s="295"/>
      <c r="D58" s="295"/>
      <c r="E58" s="264">
        <v>0</v>
      </c>
      <c r="F58" s="264">
        <f t="shared" si="4"/>
        <v>0</v>
      </c>
      <c r="G58" s="264">
        <v>0</v>
      </c>
      <c r="H58" s="276"/>
    </row>
    <row r="59" spans="1:8">
      <c r="A59" s="303" t="s">
        <v>777</v>
      </c>
      <c r="B59" s="264">
        <v>0</v>
      </c>
      <c r="C59" s="295"/>
      <c r="D59" s="295"/>
      <c r="E59" s="264">
        <v>0</v>
      </c>
      <c r="F59" s="264">
        <f t="shared" si="4"/>
        <v>0</v>
      </c>
      <c r="G59" s="264">
        <v>0</v>
      </c>
      <c r="H59" s="276"/>
    </row>
    <row r="60" spans="1:8">
      <c r="A60" s="303" t="s">
        <v>778</v>
      </c>
      <c r="B60" s="264">
        <v>0</v>
      </c>
      <c r="C60" s="295"/>
      <c r="D60" s="295"/>
      <c r="E60" s="264">
        <v>0</v>
      </c>
      <c r="F60" s="264">
        <f t="shared" si="4"/>
        <v>0</v>
      </c>
      <c r="G60" s="264">
        <v>0</v>
      </c>
      <c r="H60" s="276"/>
    </row>
    <row r="61" spans="1:8" ht="16.2">
      <c r="A61" s="303" t="s">
        <v>779</v>
      </c>
      <c r="B61" s="296">
        <v>0</v>
      </c>
      <c r="C61" s="297"/>
      <c r="D61" s="297"/>
      <c r="E61" s="296">
        <v>0</v>
      </c>
      <c r="F61" s="296">
        <f>B61-E61</f>
        <v>0</v>
      </c>
      <c r="G61" s="296">
        <v>0</v>
      </c>
      <c r="H61" s="276"/>
    </row>
    <row r="62" spans="1:8" ht="16.2">
      <c r="A62" s="303"/>
      <c r="B62" s="296"/>
      <c r="C62" s="297"/>
      <c r="D62" s="297"/>
      <c r="E62" s="296"/>
      <c r="F62" s="296"/>
      <c r="G62" s="296"/>
      <c r="H62" s="276"/>
    </row>
    <row r="63" spans="1:8">
      <c r="A63" s="304"/>
      <c r="B63" s="306" t="s">
        <v>780</v>
      </c>
      <c r="C63" s="277"/>
      <c r="D63" s="277"/>
      <c r="E63" s="306" t="s">
        <v>781</v>
      </c>
      <c r="F63" s="278"/>
      <c r="G63" s="306" t="s">
        <v>782</v>
      </c>
      <c r="H63" s="276"/>
    </row>
    <row r="64" spans="1:8">
      <c r="A64" s="312" t="s">
        <v>671</v>
      </c>
      <c r="B64" s="308">
        <f>SUM(B51:B61)</f>
        <v>59089426</v>
      </c>
      <c r="C64" s="299" t="s">
        <v>783</v>
      </c>
      <c r="D64" s="292"/>
      <c r="E64" s="308">
        <f>SUM(E51:E61)</f>
        <v>32363601</v>
      </c>
      <c r="F64" s="309">
        <f>SUM(F51:F61)</f>
        <v>26725825</v>
      </c>
      <c r="G64" s="308">
        <f>SUM(G51:G61)</f>
        <v>873420.00000000012</v>
      </c>
      <c r="H64" s="293"/>
    </row>
    <row r="65" spans="1:8">
      <c r="A65" s="304"/>
      <c r="B65" s="287"/>
      <c r="C65" s="292">
        <f>B64-EIA_Sch_4!G9</f>
        <v>-11986101</v>
      </c>
      <c r="D65" s="292"/>
      <c r="E65" s="287"/>
      <c r="F65" s="287"/>
      <c r="G65" s="287"/>
      <c r="H65" s="276"/>
    </row>
    <row r="66" spans="1:8">
      <c r="A66" s="311" t="s">
        <v>784</v>
      </c>
      <c r="B66" s="278"/>
      <c r="C66" s="276"/>
      <c r="D66" s="276"/>
      <c r="E66" s="278"/>
      <c r="F66" s="278"/>
      <c r="G66" s="278"/>
      <c r="H66" s="276"/>
    </row>
    <row r="67" spans="1:8">
      <c r="A67" s="303" t="s">
        <v>785</v>
      </c>
      <c r="B67" s="287">
        <v>0</v>
      </c>
      <c r="C67" s="292"/>
      <c r="D67" s="292"/>
      <c r="E67" s="287">
        <v>0</v>
      </c>
      <c r="F67" s="287">
        <f>B67-E67</f>
        <v>0</v>
      </c>
      <c r="G67" s="287">
        <v>0</v>
      </c>
      <c r="H67" s="276"/>
    </row>
    <row r="68" spans="1:8">
      <c r="A68" s="303" t="s">
        <v>786</v>
      </c>
      <c r="B68" s="264">
        <v>0</v>
      </c>
      <c r="C68" s="295"/>
      <c r="D68" s="295"/>
      <c r="E68" s="264">
        <v>0</v>
      </c>
      <c r="F68" s="264">
        <f t="shared" ref="F68:F81" si="5">B68-E68</f>
        <v>0</v>
      </c>
      <c r="G68" s="264">
        <v>0</v>
      </c>
      <c r="H68" s="276"/>
    </row>
    <row r="69" spans="1:8">
      <c r="A69" s="303" t="s">
        <v>787</v>
      </c>
      <c r="B69" s="264">
        <v>0</v>
      </c>
      <c r="C69" s="295"/>
      <c r="D69" s="295"/>
      <c r="E69" s="264">
        <v>0</v>
      </c>
      <c r="F69" s="264">
        <f t="shared" si="5"/>
        <v>0</v>
      </c>
      <c r="G69" s="264">
        <v>0</v>
      </c>
      <c r="H69" s="276"/>
    </row>
    <row r="70" spans="1:8">
      <c r="A70" s="303" t="s">
        <v>788</v>
      </c>
      <c r="B70" s="264">
        <v>0</v>
      </c>
      <c r="C70" s="295"/>
      <c r="D70" s="295"/>
      <c r="E70" s="264">
        <v>0</v>
      </c>
      <c r="F70" s="264">
        <f t="shared" si="5"/>
        <v>0</v>
      </c>
      <c r="G70" s="264">
        <v>0</v>
      </c>
      <c r="H70" s="276"/>
    </row>
    <row r="71" spans="1:8">
      <c r="A71" s="303" t="s">
        <v>789</v>
      </c>
      <c r="B71" s="264">
        <v>0</v>
      </c>
      <c r="C71" s="295"/>
      <c r="D71" s="295"/>
      <c r="E71" s="264">
        <v>0</v>
      </c>
      <c r="F71" s="264">
        <f t="shared" si="5"/>
        <v>0</v>
      </c>
      <c r="G71" s="264">
        <v>0</v>
      </c>
      <c r="H71" s="276"/>
    </row>
    <row r="72" spans="1:8">
      <c r="A72" s="303" t="s">
        <v>790</v>
      </c>
      <c r="B72" s="264">
        <v>0</v>
      </c>
      <c r="C72" s="295"/>
      <c r="D72" s="295"/>
      <c r="E72" s="264">
        <v>0</v>
      </c>
      <c r="F72" s="264">
        <f t="shared" si="5"/>
        <v>0</v>
      </c>
      <c r="G72" s="264">
        <v>0</v>
      </c>
      <c r="H72" s="276"/>
    </row>
    <row r="73" spans="1:8">
      <c r="A73" s="303" t="s">
        <v>791</v>
      </c>
      <c r="B73" s="264">
        <v>0</v>
      </c>
      <c r="C73" s="295"/>
      <c r="D73" s="295"/>
      <c r="E73" s="264">
        <v>0</v>
      </c>
      <c r="F73" s="264">
        <f t="shared" si="5"/>
        <v>0</v>
      </c>
      <c r="G73" s="264">
        <v>0</v>
      </c>
      <c r="H73" s="276"/>
    </row>
    <row r="74" spans="1:8">
      <c r="A74" s="303" t="s">
        <v>792</v>
      </c>
      <c r="B74" s="264">
        <v>0</v>
      </c>
      <c r="C74" s="295"/>
      <c r="D74" s="295"/>
      <c r="E74" s="264">
        <v>0</v>
      </c>
      <c r="F74" s="264">
        <f t="shared" si="5"/>
        <v>0</v>
      </c>
      <c r="G74" s="264">
        <v>0</v>
      </c>
      <c r="H74" s="276"/>
    </row>
    <row r="75" spans="1:8">
      <c r="A75" s="303" t="s">
        <v>793</v>
      </c>
      <c r="B75" s="264">
        <v>0</v>
      </c>
      <c r="C75" s="295"/>
      <c r="D75" s="295"/>
      <c r="E75" s="264">
        <v>0</v>
      </c>
      <c r="F75" s="264">
        <f t="shared" si="5"/>
        <v>0</v>
      </c>
      <c r="G75" s="264">
        <v>0</v>
      </c>
      <c r="H75" s="276"/>
    </row>
    <row r="76" spans="1:8">
      <c r="A76" s="303" t="s">
        <v>794</v>
      </c>
      <c r="B76" s="264">
        <v>0</v>
      </c>
      <c r="C76" s="295"/>
      <c r="D76" s="295"/>
      <c r="E76" s="264">
        <v>0</v>
      </c>
      <c r="F76" s="264">
        <f t="shared" si="5"/>
        <v>0</v>
      </c>
      <c r="G76" s="264">
        <v>0</v>
      </c>
      <c r="H76" s="276"/>
    </row>
    <row r="77" spans="1:8">
      <c r="A77" s="303" t="s">
        <v>795</v>
      </c>
      <c r="B77" s="264">
        <v>0</v>
      </c>
      <c r="C77" s="295"/>
      <c r="D77" s="295"/>
      <c r="E77" s="264">
        <v>0</v>
      </c>
      <c r="F77" s="264">
        <f t="shared" si="5"/>
        <v>0</v>
      </c>
      <c r="G77" s="264">
        <v>0</v>
      </c>
      <c r="H77" s="276"/>
    </row>
    <row r="78" spans="1:8">
      <c r="A78" s="303" t="s">
        <v>796</v>
      </c>
      <c r="B78" s="264">
        <v>0</v>
      </c>
      <c r="C78" s="295"/>
      <c r="D78" s="295"/>
      <c r="E78" s="264">
        <v>0</v>
      </c>
      <c r="F78" s="264">
        <f t="shared" si="5"/>
        <v>0</v>
      </c>
      <c r="G78" s="264">
        <v>0</v>
      </c>
      <c r="H78" s="276"/>
    </row>
    <row r="79" spans="1:8">
      <c r="A79" s="303" t="s">
        <v>797</v>
      </c>
      <c r="B79" s="264">
        <v>0</v>
      </c>
      <c r="C79" s="295"/>
      <c r="D79" s="295"/>
      <c r="E79" s="264">
        <v>0</v>
      </c>
      <c r="F79" s="264">
        <f t="shared" si="5"/>
        <v>0</v>
      </c>
      <c r="G79" s="264">
        <v>0</v>
      </c>
      <c r="H79" s="276"/>
    </row>
    <row r="80" spans="1:8">
      <c r="A80" s="303" t="s">
        <v>798</v>
      </c>
      <c r="B80" s="264">
        <v>0</v>
      </c>
      <c r="C80" s="295"/>
      <c r="D80" s="295"/>
      <c r="E80" s="264">
        <v>0</v>
      </c>
      <c r="F80" s="264">
        <f t="shared" si="5"/>
        <v>0</v>
      </c>
      <c r="G80" s="264">
        <v>0</v>
      </c>
      <c r="H80" s="276"/>
    </row>
    <row r="81" spans="1:8" ht="16.2">
      <c r="A81" s="303" t="s">
        <v>799</v>
      </c>
      <c r="B81" s="296">
        <v>0</v>
      </c>
      <c r="C81" s="297"/>
      <c r="D81" s="297"/>
      <c r="E81" s="296">
        <v>0</v>
      </c>
      <c r="F81" s="296">
        <f t="shared" si="5"/>
        <v>0</v>
      </c>
      <c r="G81" s="296">
        <v>0</v>
      </c>
      <c r="H81" s="276"/>
    </row>
    <row r="82" spans="1:8" ht="16.2">
      <c r="A82" s="303"/>
      <c r="B82" s="296"/>
      <c r="C82" s="297"/>
      <c r="D82" s="297"/>
      <c r="E82" s="296"/>
      <c r="F82" s="296"/>
      <c r="G82" s="296"/>
      <c r="H82" s="276"/>
    </row>
    <row r="83" spans="1:8">
      <c r="A83" s="304"/>
      <c r="B83" s="306" t="s">
        <v>800</v>
      </c>
      <c r="C83" s="276"/>
      <c r="D83" s="276"/>
      <c r="E83" s="306" t="s">
        <v>801</v>
      </c>
      <c r="F83" s="278"/>
      <c r="G83" s="278"/>
      <c r="H83" s="276"/>
    </row>
    <row r="84" spans="1:8">
      <c r="A84" s="304" t="s">
        <v>802</v>
      </c>
      <c r="B84" s="308">
        <f>SUM(B67:B82)</f>
        <v>0</v>
      </c>
      <c r="C84" s="299" t="s">
        <v>803</v>
      </c>
      <c r="D84" s="292"/>
      <c r="E84" s="308">
        <f>SUM(E67:E82)</f>
        <v>0</v>
      </c>
      <c r="F84" s="287">
        <f>SUM(F67:F82)</f>
        <v>0</v>
      </c>
      <c r="G84" s="287">
        <f>SUM(G67:G82)</f>
        <v>0</v>
      </c>
      <c r="H84" s="276"/>
    </row>
    <row r="85" spans="1:8">
      <c r="A85" s="304"/>
      <c r="B85" s="278"/>
      <c r="C85" s="276"/>
      <c r="D85" s="276"/>
      <c r="E85" s="278"/>
      <c r="F85" s="278"/>
      <c r="G85" s="278"/>
      <c r="H85" s="276"/>
    </row>
    <row r="86" spans="1:8">
      <c r="A86" s="311" t="s">
        <v>804</v>
      </c>
      <c r="B86" s="278"/>
      <c r="C86" s="276"/>
      <c r="D86" s="276"/>
      <c r="E86" s="278"/>
      <c r="F86" s="278"/>
      <c r="G86" s="278"/>
      <c r="H86" s="276"/>
    </row>
    <row r="87" spans="1:8">
      <c r="A87" s="303" t="s">
        <v>805</v>
      </c>
      <c r="B87" s="287">
        <v>0</v>
      </c>
      <c r="C87" s="292"/>
      <c r="D87" s="292"/>
      <c r="E87" s="287">
        <v>0</v>
      </c>
      <c r="F87" s="287">
        <f>B87-E87</f>
        <v>0</v>
      </c>
      <c r="G87" s="287">
        <v>0</v>
      </c>
      <c r="H87" s="276"/>
    </row>
    <row r="88" spans="1:8">
      <c r="A88" s="303" t="s">
        <v>806</v>
      </c>
      <c r="B88" s="264">
        <v>0</v>
      </c>
      <c r="C88" s="295"/>
      <c r="D88" s="295"/>
      <c r="E88" s="264">
        <v>0</v>
      </c>
      <c r="F88" s="264">
        <f>B88-E88</f>
        <v>0</v>
      </c>
      <c r="G88" s="264">
        <v>0</v>
      </c>
      <c r="H88" s="276"/>
    </row>
    <row r="89" spans="1:8" ht="16.2">
      <c r="A89" s="303" t="s">
        <v>807</v>
      </c>
      <c r="B89" s="296">
        <v>9294997</v>
      </c>
      <c r="C89" s="297"/>
      <c r="D89" s="297"/>
      <c r="E89" s="296">
        <v>7334185</v>
      </c>
      <c r="F89" s="296">
        <f>B89-E89</f>
        <v>1960812</v>
      </c>
      <c r="G89" s="296">
        <v>92950</v>
      </c>
      <c r="H89" s="276"/>
    </row>
    <row r="90" spans="1:8" ht="16.2">
      <c r="A90" s="303"/>
      <c r="B90" s="296"/>
      <c r="C90" s="297"/>
      <c r="D90" s="297"/>
      <c r="E90" s="296"/>
      <c r="F90" s="296"/>
      <c r="G90" s="296"/>
      <c r="H90" s="276"/>
    </row>
    <row r="91" spans="1:8">
      <c r="A91" s="304"/>
      <c r="B91" s="313" t="s">
        <v>808</v>
      </c>
      <c r="C91" s="295"/>
      <c r="D91" s="295"/>
      <c r="E91" s="313" t="s">
        <v>809</v>
      </c>
      <c r="F91" s="264"/>
      <c r="G91" s="264"/>
      <c r="H91" s="276"/>
    </row>
    <row r="92" spans="1:8">
      <c r="A92" s="304" t="s">
        <v>810</v>
      </c>
      <c r="B92" s="308">
        <f>SUM(B87:B89)</f>
        <v>9294997</v>
      </c>
      <c r="C92" s="299" t="s">
        <v>811</v>
      </c>
      <c r="D92" s="292"/>
      <c r="E92" s="308">
        <f>SUM(E87:E89)</f>
        <v>7334185</v>
      </c>
      <c r="F92" s="287">
        <f>SUM(F87:F89)</f>
        <v>1960812</v>
      </c>
      <c r="G92" s="287">
        <f>SUM(G87:G89)</f>
        <v>92950</v>
      </c>
      <c r="H92" s="276"/>
    </row>
    <row r="93" spans="1:8">
      <c r="A93" s="304"/>
      <c r="B93" s="278"/>
      <c r="C93" s="276"/>
      <c r="D93" s="276"/>
      <c r="E93" s="278"/>
      <c r="F93" s="278"/>
      <c r="G93" s="278"/>
      <c r="H93" s="276"/>
    </row>
    <row r="94" spans="1:8">
      <c r="A94" s="311" t="s">
        <v>812</v>
      </c>
      <c r="B94" s="278"/>
      <c r="C94" s="276"/>
      <c r="D94" s="276"/>
      <c r="E94" s="278"/>
      <c r="F94" s="287">
        <f>B94-E94</f>
        <v>0</v>
      </c>
      <c r="G94" s="278"/>
      <c r="H94" s="276"/>
    </row>
    <row r="95" spans="1:8">
      <c r="A95" s="303" t="s">
        <v>813</v>
      </c>
      <c r="B95" s="287">
        <v>2680187</v>
      </c>
      <c r="C95" s="292"/>
      <c r="D95" s="292"/>
      <c r="E95" s="287">
        <v>0</v>
      </c>
      <c r="F95" s="287">
        <f>B95-E95</f>
        <v>2680187</v>
      </c>
      <c r="G95" s="287">
        <v>0</v>
      </c>
      <c r="H95" s="293"/>
    </row>
    <row r="96" spans="1:8">
      <c r="A96" s="303" t="s">
        <v>814</v>
      </c>
      <c r="B96" s="264">
        <v>3404566</v>
      </c>
      <c r="C96" s="295"/>
      <c r="D96" s="295"/>
      <c r="E96" s="264">
        <v>476002</v>
      </c>
      <c r="F96" s="264">
        <f t="shared" ref="F96:F106" si="6">B96-E96</f>
        <v>2928564</v>
      </c>
      <c r="G96" s="264">
        <v>67906</v>
      </c>
      <c r="H96" s="293"/>
    </row>
    <row r="97" spans="1:8">
      <c r="A97" s="303" t="s">
        <v>815</v>
      </c>
      <c r="B97" s="264">
        <v>3263659</v>
      </c>
      <c r="C97" s="295"/>
      <c r="D97" s="295"/>
      <c r="E97" s="264">
        <v>2636797</v>
      </c>
      <c r="F97" s="264">
        <f t="shared" si="6"/>
        <v>626862</v>
      </c>
      <c r="G97" s="264">
        <f>211844</f>
        <v>211844</v>
      </c>
      <c r="H97" s="293"/>
    </row>
    <row r="98" spans="1:8">
      <c r="A98" s="303" t="s">
        <v>816</v>
      </c>
      <c r="B98" s="264">
        <v>495323</v>
      </c>
      <c r="C98" s="295"/>
      <c r="D98" s="295"/>
      <c r="E98" s="264">
        <v>384489</v>
      </c>
      <c r="F98" s="264">
        <f t="shared" si="6"/>
        <v>110834</v>
      </c>
      <c r="G98" s="264">
        <v>37637</v>
      </c>
      <c r="H98" s="293"/>
    </row>
    <row r="99" spans="1:8">
      <c r="A99" s="303" t="s">
        <v>817</v>
      </c>
      <c r="B99" s="264">
        <v>95520</v>
      </c>
      <c r="C99" s="295"/>
      <c r="D99" s="295"/>
      <c r="E99" s="264">
        <v>64545</v>
      </c>
      <c r="F99" s="264">
        <f t="shared" si="6"/>
        <v>30975</v>
      </c>
      <c r="G99" s="264">
        <v>3259</v>
      </c>
      <c r="H99" s="293"/>
    </row>
    <row r="100" spans="1:8">
      <c r="A100" s="303" t="s">
        <v>818</v>
      </c>
      <c r="B100" s="264">
        <v>700835</v>
      </c>
      <c r="C100" s="295"/>
      <c r="D100" s="295"/>
      <c r="E100" s="264">
        <v>473569</v>
      </c>
      <c r="F100" s="264">
        <f t="shared" si="6"/>
        <v>227266</v>
      </c>
      <c r="G100" s="264">
        <v>23910</v>
      </c>
      <c r="H100" s="293"/>
    </row>
    <row r="101" spans="1:8">
      <c r="A101" s="303" t="s">
        <v>819</v>
      </c>
      <c r="B101" s="264">
        <v>286937</v>
      </c>
      <c r="C101" s="295"/>
      <c r="D101" s="295"/>
      <c r="E101" s="264">
        <v>193890</v>
      </c>
      <c r="F101" s="264">
        <f t="shared" si="6"/>
        <v>93047</v>
      </c>
      <c r="G101" s="264">
        <v>9789</v>
      </c>
      <c r="H101" s="293"/>
    </row>
    <row r="102" spans="1:8">
      <c r="A102" s="303" t="s">
        <v>820</v>
      </c>
      <c r="B102" s="264">
        <v>1634818</v>
      </c>
      <c r="C102" s="295"/>
      <c r="D102" s="295"/>
      <c r="E102" s="264">
        <v>1104681</v>
      </c>
      <c r="F102" s="264">
        <f t="shared" si="6"/>
        <v>530137</v>
      </c>
      <c r="G102" s="264">
        <v>55773</v>
      </c>
      <c r="H102" s="293"/>
    </row>
    <row r="103" spans="1:8">
      <c r="A103" s="303" t="s">
        <v>821</v>
      </c>
      <c r="B103" s="264">
        <v>780109</v>
      </c>
      <c r="C103" s="295"/>
      <c r="D103" s="295"/>
      <c r="E103" s="264">
        <v>527136</v>
      </c>
      <c r="F103" s="264">
        <f t="shared" si="6"/>
        <v>252973</v>
      </c>
      <c r="G103" s="264">
        <v>26614</v>
      </c>
      <c r="H103" s="293"/>
    </row>
    <row r="104" spans="1:8">
      <c r="A104" s="303" t="s">
        <v>822</v>
      </c>
      <c r="B104" s="264">
        <v>166716</v>
      </c>
      <c r="C104" s="295"/>
      <c r="D104" s="295"/>
      <c r="E104" s="264">
        <v>111147</v>
      </c>
      <c r="F104" s="264">
        <f t="shared" si="6"/>
        <v>55569</v>
      </c>
      <c r="G104" s="264">
        <v>6753</v>
      </c>
      <c r="H104" s="293"/>
    </row>
    <row r="105" spans="1:8">
      <c r="A105" s="303" t="s">
        <v>823</v>
      </c>
      <c r="B105" s="264">
        <v>2818</v>
      </c>
      <c r="C105" s="295"/>
      <c r="D105" s="295"/>
      <c r="E105" s="264">
        <v>2818</v>
      </c>
      <c r="F105" s="264">
        <f t="shared" si="6"/>
        <v>0</v>
      </c>
      <c r="G105" s="264">
        <v>0</v>
      </c>
      <c r="H105" s="293"/>
    </row>
    <row r="106" spans="1:8" ht="16.2">
      <c r="A106" s="303" t="s">
        <v>824</v>
      </c>
      <c r="B106" s="296">
        <v>0</v>
      </c>
      <c r="C106" s="297"/>
      <c r="D106" s="297"/>
      <c r="E106" s="296">
        <v>0</v>
      </c>
      <c r="F106" s="296">
        <f t="shared" si="6"/>
        <v>0</v>
      </c>
      <c r="G106" s="296">
        <v>0</v>
      </c>
      <c r="H106" s="293"/>
    </row>
    <row r="107" spans="1:8">
      <c r="A107" s="277"/>
      <c r="B107" s="264"/>
      <c r="C107" s="295">
        <f>B109-'Nonlevelized-EIA 412'!$D$84+B92</f>
        <v>22806485</v>
      </c>
      <c r="D107" s="295"/>
      <c r="E107" s="264"/>
      <c r="F107" s="264"/>
      <c r="G107" s="264"/>
      <c r="H107" s="276"/>
    </row>
    <row r="108" spans="1:8">
      <c r="A108" s="277"/>
      <c r="B108" s="313" t="s">
        <v>808</v>
      </c>
      <c r="C108" s="295"/>
      <c r="D108" s="295"/>
      <c r="E108" s="313" t="s">
        <v>809</v>
      </c>
      <c r="F108" s="264"/>
      <c r="G108" s="313" t="s">
        <v>825</v>
      </c>
      <c r="H108" s="276"/>
    </row>
    <row r="109" spans="1:8">
      <c r="A109" s="314" t="s">
        <v>826</v>
      </c>
      <c r="B109" s="308">
        <f>SUM(B94:B106)</f>
        <v>13511488</v>
      </c>
      <c r="C109" s="299" t="s">
        <v>827</v>
      </c>
      <c r="D109" s="292"/>
      <c r="E109" s="308">
        <f>SUM(E94:E106)</f>
        <v>5975074</v>
      </c>
      <c r="F109" s="287">
        <f>SUM(F94:F106)</f>
        <v>7536414</v>
      </c>
      <c r="G109" s="308">
        <f>SUM(G94:G106)</f>
        <v>443485</v>
      </c>
      <c r="H109" s="276"/>
    </row>
    <row r="110" spans="1:8" ht="16.2">
      <c r="A110" s="277"/>
      <c r="B110" s="296"/>
      <c r="C110" s="297"/>
      <c r="D110" s="297"/>
      <c r="E110" s="296"/>
      <c r="F110" s="296"/>
      <c r="G110" s="296"/>
      <c r="H110" s="276"/>
    </row>
    <row r="111" spans="1:8" ht="16.2">
      <c r="A111" s="314" t="s">
        <v>828</v>
      </c>
      <c r="B111" s="315">
        <f>B49+B64+B84+B92+B109</f>
        <v>361693208</v>
      </c>
      <c r="C111" s="316"/>
      <c r="D111" s="316"/>
      <c r="E111" s="315">
        <f>E49+E64+E84+E92+E109</f>
        <v>221109695</v>
      </c>
      <c r="F111" s="315">
        <f>F49+F64+F84+F92+F109</f>
        <v>140583513</v>
      </c>
      <c r="G111" s="315">
        <f>G49+G64+G84+G92+G109</f>
        <v>5704199</v>
      </c>
      <c r="H111" s="293"/>
    </row>
    <row r="112" spans="1:8">
      <c r="A112" s="277"/>
      <c r="B112" s="309"/>
      <c r="C112" s="317"/>
      <c r="D112" s="317"/>
      <c r="E112" s="309"/>
      <c r="F112" s="309"/>
      <c r="G112" s="309"/>
      <c r="H112" s="276"/>
    </row>
    <row r="113" spans="1:8" ht="16.2">
      <c r="A113" s="318" t="s">
        <v>829</v>
      </c>
      <c r="B113" s="315">
        <v>364679764</v>
      </c>
      <c r="C113" s="276"/>
      <c r="D113" s="276"/>
      <c r="E113" s="315">
        <v>215521237</v>
      </c>
      <c r="F113" s="315">
        <v>149158527</v>
      </c>
      <c r="G113" s="319">
        <v>5874659</v>
      </c>
      <c r="H113" s="276"/>
    </row>
    <row r="114" spans="1:8" ht="16.2">
      <c r="A114" s="318"/>
      <c r="B114" s="315"/>
      <c r="C114" s="276"/>
      <c r="D114" s="276"/>
      <c r="E114" s="315"/>
      <c r="F114" s="315"/>
      <c r="G114" s="319"/>
      <c r="H114" s="276"/>
    </row>
    <row r="115" spans="1:8" ht="16.2">
      <c r="A115" s="318" t="s">
        <v>507</v>
      </c>
      <c r="B115" s="315">
        <f>B111-B113</f>
        <v>-2986556</v>
      </c>
      <c r="C115" s="276"/>
      <c r="D115" s="276"/>
      <c r="E115" s="315">
        <f>E111-E113</f>
        <v>5588458</v>
      </c>
      <c r="F115" s="315">
        <f>F111-F113</f>
        <v>-8575014</v>
      </c>
      <c r="G115" s="319">
        <f>G111-G113</f>
        <v>-170460</v>
      </c>
      <c r="H115" s="276"/>
    </row>
    <row r="116" spans="1:8">
      <c r="A116" s="320" t="s">
        <v>830</v>
      </c>
      <c r="B116" s="278"/>
      <c r="C116" s="276"/>
      <c r="D116" s="276"/>
      <c r="E116" s="278"/>
      <c r="F116" s="278"/>
      <c r="G116" s="278"/>
      <c r="H116" s="276"/>
    </row>
    <row r="117" spans="1:8">
      <c r="A117" s="277" t="s">
        <v>831</v>
      </c>
      <c r="B117" s="278"/>
      <c r="C117" s="276"/>
      <c r="D117" s="276"/>
      <c r="E117" s="278"/>
      <c r="F117" s="278"/>
      <c r="G117" s="278"/>
      <c r="H117" s="276"/>
    </row>
    <row r="118" spans="1:8">
      <c r="A118" s="277" t="s">
        <v>832</v>
      </c>
      <c r="B118" s="278"/>
      <c r="C118" s="276"/>
      <c r="D118" s="276"/>
      <c r="E118" s="278"/>
      <c r="F118" s="278"/>
      <c r="G118" s="278"/>
      <c r="H118" s="276"/>
    </row>
    <row r="119" spans="1:8">
      <c r="A119" s="277"/>
      <c r="B119" s="278"/>
      <c r="C119" s="276"/>
      <c r="D119" s="276"/>
      <c r="E119" s="278"/>
      <c r="F119" s="278"/>
      <c r="G119" s="278"/>
      <c r="H119" s="276"/>
    </row>
    <row r="120" spans="1:8">
      <c r="A120" s="277" t="s">
        <v>833</v>
      </c>
      <c r="B120" s="278"/>
      <c r="C120" s="276"/>
      <c r="D120" s="276"/>
      <c r="E120" s="278"/>
      <c r="F120" s="278"/>
      <c r="G120" s="278"/>
      <c r="H120" s="276"/>
    </row>
    <row r="121" spans="1:8">
      <c r="A121" s="277"/>
      <c r="B121" s="278"/>
      <c r="C121" s="276"/>
      <c r="D121" s="276"/>
      <c r="E121" s="278"/>
      <c r="F121" s="278"/>
      <c r="G121" s="278"/>
      <c r="H121" s="276"/>
    </row>
    <row r="122" spans="1:8">
      <c r="A122" s="277" t="s">
        <v>1037</v>
      </c>
      <c r="B122" s="278"/>
      <c r="C122" s="276"/>
      <c r="D122" s="276"/>
      <c r="E122" s="278"/>
      <c r="F122" s="278"/>
      <c r="G122" s="278"/>
      <c r="H122" s="276"/>
    </row>
    <row r="123" spans="1:8">
      <c r="A123" s="277"/>
      <c r="B123" s="278"/>
      <c r="C123" s="276"/>
      <c r="D123" s="276"/>
      <c r="E123" s="278"/>
      <c r="F123" s="278"/>
      <c r="G123" s="278"/>
      <c r="H123" s="276"/>
    </row>
    <row r="124" spans="1:8">
      <c r="A124" s="277" t="s">
        <v>1052</v>
      </c>
      <c r="B124" s="278"/>
      <c r="C124" s="276"/>
      <c r="D124" s="276"/>
      <c r="E124" s="278"/>
      <c r="F124" s="278"/>
      <c r="G124" s="278"/>
      <c r="H124" s="276"/>
    </row>
    <row r="125" spans="1:8">
      <c r="A125" s="277" t="s">
        <v>1051</v>
      </c>
      <c r="B125" s="278"/>
      <c r="C125" s="276"/>
      <c r="D125" s="276"/>
      <c r="E125" s="278"/>
      <c r="F125" s="278"/>
      <c r="G125" s="278"/>
      <c r="H125" s="276"/>
    </row>
    <row r="126" spans="1:8">
      <c r="A126" s="277" t="s">
        <v>1061</v>
      </c>
      <c r="B126" s="278"/>
      <c r="C126" s="276"/>
      <c r="D126" s="276"/>
      <c r="E126" s="278"/>
      <c r="F126" s="278"/>
      <c r="G126" s="278"/>
      <c r="H126" s="276"/>
    </row>
    <row r="127" spans="1:8">
      <c r="A127" s="277" t="s">
        <v>1053</v>
      </c>
      <c r="B127" s="278"/>
      <c r="C127" s="276"/>
      <c r="D127" s="276"/>
      <c r="E127" s="278"/>
      <c r="F127" s="278"/>
      <c r="G127" s="278"/>
      <c r="H127" s="276"/>
    </row>
    <row r="128" spans="1:8">
      <c r="A128" s="277" t="s">
        <v>1054</v>
      </c>
      <c r="B128" s="278"/>
      <c r="C128" s="276"/>
      <c r="D128" s="276"/>
      <c r="E128" s="278"/>
      <c r="F128" s="278"/>
      <c r="G128" s="278"/>
      <c r="H128" s="276"/>
    </row>
    <row r="129" spans="1:8">
      <c r="A129" s="277" t="s">
        <v>1062</v>
      </c>
      <c r="B129" s="278"/>
      <c r="C129" s="276"/>
      <c r="D129" s="276"/>
      <c r="E129" s="278"/>
      <c r="F129" s="278"/>
      <c r="G129" s="278"/>
      <c r="H129" s="276"/>
    </row>
    <row r="130" spans="1:8">
      <c r="A130" s="277" t="s">
        <v>1063</v>
      </c>
    </row>
    <row r="131" spans="1:8">
      <c r="A131" s="277"/>
    </row>
  </sheetData>
  <mergeCells count="1">
    <mergeCell ref="A1:G1"/>
  </mergeCells>
  <printOptions horizontalCentered="1" verticalCentered="1"/>
  <pageMargins left="0.2" right="0.2" top="0.25" bottom="0.25" header="0.3" footer="0.3"/>
  <pageSetup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activeCell="A2" sqref="A2:H2"/>
    </sheetView>
  </sheetViews>
  <sheetFormatPr defaultRowHeight="15"/>
  <sheetData>
    <row r="1" spans="1:11">
      <c r="A1" s="632" t="s">
        <v>834</v>
      </c>
      <c r="B1" s="632"/>
      <c r="C1" s="632"/>
      <c r="D1" s="632"/>
      <c r="E1" s="632"/>
      <c r="F1" s="632"/>
      <c r="G1" s="632"/>
      <c r="H1" s="632"/>
      <c r="I1" s="235"/>
      <c r="J1" s="235"/>
      <c r="K1" s="235"/>
    </row>
    <row r="2" spans="1:11">
      <c r="A2" s="632">
        <f>'Plant and Depr'!A1:G1</f>
        <v>2012</v>
      </c>
      <c r="B2" s="632"/>
      <c r="C2" s="632"/>
      <c r="D2" s="632"/>
      <c r="E2" s="632"/>
      <c r="F2" s="632"/>
      <c r="G2" s="632"/>
      <c r="H2" s="632"/>
      <c r="I2" s="235"/>
      <c r="J2" s="235"/>
      <c r="K2" s="235"/>
    </row>
    <row r="3" spans="1:11">
      <c r="A3" s="235"/>
      <c r="B3" s="235"/>
      <c r="C3" s="235"/>
      <c r="D3" s="235"/>
      <c r="E3" s="235"/>
      <c r="F3" s="235"/>
      <c r="G3" s="235"/>
      <c r="H3" s="235"/>
      <c r="I3" s="235"/>
      <c r="J3" s="235"/>
      <c r="K3" s="235"/>
    </row>
    <row r="4" spans="1:11">
      <c r="A4" s="235"/>
      <c r="B4" s="235"/>
      <c r="C4" s="235"/>
      <c r="D4" s="235"/>
      <c r="E4" s="235"/>
      <c r="F4" s="235"/>
      <c r="G4" s="235"/>
      <c r="H4" s="235"/>
      <c r="I4" s="235"/>
      <c r="J4" s="235"/>
      <c r="K4" s="235"/>
    </row>
    <row r="5" spans="1:11">
      <c r="A5" s="258" t="s">
        <v>835</v>
      </c>
      <c r="B5" s="258"/>
      <c r="C5" s="258"/>
      <c r="D5" s="235"/>
      <c r="E5" s="235"/>
      <c r="F5" s="235"/>
      <c r="G5" s="235"/>
      <c r="H5" s="235"/>
      <c r="I5" s="235"/>
      <c r="J5" s="235"/>
      <c r="K5" s="235"/>
    </row>
    <row r="6" spans="1:11">
      <c r="A6" s="235"/>
      <c r="B6" s="235"/>
      <c r="C6" s="235"/>
      <c r="D6" s="235"/>
      <c r="E6" s="235"/>
      <c r="F6" s="235"/>
      <c r="G6" s="235"/>
      <c r="H6" s="235"/>
      <c r="I6" s="235"/>
      <c r="J6" s="235"/>
      <c r="K6" s="235"/>
    </row>
    <row r="7" spans="1:11">
      <c r="A7" s="235"/>
      <c r="B7" s="235"/>
      <c r="C7" s="235"/>
      <c r="D7" s="235"/>
      <c r="E7" s="235"/>
      <c r="F7" s="235"/>
      <c r="G7" s="235"/>
      <c r="H7" s="235"/>
      <c r="I7" s="235"/>
      <c r="J7" s="235"/>
      <c r="K7" s="235"/>
    </row>
    <row r="8" spans="1:11">
      <c r="A8" s="235"/>
      <c r="B8" s="235" t="s">
        <v>836</v>
      </c>
      <c r="C8" s="235"/>
      <c r="D8" s="235"/>
      <c r="E8" s="235"/>
      <c r="F8" s="235"/>
      <c r="G8" s="235"/>
      <c r="H8" s="235"/>
      <c r="I8" s="235"/>
      <c r="J8" s="235"/>
      <c r="K8" s="235"/>
    </row>
    <row r="9" spans="1:11">
      <c r="A9" s="235"/>
      <c r="B9" s="235"/>
      <c r="C9" s="235"/>
      <c r="D9" s="235"/>
      <c r="E9" s="235"/>
      <c r="F9" s="235"/>
      <c r="G9" s="235"/>
      <c r="H9" s="235"/>
      <c r="I9" s="235"/>
      <c r="J9" s="235"/>
      <c r="K9" s="235"/>
    </row>
    <row r="10" spans="1:11">
      <c r="A10" s="235" t="s">
        <v>390</v>
      </c>
      <c r="B10" s="57">
        <v>0</v>
      </c>
      <c r="C10" s="235"/>
      <c r="D10" s="235"/>
      <c r="E10" s="235"/>
      <c r="F10" s="235"/>
      <c r="G10" s="235"/>
      <c r="H10" s="235"/>
      <c r="I10" s="235"/>
      <c r="J10" s="235"/>
      <c r="K10" s="235"/>
    </row>
    <row r="11" spans="1:11">
      <c r="A11" s="235" t="s">
        <v>45</v>
      </c>
      <c r="B11" s="263">
        <v>0</v>
      </c>
      <c r="C11" s="235"/>
      <c r="D11" s="235" t="s">
        <v>837</v>
      </c>
      <c r="E11" s="235"/>
      <c r="F11" s="235"/>
      <c r="G11" s="235"/>
      <c r="H11" s="235"/>
      <c r="I11" s="235"/>
      <c r="J11" s="235"/>
      <c r="K11" s="235"/>
    </row>
    <row r="12" spans="1:11">
      <c r="A12" s="235" t="s">
        <v>838</v>
      </c>
      <c r="B12" s="65">
        <v>0</v>
      </c>
      <c r="C12" s="235"/>
      <c r="D12" s="235"/>
      <c r="E12" s="235"/>
      <c r="F12" s="235"/>
      <c r="G12" s="235"/>
      <c r="H12" s="235"/>
      <c r="I12" s="235"/>
      <c r="J12" s="235"/>
      <c r="K12" s="235"/>
    </row>
    <row r="13" spans="1:11" ht="16.2">
      <c r="A13" s="235" t="s">
        <v>326</v>
      </c>
      <c r="B13" s="259">
        <v>0</v>
      </c>
      <c r="C13" s="235"/>
      <c r="D13" s="235"/>
      <c r="E13" s="235"/>
      <c r="F13" s="235"/>
      <c r="G13" s="235"/>
      <c r="H13" s="235"/>
      <c r="I13" s="235"/>
      <c r="J13" s="235"/>
      <c r="K13" s="235"/>
    </row>
    <row r="14" spans="1:11">
      <c r="A14" s="235"/>
      <c r="B14" s="321">
        <f>SUM(B10:B13)</f>
        <v>0</v>
      </c>
      <c r="C14" s="235"/>
      <c r="D14" s="235" t="s">
        <v>839</v>
      </c>
      <c r="E14" s="235"/>
      <c r="F14" s="235"/>
      <c r="G14" s="235"/>
      <c r="H14" s="235"/>
      <c r="I14" s="235"/>
      <c r="J14" s="235"/>
      <c r="K14" s="235"/>
    </row>
    <row r="15" spans="1:11">
      <c r="A15" s="235"/>
      <c r="B15" s="235"/>
      <c r="C15" s="235"/>
      <c r="D15" s="235" t="s">
        <v>840</v>
      </c>
      <c r="E15" s="235"/>
      <c r="F15" s="235"/>
      <c r="G15" s="235"/>
      <c r="H15" s="235"/>
      <c r="I15" s="235"/>
      <c r="J15" s="235"/>
      <c r="K15" s="235"/>
    </row>
    <row r="16" spans="1:11">
      <c r="A16" s="235"/>
      <c r="B16" s="235"/>
      <c r="C16" s="235"/>
      <c r="D16" s="235" t="s">
        <v>841</v>
      </c>
      <c r="E16" s="235"/>
      <c r="F16" s="235"/>
      <c r="G16" s="235"/>
      <c r="H16" s="235"/>
      <c r="I16" s="235"/>
      <c r="J16" s="235"/>
      <c r="K16" s="235"/>
    </row>
    <row r="17" spans="1:11">
      <c r="A17" s="235"/>
      <c r="B17" s="235"/>
      <c r="C17" s="235"/>
      <c r="D17" s="235" t="s">
        <v>842</v>
      </c>
      <c r="E17" s="235"/>
      <c r="F17" s="235"/>
      <c r="G17" s="235"/>
      <c r="H17" s="235"/>
      <c r="I17" s="235"/>
      <c r="J17" s="235"/>
      <c r="K17" s="235"/>
    </row>
    <row r="18" spans="1:11">
      <c r="A18" s="235"/>
      <c r="B18" s="235"/>
      <c r="C18" s="235"/>
      <c r="D18" s="235"/>
      <c r="E18" s="235"/>
      <c r="F18" s="235"/>
      <c r="G18" s="235"/>
      <c r="H18" s="235"/>
      <c r="I18" s="235"/>
      <c r="J18" s="235"/>
      <c r="K18" s="235"/>
    </row>
    <row r="19" spans="1:11">
      <c r="A19" s="235"/>
      <c r="B19" s="235"/>
      <c r="C19" s="235"/>
      <c r="D19" s="235"/>
      <c r="E19" s="235"/>
      <c r="F19" s="235"/>
      <c r="G19" s="235"/>
      <c r="H19" s="235"/>
      <c r="I19" s="235"/>
      <c r="J19" s="235"/>
      <c r="K19" s="235"/>
    </row>
    <row r="20" spans="1:11">
      <c r="A20" s="235" t="s">
        <v>1038</v>
      </c>
      <c r="B20" s="235"/>
      <c r="C20" s="235"/>
      <c r="D20" s="235"/>
      <c r="E20" s="235"/>
      <c r="F20" s="235"/>
      <c r="G20" s="235"/>
      <c r="H20" s="235"/>
      <c r="I20" s="235"/>
      <c r="J20" s="235"/>
      <c r="K20" s="235"/>
    </row>
    <row r="21" spans="1:11">
      <c r="A21" s="261" t="s">
        <v>843</v>
      </c>
      <c r="B21" s="235"/>
      <c r="C21" s="235"/>
      <c r="D21" s="235"/>
      <c r="E21" s="235"/>
      <c r="F21" s="235"/>
      <c r="G21" s="235"/>
      <c r="H21" s="235"/>
      <c r="I21" s="235"/>
      <c r="J21" s="235"/>
      <c r="K21" s="235"/>
    </row>
    <row r="22" spans="1:11">
      <c r="A22" s="261"/>
      <c r="B22" s="235"/>
      <c r="C22" s="235"/>
      <c r="D22" s="235"/>
      <c r="E22" s="235"/>
      <c r="F22" s="235"/>
      <c r="G22" s="235"/>
      <c r="H22" s="235"/>
      <c r="I22" s="235"/>
      <c r="J22" s="235"/>
      <c r="K22" s="235"/>
    </row>
    <row r="23" spans="1:11">
      <c r="A23" s="261"/>
      <c r="B23" s="235"/>
      <c r="C23" s="235"/>
      <c r="D23" s="235"/>
      <c r="E23" s="235"/>
      <c r="F23" s="235"/>
      <c r="G23" s="235"/>
      <c r="H23" s="235"/>
      <c r="I23" s="235"/>
      <c r="J23" s="235"/>
      <c r="K23" s="235"/>
    </row>
    <row r="24" spans="1:11">
      <c r="A24" s="235" t="s">
        <v>1039</v>
      </c>
      <c r="B24" s="235"/>
      <c r="C24" s="235"/>
      <c r="D24" s="235"/>
      <c r="E24" s="235"/>
      <c r="F24" s="235"/>
      <c r="G24" s="235"/>
      <c r="H24" s="235"/>
      <c r="I24" s="235"/>
      <c r="J24" s="235"/>
      <c r="K24" s="235"/>
    </row>
    <row r="25" spans="1:11">
      <c r="A25" s="261" t="s">
        <v>844</v>
      </c>
      <c r="B25" s="235"/>
      <c r="C25" s="235"/>
      <c r="D25" s="235"/>
      <c r="E25" s="235"/>
      <c r="F25" s="235"/>
      <c r="G25" s="235"/>
      <c r="H25" s="235"/>
      <c r="I25" s="235"/>
      <c r="J25" s="235"/>
      <c r="K25" s="235"/>
    </row>
    <row r="26" spans="1:11">
      <c r="A26" s="235"/>
      <c r="B26" s="235"/>
      <c r="C26" s="235"/>
      <c r="D26" s="235"/>
      <c r="E26" s="235"/>
      <c r="F26" s="235"/>
      <c r="G26" s="235"/>
      <c r="H26" s="235"/>
      <c r="I26" s="235"/>
      <c r="J26" s="235"/>
      <c r="K26" s="235"/>
    </row>
    <row r="27" spans="1:11">
      <c r="A27" s="235" t="s">
        <v>845</v>
      </c>
      <c r="B27" s="235"/>
      <c r="C27" s="235"/>
      <c r="D27" s="235"/>
      <c r="E27" s="235"/>
      <c r="F27" s="235"/>
      <c r="G27" s="235"/>
      <c r="H27" s="235"/>
      <c r="I27" s="235"/>
      <c r="J27" s="235"/>
      <c r="K27" s="235"/>
    </row>
    <row r="28" spans="1:11">
      <c r="A28" s="235"/>
      <c r="B28" s="235"/>
      <c r="C28" s="235"/>
      <c r="D28" s="235"/>
      <c r="E28" s="235"/>
      <c r="F28" s="235"/>
      <c r="G28" s="235"/>
      <c r="H28" s="235"/>
      <c r="I28" s="235"/>
      <c r="J28" s="235"/>
      <c r="K28" s="235"/>
    </row>
    <row r="29" spans="1:11">
      <c r="A29" s="235"/>
      <c r="B29" s="235"/>
      <c r="C29" s="235"/>
      <c r="D29" s="235"/>
      <c r="E29" s="235"/>
      <c r="F29" s="235"/>
      <c r="G29" s="235"/>
      <c r="H29" s="235"/>
      <c r="I29" s="235"/>
      <c r="J29" s="235"/>
      <c r="K29" s="235"/>
    </row>
    <row r="30" spans="1:11">
      <c r="A30" s="235"/>
      <c r="B30" s="235"/>
      <c r="C30" s="235"/>
      <c r="D30" s="235"/>
      <c r="E30" s="235"/>
      <c r="F30" s="235"/>
      <c r="G30" s="235"/>
      <c r="H30" s="235"/>
      <c r="I30" s="235"/>
      <c r="J30" s="235"/>
      <c r="K30" s="235"/>
    </row>
    <row r="31" spans="1:11">
      <c r="A31" s="235"/>
      <c r="B31" s="235"/>
      <c r="C31" s="235"/>
      <c r="D31" s="235"/>
      <c r="E31" s="235"/>
      <c r="F31" s="235"/>
      <c r="G31" s="235"/>
      <c r="H31" s="235"/>
      <c r="I31" s="235"/>
      <c r="J31" s="235"/>
      <c r="K31" s="235"/>
    </row>
    <row r="32" spans="1:11">
      <c r="A32" s="235"/>
      <c r="B32" s="235"/>
      <c r="C32" s="235"/>
      <c r="D32" s="235"/>
      <c r="E32" s="235"/>
      <c r="F32" s="235"/>
      <c r="G32" s="235"/>
      <c r="H32" s="235"/>
      <c r="I32" s="235"/>
      <c r="J32" s="235"/>
      <c r="K32" s="235"/>
    </row>
    <row r="33" spans="1:11">
      <c r="A33" s="235"/>
      <c r="B33" s="235"/>
      <c r="C33" s="235"/>
      <c r="D33" s="235"/>
      <c r="E33" s="235"/>
      <c r="F33" s="235"/>
      <c r="G33" s="235"/>
      <c r="H33" s="235"/>
      <c r="I33" s="235"/>
      <c r="J33" s="235"/>
      <c r="K33" s="235"/>
    </row>
  </sheetData>
  <mergeCells count="2">
    <mergeCell ref="A1:H1"/>
    <mergeCell ref="A2:H2"/>
  </mergeCells>
  <printOptions horizontalCentered="1" verticalCentered="1"/>
  <pageMargins left="0.7" right="0.7"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workbookViewId="0">
      <selection activeCell="B11" sqref="B11"/>
    </sheetView>
  </sheetViews>
  <sheetFormatPr defaultRowHeight="15"/>
  <cols>
    <col min="2" max="2" width="18.90625" bestFit="1" customWidth="1"/>
  </cols>
  <sheetData>
    <row r="1" spans="1:15">
      <c r="A1" s="632" t="s">
        <v>294</v>
      </c>
      <c r="B1" s="632"/>
      <c r="C1" s="632"/>
      <c r="D1" s="632"/>
      <c r="E1" s="632"/>
      <c r="F1" s="632"/>
      <c r="G1" s="632"/>
      <c r="H1" s="311"/>
      <c r="I1" s="311"/>
      <c r="J1" s="311"/>
      <c r="K1" s="311"/>
      <c r="L1" s="235"/>
      <c r="M1" s="235"/>
      <c r="N1" s="235"/>
      <c r="O1" s="235"/>
    </row>
    <row r="2" spans="1:15">
      <c r="A2" s="632">
        <f>'Land for Future Use'!A2:H2</f>
        <v>2012</v>
      </c>
      <c r="B2" s="632"/>
      <c r="C2" s="632"/>
      <c r="D2" s="632"/>
      <c r="E2" s="632"/>
      <c r="F2" s="632"/>
      <c r="G2" s="632"/>
      <c r="H2" s="311"/>
      <c r="I2" s="311"/>
      <c r="J2" s="311"/>
      <c r="K2" s="311"/>
      <c r="L2" s="235"/>
      <c r="M2" s="235"/>
      <c r="N2" s="235"/>
      <c r="O2" s="235"/>
    </row>
    <row r="3" spans="1:15">
      <c r="A3" s="235"/>
      <c r="B3" s="235"/>
      <c r="C3" s="235"/>
      <c r="D3" s="235"/>
      <c r="E3" s="235"/>
      <c r="F3" s="235"/>
      <c r="G3" s="235"/>
      <c r="H3" s="235"/>
      <c r="I3" s="235"/>
      <c r="J3" s="235"/>
      <c r="K3" s="235"/>
      <c r="L3" s="235"/>
      <c r="M3" s="235"/>
      <c r="N3" s="235"/>
      <c r="O3" s="235"/>
    </row>
    <row r="4" spans="1:15">
      <c r="A4" s="258" t="s">
        <v>846</v>
      </c>
      <c r="B4" s="258"/>
      <c r="C4" s="258"/>
      <c r="D4" s="235"/>
      <c r="E4" s="235"/>
      <c r="F4" s="235"/>
      <c r="G4" s="235"/>
      <c r="H4" s="235"/>
      <c r="I4" s="235"/>
      <c r="J4" s="235"/>
      <c r="K4" s="235"/>
      <c r="L4" s="235"/>
      <c r="M4" s="235"/>
      <c r="N4" s="235"/>
      <c r="O4" s="235"/>
    </row>
    <row r="5" spans="1:15">
      <c r="A5" s="235"/>
      <c r="B5" s="235"/>
      <c r="C5" s="235"/>
      <c r="D5" s="235"/>
      <c r="E5" s="235"/>
      <c r="F5" s="235"/>
      <c r="G5" s="235"/>
      <c r="H5" s="235"/>
      <c r="I5" s="235"/>
      <c r="J5" s="235"/>
      <c r="K5" s="235"/>
      <c r="L5" s="235"/>
      <c r="M5" s="235"/>
      <c r="N5" s="235"/>
      <c r="O5" s="235"/>
    </row>
    <row r="6" spans="1:15">
      <c r="A6" s="235"/>
      <c r="B6" s="235"/>
      <c r="C6" s="235"/>
      <c r="D6" s="235"/>
      <c r="E6" s="235"/>
      <c r="F6" s="235"/>
      <c r="G6" s="235"/>
      <c r="H6" s="235"/>
      <c r="I6" s="235"/>
      <c r="J6" s="235"/>
      <c r="K6" s="235"/>
      <c r="L6" s="235"/>
      <c r="M6" s="235"/>
      <c r="N6" s="235"/>
      <c r="O6" s="235"/>
    </row>
    <row r="7" spans="1:15">
      <c r="A7" s="235"/>
      <c r="B7" s="322" t="s">
        <v>847</v>
      </c>
      <c r="C7" s="235"/>
      <c r="D7" s="235"/>
      <c r="E7" s="235"/>
      <c r="F7" s="235"/>
      <c r="G7" s="235"/>
      <c r="H7" s="235"/>
      <c r="I7" s="235"/>
      <c r="J7" s="235"/>
      <c r="K7" s="235"/>
      <c r="L7" s="235"/>
      <c r="M7" s="235"/>
      <c r="N7" s="235"/>
      <c r="O7" s="235"/>
    </row>
    <row r="8" spans="1:15">
      <c r="A8" s="235"/>
      <c r="B8" s="235"/>
      <c r="C8" s="235"/>
      <c r="D8" s="235"/>
      <c r="E8" s="235"/>
      <c r="F8" s="235"/>
      <c r="G8" s="235"/>
      <c r="H8" s="235"/>
      <c r="I8" s="235"/>
      <c r="J8" s="235"/>
      <c r="K8" s="235"/>
      <c r="L8" s="235"/>
      <c r="M8" s="235"/>
      <c r="N8" s="235"/>
      <c r="O8" s="235"/>
    </row>
    <row r="9" spans="1:15">
      <c r="A9" s="235" t="s">
        <v>390</v>
      </c>
      <c r="B9" s="57">
        <f>3782919-B10</f>
        <v>3493413</v>
      </c>
      <c r="C9" s="235"/>
      <c r="D9" s="235"/>
      <c r="E9" s="235"/>
      <c r="F9" s="235"/>
      <c r="G9" s="235"/>
      <c r="H9" s="235"/>
      <c r="I9" s="235"/>
      <c r="J9" s="235"/>
      <c r="K9" s="235"/>
      <c r="L9" s="235"/>
      <c r="M9" s="235"/>
      <c r="N9" s="235"/>
      <c r="O9" s="235"/>
    </row>
    <row r="10" spans="1:15">
      <c r="A10" s="235" t="s">
        <v>45</v>
      </c>
      <c r="B10" s="263">
        <v>289506</v>
      </c>
      <c r="C10" s="235"/>
      <c r="D10" s="235" t="s">
        <v>848</v>
      </c>
      <c r="E10" s="235"/>
      <c r="F10" s="235"/>
      <c r="G10" s="235"/>
      <c r="H10" s="235"/>
      <c r="I10" s="235"/>
      <c r="J10" s="235"/>
      <c r="K10" s="235"/>
      <c r="L10" s="235"/>
      <c r="M10" s="235"/>
      <c r="N10" s="235"/>
      <c r="O10" s="235"/>
    </row>
    <row r="11" spans="1:15">
      <c r="A11" s="235" t="s">
        <v>838</v>
      </c>
      <c r="B11" s="65">
        <v>0</v>
      </c>
      <c r="C11" s="235"/>
      <c r="D11" s="235"/>
      <c r="E11" s="235"/>
      <c r="F11" s="235"/>
      <c r="G11" s="235"/>
      <c r="H11" s="235"/>
      <c r="I11" s="235"/>
      <c r="J11" s="235"/>
      <c r="K11" s="235"/>
      <c r="L11" s="235"/>
      <c r="M11" s="235"/>
      <c r="N11" s="235"/>
      <c r="O11" s="235"/>
    </row>
    <row r="12" spans="1:15" ht="16.2">
      <c r="A12" s="235" t="s">
        <v>326</v>
      </c>
      <c r="B12" s="259">
        <v>0</v>
      </c>
      <c r="C12" s="235"/>
      <c r="D12" s="235"/>
      <c r="E12" s="235"/>
      <c r="F12" s="235"/>
      <c r="G12" s="235"/>
      <c r="H12" s="235"/>
      <c r="I12" s="235"/>
      <c r="J12" s="235"/>
      <c r="K12" s="235"/>
      <c r="L12" s="235"/>
      <c r="M12" s="235"/>
      <c r="N12" s="235"/>
      <c r="O12" s="235"/>
    </row>
    <row r="13" spans="1:15">
      <c r="A13" s="235"/>
      <c r="B13" s="321">
        <f>SUM(B9:B12)</f>
        <v>3782919</v>
      </c>
      <c r="C13" s="235"/>
      <c r="D13" s="235" t="s">
        <v>839</v>
      </c>
      <c r="E13" s="235"/>
      <c r="F13" s="235"/>
      <c r="G13" s="235"/>
      <c r="H13" s="235"/>
      <c r="I13" s="235"/>
      <c r="J13" s="235"/>
      <c r="K13" s="235"/>
      <c r="L13" s="235"/>
      <c r="M13" s="235"/>
      <c r="N13" s="235"/>
      <c r="O13" s="235"/>
    </row>
    <row r="14" spans="1:15">
      <c r="A14" s="235"/>
      <c r="B14" s="235"/>
      <c r="C14" s="235"/>
      <c r="D14" s="235" t="s">
        <v>849</v>
      </c>
      <c r="E14" s="235"/>
      <c r="F14" s="235"/>
      <c r="G14" s="235"/>
      <c r="H14" s="235"/>
      <c r="I14" s="235"/>
      <c r="J14" s="235"/>
      <c r="K14" s="235"/>
      <c r="L14" s="235"/>
      <c r="M14" s="235"/>
      <c r="N14" s="235"/>
      <c r="O14" s="235"/>
    </row>
    <row r="15" spans="1:15">
      <c r="A15" s="235"/>
      <c r="B15" s="235"/>
      <c r="C15" s="235"/>
      <c r="D15" s="235" t="s">
        <v>841</v>
      </c>
      <c r="E15" s="235"/>
      <c r="F15" s="235"/>
      <c r="G15" s="235"/>
      <c r="H15" s="235"/>
      <c r="I15" s="235"/>
      <c r="J15" s="235"/>
      <c r="K15" s="235"/>
      <c r="L15" s="235"/>
      <c r="M15" s="235"/>
      <c r="N15" s="235"/>
      <c r="O15" s="235"/>
    </row>
    <row r="16" spans="1:15">
      <c r="A16" s="235"/>
      <c r="B16" s="235"/>
      <c r="C16" s="235"/>
      <c r="D16" s="235" t="s">
        <v>842</v>
      </c>
      <c r="E16" s="235"/>
      <c r="F16" s="235"/>
      <c r="G16" s="235"/>
      <c r="H16" s="235"/>
      <c r="I16" s="235"/>
      <c r="J16" s="235"/>
      <c r="K16" s="235"/>
      <c r="L16" s="235"/>
      <c r="M16" s="235"/>
      <c r="N16" s="235"/>
      <c r="O16" s="235"/>
    </row>
    <row r="17" spans="1:15">
      <c r="A17" s="235"/>
      <c r="B17" s="235"/>
      <c r="C17" s="235"/>
      <c r="D17" s="235"/>
      <c r="E17" s="235"/>
      <c r="F17" s="235"/>
      <c r="G17" s="235"/>
      <c r="H17" s="235"/>
      <c r="I17" s="235"/>
      <c r="J17" s="235"/>
      <c r="K17" s="235"/>
      <c r="L17" s="235"/>
      <c r="M17" s="235"/>
      <c r="N17" s="235"/>
      <c r="O17" s="235"/>
    </row>
    <row r="18" spans="1:15">
      <c r="A18" s="235"/>
      <c r="B18" s="235"/>
      <c r="C18" s="235"/>
      <c r="D18" s="235"/>
      <c r="E18" s="235"/>
      <c r="F18" s="235"/>
      <c r="G18" s="235"/>
      <c r="H18" s="235"/>
      <c r="I18" s="235"/>
      <c r="J18" s="235"/>
      <c r="K18" s="235"/>
      <c r="L18" s="235"/>
      <c r="M18" s="235"/>
      <c r="N18" s="235"/>
      <c r="O18" s="235"/>
    </row>
    <row r="19" spans="1:15">
      <c r="A19" s="235" t="s">
        <v>1040</v>
      </c>
      <c r="B19" s="235"/>
      <c r="C19" s="235"/>
      <c r="D19" s="235"/>
      <c r="E19" s="235"/>
      <c r="F19" s="235"/>
      <c r="G19" s="235"/>
      <c r="H19" s="235"/>
      <c r="I19" s="235"/>
      <c r="J19" s="235"/>
      <c r="K19" s="235"/>
      <c r="L19" s="235"/>
      <c r="M19" s="235"/>
      <c r="N19" s="235"/>
      <c r="O19" s="235"/>
    </row>
    <row r="20" spans="1:15">
      <c r="A20" s="261" t="s">
        <v>843</v>
      </c>
      <c r="B20" s="235"/>
      <c r="C20" s="235"/>
      <c r="D20" s="235"/>
      <c r="E20" s="235"/>
      <c r="F20" s="235"/>
      <c r="G20" s="235"/>
      <c r="H20" s="235"/>
      <c r="I20" s="235"/>
      <c r="J20" s="235"/>
      <c r="K20" s="235"/>
      <c r="L20" s="235"/>
      <c r="M20" s="235"/>
      <c r="N20" s="235"/>
      <c r="O20" s="235"/>
    </row>
    <row r="21" spans="1:15">
      <c r="A21" s="261"/>
      <c r="B21" s="235"/>
      <c r="C21" s="235"/>
      <c r="D21" s="235"/>
      <c r="E21" s="235"/>
      <c r="F21" s="235"/>
      <c r="G21" s="235"/>
      <c r="H21" s="235"/>
      <c r="I21" s="235"/>
      <c r="J21" s="235"/>
      <c r="K21" s="235"/>
      <c r="L21" s="235"/>
      <c r="M21" s="235"/>
      <c r="N21" s="235"/>
      <c r="O21" s="235"/>
    </row>
    <row r="22" spans="1:15">
      <c r="A22" s="261"/>
      <c r="B22" s="235"/>
      <c r="C22" s="235"/>
      <c r="D22" s="235"/>
      <c r="E22" s="235"/>
      <c r="F22" s="235"/>
      <c r="G22" s="235"/>
      <c r="H22" s="235"/>
      <c r="I22" s="235"/>
      <c r="J22" s="235"/>
      <c r="K22" s="235"/>
      <c r="L22" s="235"/>
      <c r="M22" s="235"/>
      <c r="N22" s="235"/>
      <c r="O22" s="235"/>
    </row>
    <row r="23" spans="1:15">
      <c r="A23" s="235" t="s">
        <v>1041</v>
      </c>
      <c r="B23" s="235"/>
      <c r="C23" s="235"/>
      <c r="D23" s="235"/>
      <c r="E23" s="235"/>
      <c r="F23" s="235"/>
      <c r="G23" s="235"/>
      <c r="H23" s="235"/>
      <c r="I23" s="235"/>
      <c r="J23" s="235"/>
      <c r="K23" s="235"/>
      <c r="L23" s="235"/>
      <c r="M23" s="235"/>
      <c r="N23" s="235"/>
      <c r="O23" s="235"/>
    </row>
    <row r="24" spans="1:15">
      <c r="A24" s="261" t="s">
        <v>850</v>
      </c>
      <c r="B24" s="235"/>
      <c r="C24" s="235"/>
      <c r="D24" s="235"/>
      <c r="E24" s="235"/>
      <c r="F24" s="235"/>
      <c r="G24" s="235"/>
      <c r="H24" s="235"/>
      <c r="I24" s="235"/>
      <c r="J24" s="235"/>
      <c r="K24" s="235"/>
      <c r="L24" s="235"/>
      <c r="M24" s="235"/>
      <c r="N24" s="235"/>
      <c r="O24" s="235"/>
    </row>
    <row r="25" spans="1:15">
      <c r="A25" s="261" t="s">
        <v>851</v>
      </c>
      <c r="B25" s="235"/>
      <c r="C25" s="235"/>
      <c r="D25" s="235"/>
      <c r="E25" s="235"/>
      <c r="F25" s="235"/>
      <c r="G25" s="235"/>
      <c r="H25" s="235"/>
      <c r="I25" s="235"/>
      <c r="J25" s="235"/>
      <c r="K25" s="235"/>
      <c r="L25" s="235"/>
      <c r="M25" s="235"/>
      <c r="N25" s="235"/>
      <c r="O25" s="235"/>
    </row>
    <row r="26" spans="1:15">
      <c r="A26" s="235" t="s">
        <v>1042</v>
      </c>
      <c r="B26" s="235"/>
      <c r="C26" s="235"/>
      <c r="D26" s="235"/>
      <c r="E26" s="235"/>
      <c r="F26" s="235"/>
      <c r="G26" s="235"/>
      <c r="H26" s="235"/>
      <c r="I26" s="235"/>
      <c r="J26" s="235"/>
      <c r="K26" s="235"/>
      <c r="L26" s="235"/>
      <c r="M26" s="235"/>
      <c r="N26" s="235"/>
      <c r="O26" s="235"/>
    </row>
    <row r="27" spans="1:15">
      <c r="A27" s="323" t="s">
        <v>852</v>
      </c>
      <c r="B27" s="235"/>
      <c r="C27" s="235"/>
      <c r="D27" s="235"/>
      <c r="E27" s="235"/>
      <c r="F27" s="235"/>
      <c r="G27" s="235"/>
      <c r="H27" s="235"/>
      <c r="I27" s="235"/>
      <c r="J27" s="235"/>
      <c r="K27" s="235"/>
      <c r="L27" s="235"/>
      <c r="M27" s="235"/>
      <c r="N27" s="235"/>
      <c r="O27" s="235"/>
    </row>
    <row r="28" spans="1:15">
      <c r="A28" s="323" t="s">
        <v>1067</v>
      </c>
      <c r="B28" s="235"/>
      <c r="C28" s="235"/>
      <c r="D28" s="235"/>
      <c r="E28" s="235"/>
      <c r="F28" s="235"/>
      <c r="G28" s="235"/>
      <c r="H28" s="235"/>
      <c r="I28" s="235"/>
      <c r="J28" s="235"/>
      <c r="K28" s="235"/>
      <c r="L28" s="235"/>
      <c r="M28" s="235"/>
      <c r="N28" s="235"/>
      <c r="O28" s="235"/>
    </row>
    <row r="29" spans="1:15">
      <c r="A29" s="323" t="s">
        <v>1093</v>
      </c>
      <c r="B29" s="235"/>
      <c r="C29" s="235"/>
      <c r="D29" s="235"/>
      <c r="E29" s="235"/>
      <c r="F29" s="235"/>
      <c r="G29" s="235"/>
      <c r="H29" s="235"/>
      <c r="I29" s="235"/>
      <c r="J29" s="235"/>
      <c r="K29" s="235"/>
      <c r="L29" s="235"/>
      <c r="M29" s="235"/>
      <c r="N29" s="235"/>
      <c r="O29" s="235"/>
    </row>
    <row r="30" spans="1:15">
      <c r="A30" s="323"/>
      <c r="B30" s="235"/>
      <c r="C30" s="235"/>
      <c r="D30" s="235"/>
      <c r="E30" s="235"/>
      <c r="F30" s="235"/>
      <c r="G30" s="235"/>
      <c r="H30" s="235"/>
      <c r="I30" s="235"/>
      <c r="J30" s="235"/>
      <c r="K30" s="235"/>
      <c r="L30" s="235"/>
      <c r="M30" s="235"/>
      <c r="N30" s="235"/>
      <c r="O30" s="235"/>
    </row>
    <row r="31" spans="1:15">
      <c r="A31" s="324"/>
      <c r="B31" s="235"/>
      <c r="C31" s="235"/>
      <c r="D31" s="235"/>
      <c r="E31" s="235"/>
      <c r="F31" s="235"/>
      <c r="G31" s="235"/>
      <c r="H31" s="235"/>
      <c r="I31" s="235"/>
      <c r="J31" s="235"/>
      <c r="K31" s="235"/>
      <c r="L31" s="235"/>
      <c r="M31" s="235"/>
      <c r="N31" s="235"/>
      <c r="O31" s="235"/>
    </row>
    <row r="32" spans="1:15">
      <c r="A32" s="235"/>
      <c r="B32" s="235"/>
      <c r="C32" s="235"/>
      <c r="D32" s="235"/>
      <c r="E32" s="235"/>
      <c r="F32" s="235"/>
      <c r="G32" s="235"/>
      <c r="H32" s="235"/>
      <c r="I32" s="235"/>
      <c r="J32" s="235"/>
      <c r="K32" s="235"/>
      <c r="L32" s="235"/>
      <c r="M32" s="235"/>
      <c r="N32" s="235"/>
      <c r="O32" s="235"/>
    </row>
    <row r="33" spans="1:15">
      <c r="A33" s="235"/>
      <c r="B33" s="235"/>
      <c r="C33" s="235"/>
      <c r="D33" s="235"/>
      <c r="E33" s="235"/>
      <c r="F33" s="235"/>
      <c r="G33" s="235"/>
      <c r="H33" s="235"/>
      <c r="I33" s="235"/>
      <c r="J33" s="235"/>
      <c r="K33" s="235"/>
      <c r="L33" s="235"/>
      <c r="M33" s="235"/>
      <c r="N33" s="235"/>
      <c r="O33" s="235"/>
    </row>
    <row r="34" spans="1:15">
      <c r="A34" s="235"/>
      <c r="B34" s="235"/>
      <c r="C34" s="235"/>
      <c r="D34" s="235"/>
      <c r="E34" s="235"/>
      <c r="F34" s="235"/>
      <c r="G34" s="235"/>
      <c r="H34" s="235"/>
      <c r="I34" s="235"/>
      <c r="J34" s="235"/>
      <c r="K34" s="235"/>
      <c r="L34" s="235"/>
      <c r="M34" s="235"/>
      <c r="N34" s="235"/>
      <c r="O34" s="235"/>
    </row>
    <row r="35" spans="1:15">
      <c r="A35" s="235"/>
      <c r="B35" s="235"/>
      <c r="C35" s="235"/>
      <c r="D35" s="235"/>
      <c r="E35" s="235"/>
      <c r="F35" s="235"/>
      <c r="G35" s="235"/>
      <c r="H35" s="235"/>
      <c r="I35" s="235"/>
      <c r="J35" s="235"/>
      <c r="K35" s="235"/>
      <c r="L35" s="235"/>
      <c r="M35" s="235"/>
      <c r="N35" s="235"/>
      <c r="O35" s="235"/>
    </row>
    <row r="36" spans="1:15">
      <c r="A36" s="235"/>
      <c r="B36" s="235"/>
      <c r="C36" s="235"/>
      <c r="D36" s="235"/>
      <c r="E36" s="235"/>
      <c r="F36" s="235"/>
      <c r="G36" s="235"/>
      <c r="H36" s="235"/>
      <c r="I36" s="235"/>
      <c r="J36" s="235"/>
      <c r="K36" s="235"/>
      <c r="L36" s="235"/>
      <c r="M36" s="235"/>
      <c r="N36" s="235"/>
      <c r="O36" s="235"/>
    </row>
    <row r="37" spans="1:15">
      <c r="A37" s="235"/>
      <c r="B37" s="235"/>
      <c r="C37" s="235"/>
      <c r="D37" s="235"/>
      <c r="E37" s="235"/>
      <c r="F37" s="235"/>
      <c r="G37" s="235"/>
      <c r="H37" s="235"/>
      <c r="I37" s="235"/>
      <c r="J37" s="235"/>
      <c r="K37" s="235"/>
      <c r="L37" s="235"/>
      <c r="M37" s="235"/>
      <c r="N37" s="235"/>
      <c r="O37" s="235"/>
    </row>
    <row r="38" spans="1:15">
      <c r="A38" s="235"/>
      <c r="B38" s="235"/>
      <c r="C38" s="235"/>
      <c r="D38" s="235"/>
      <c r="E38" s="235"/>
      <c r="F38" s="235"/>
      <c r="G38" s="235"/>
      <c r="H38" s="235"/>
      <c r="I38" s="235"/>
      <c r="J38" s="235"/>
      <c r="K38" s="235"/>
      <c r="L38" s="235"/>
      <c r="M38" s="235"/>
      <c r="N38" s="235"/>
      <c r="O38" s="235"/>
    </row>
    <row r="39" spans="1:15">
      <c r="A39" s="235"/>
      <c r="B39" s="235"/>
      <c r="C39" s="235"/>
      <c r="D39" s="235"/>
      <c r="E39" s="235"/>
      <c r="F39" s="235"/>
      <c r="G39" s="235"/>
      <c r="H39" s="235"/>
      <c r="I39" s="235"/>
      <c r="J39" s="235"/>
      <c r="K39" s="235"/>
      <c r="L39" s="235"/>
      <c r="M39" s="235"/>
      <c r="N39" s="235"/>
      <c r="O39" s="235"/>
    </row>
    <row r="40" spans="1:15">
      <c r="A40" s="235"/>
      <c r="B40" s="235"/>
      <c r="C40" s="235"/>
      <c r="D40" s="235"/>
      <c r="E40" s="235"/>
      <c r="F40" s="235"/>
      <c r="G40" s="235"/>
      <c r="H40" s="235"/>
      <c r="I40" s="235"/>
      <c r="J40" s="235"/>
      <c r="K40" s="235"/>
      <c r="L40" s="235"/>
      <c r="M40" s="235"/>
      <c r="N40" s="235"/>
      <c r="O40" s="235"/>
    </row>
    <row r="41" spans="1:15">
      <c r="A41" s="235"/>
      <c r="B41" s="235"/>
      <c r="C41" s="235"/>
      <c r="D41" s="235"/>
      <c r="E41" s="235"/>
      <c r="F41" s="235"/>
      <c r="G41" s="235"/>
      <c r="H41" s="235"/>
      <c r="I41" s="235"/>
      <c r="J41" s="235"/>
      <c r="K41" s="235"/>
      <c r="L41" s="235"/>
      <c r="M41" s="235"/>
      <c r="N41" s="235"/>
      <c r="O41" s="235"/>
    </row>
  </sheetData>
  <mergeCells count="2">
    <mergeCell ref="A1:G1"/>
    <mergeCell ref="A2:G2"/>
  </mergeCells>
  <printOptions horizontalCentered="1" verticalCentered="1"/>
  <pageMargins left="0.45" right="0.2" top="0.25" bottom="0.25" header="0.3" footer="0.3"/>
  <pageSetup scale="9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11" sqref="B11"/>
    </sheetView>
  </sheetViews>
  <sheetFormatPr defaultRowHeight="15"/>
  <cols>
    <col min="1" max="1" width="39.36328125" customWidth="1"/>
    <col min="2" max="2" width="11" bestFit="1" customWidth="1"/>
    <col min="3" max="3" width="9.90625" bestFit="1" customWidth="1"/>
  </cols>
  <sheetData>
    <row r="1" spans="1:10">
      <c r="A1" s="632" t="s">
        <v>294</v>
      </c>
      <c r="B1" s="632"/>
      <c r="C1" s="632"/>
      <c r="D1" s="632"/>
      <c r="E1" s="632"/>
      <c r="F1" s="235"/>
      <c r="G1" s="235"/>
      <c r="H1" s="235"/>
      <c r="I1" s="235"/>
      <c r="J1" s="235"/>
    </row>
    <row r="2" spans="1:10">
      <c r="A2" s="632">
        <f>'Land for Future Use'!A2:H2</f>
        <v>2012</v>
      </c>
      <c r="B2" s="632"/>
      <c r="C2" s="632"/>
      <c r="D2" s="632"/>
      <c r="E2" s="632"/>
      <c r="F2" s="235"/>
      <c r="G2" s="235"/>
      <c r="H2" s="235"/>
      <c r="I2" s="235"/>
      <c r="J2" s="235"/>
    </row>
    <row r="3" spans="1:10">
      <c r="A3" s="235"/>
      <c r="B3" s="235"/>
      <c r="C3" s="235"/>
      <c r="D3" s="235"/>
      <c r="E3" s="235"/>
      <c r="F3" s="235"/>
      <c r="G3" s="235"/>
      <c r="H3" s="235"/>
      <c r="I3" s="235"/>
      <c r="J3" s="235"/>
    </row>
    <row r="4" spans="1:10">
      <c r="A4" s="258" t="s">
        <v>853</v>
      </c>
      <c r="B4" s="258"/>
      <c r="C4" s="258"/>
      <c r="D4" s="235"/>
      <c r="E4" s="235"/>
      <c r="F4" s="235"/>
      <c r="G4" s="235"/>
      <c r="H4" s="235"/>
      <c r="I4" s="235"/>
      <c r="J4" s="235"/>
    </row>
    <row r="5" spans="1:10">
      <c r="A5" s="235"/>
      <c r="B5" s="235"/>
      <c r="C5" s="235"/>
      <c r="D5" s="235"/>
      <c r="E5" s="235"/>
      <c r="F5" s="235"/>
      <c r="G5" s="235"/>
      <c r="H5" s="235"/>
      <c r="I5" s="235"/>
      <c r="J5" s="235"/>
    </row>
    <row r="6" spans="1:10">
      <c r="A6" s="235"/>
      <c r="B6" s="235"/>
      <c r="C6" s="235"/>
      <c r="D6" s="235"/>
      <c r="E6" s="235"/>
      <c r="F6" s="235"/>
      <c r="G6" s="235"/>
      <c r="H6" s="235"/>
      <c r="I6" s="235"/>
      <c r="J6" s="235"/>
    </row>
    <row r="7" spans="1:10">
      <c r="A7" s="265" t="s">
        <v>854</v>
      </c>
      <c r="B7" s="265" t="s">
        <v>7</v>
      </c>
      <c r="C7" s="235"/>
      <c r="D7" s="235"/>
      <c r="E7" s="235"/>
      <c r="F7" s="235"/>
      <c r="G7" s="235"/>
      <c r="H7" s="235"/>
      <c r="I7" s="235"/>
      <c r="J7" s="235"/>
    </row>
    <row r="8" spans="1:10">
      <c r="A8" s="235"/>
      <c r="B8" s="235"/>
      <c r="C8" s="235"/>
      <c r="D8" s="235"/>
      <c r="E8" s="235"/>
      <c r="F8" s="235"/>
      <c r="G8" s="235"/>
      <c r="H8" s="235"/>
      <c r="I8" s="235"/>
      <c r="J8" s="235"/>
    </row>
    <row r="9" spans="1:10">
      <c r="A9" s="235" t="s">
        <v>855</v>
      </c>
      <c r="B9" s="57">
        <f>183520+333557+1683570*0.1647</f>
        <v>794360.97900000005</v>
      </c>
      <c r="C9" s="235"/>
      <c r="D9" s="235"/>
      <c r="E9" s="235"/>
      <c r="F9" s="235"/>
      <c r="G9" s="235"/>
      <c r="H9" s="235"/>
      <c r="I9" s="235"/>
      <c r="J9" s="235"/>
    </row>
    <row r="10" spans="1:10">
      <c r="A10" s="235" t="s">
        <v>857</v>
      </c>
      <c r="B10" s="360">
        <f>8470084*0.1647</f>
        <v>1395022.8348000001</v>
      </c>
      <c r="C10" s="235"/>
      <c r="D10" s="321"/>
      <c r="E10" s="235"/>
      <c r="F10" s="235"/>
      <c r="G10" s="235"/>
      <c r="H10" s="235"/>
      <c r="I10" s="235"/>
      <c r="J10" s="235"/>
    </row>
    <row r="11" spans="1:10">
      <c r="A11" s="235" t="s">
        <v>856</v>
      </c>
      <c r="B11" s="264">
        <f>150658*0.1647</f>
        <v>24813.372600000002</v>
      </c>
      <c r="C11" s="235"/>
      <c r="D11" s="235"/>
      <c r="E11" s="235"/>
      <c r="F11" s="235"/>
      <c r="G11" s="235"/>
      <c r="H11" s="235"/>
      <c r="I11" s="235"/>
      <c r="J11" s="235"/>
    </row>
    <row r="12" spans="1:10">
      <c r="A12" s="235"/>
      <c r="B12" s="65"/>
      <c r="C12" s="235"/>
      <c r="D12" s="264"/>
      <c r="E12" s="235"/>
      <c r="F12" s="235"/>
      <c r="G12" s="235"/>
      <c r="H12" s="235"/>
      <c r="I12" s="235"/>
      <c r="J12" s="235"/>
    </row>
    <row r="13" spans="1:10">
      <c r="A13" s="235" t="s">
        <v>858</v>
      </c>
      <c r="B13" s="264"/>
      <c r="C13" s="235"/>
      <c r="D13" s="262"/>
      <c r="E13" s="235"/>
      <c r="F13" s="235"/>
      <c r="G13" s="235"/>
      <c r="H13" s="235"/>
      <c r="I13" s="235"/>
      <c r="J13" s="235"/>
    </row>
    <row r="14" spans="1:10">
      <c r="A14" s="235" t="s">
        <v>858</v>
      </c>
      <c r="B14" s="65">
        <v>0</v>
      </c>
      <c r="C14" s="235"/>
      <c r="D14" s="235"/>
      <c r="E14" s="235"/>
      <c r="F14" s="235"/>
      <c r="G14" s="235"/>
      <c r="H14" s="235"/>
      <c r="I14" s="235"/>
      <c r="J14" s="235"/>
    </row>
    <row r="15" spans="1:10">
      <c r="A15" s="235" t="s">
        <v>858</v>
      </c>
      <c r="B15" s="325">
        <v>0</v>
      </c>
      <c r="C15" s="235"/>
      <c r="D15" s="235"/>
      <c r="E15" s="235"/>
      <c r="F15" s="235"/>
      <c r="G15" s="235"/>
      <c r="H15" s="235"/>
      <c r="I15" s="235"/>
      <c r="J15" s="235"/>
    </row>
    <row r="16" spans="1:10">
      <c r="A16" s="235" t="s">
        <v>859</v>
      </c>
      <c r="B16" s="326">
        <f>SUM(B9:B15)</f>
        <v>2214197.1864</v>
      </c>
      <c r="C16" s="235"/>
      <c r="D16" s="235" t="s">
        <v>860</v>
      </c>
      <c r="E16" s="235"/>
      <c r="F16" s="235"/>
      <c r="G16" s="235"/>
      <c r="H16" s="235"/>
      <c r="I16" s="235"/>
      <c r="J16" s="235"/>
    </row>
    <row r="17" spans="1:10">
      <c r="A17" s="235"/>
      <c r="B17" s="57"/>
      <c r="C17" s="57"/>
      <c r="D17" s="235" t="s">
        <v>839</v>
      </c>
      <c r="E17" s="235"/>
      <c r="F17" s="235"/>
      <c r="G17" s="235"/>
      <c r="H17" s="235"/>
      <c r="I17" s="235"/>
      <c r="J17" s="235"/>
    </row>
    <row r="18" spans="1:10">
      <c r="A18" s="235" t="s">
        <v>861</v>
      </c>
      <c r="B18" s="57">
        <f>902723</f>
        <v>902723</v>
      </c>
      <c r="C18" s="57"/>
      <c r="D18" s="235" t="s">
        <v>862</v>
      </c>
      <c r="E18" s="235"/>
      <c r="F18" s="235"/>
      <c r="G18" s="235"/>
      <c r="H18" s="235"/>
      <c r="I18" s="235"/>
      <c r="J18" s="235"/>
    </row>
    <row r="19" spans="1:10">
      <c r="A19" s="235" t="s">
        <v>1066</v>
      </c>
      <c r="B19" s="57">
        <v>991150</v>
      </c>
      <c r="C19" s="57"/>
      <c r="D19" s="235" t="s">
        <v>841</v>
      </c>
      <c r="E19" s="235"/>
      <c r="F19" s="235"/>
      <c r="G19" s="235"/>
      <c r="H19" s="235"/>
      <c r="I19" s="235"/>
      <c r="J19" s="235"/>
    </row>
    <row r="20" spans="1:10">
      <c r="A20" s="323" t="s">
        <v>1072</v>
      </c>
      <c r="B20" s="236">
        <f>80303+182640</f>
        <v>262943</v>
      </c>
      <c r="C20" s="57"/>
      <c r="D20" s="235" t="s">
        <v>842</v>
      </c>
      <c r="E20" s="235"/>
      <c r="F20" s="235"/>
      <c r="G20" s="235"/>
      <c r="H20" s="235"/>
      <c r="I20" s="235"/>
      <c r="J20" s="235"/>
    </row>
    <row r="21" spans="1:10" ht="16.2">
      <c r="A21" s="235" t="s">
        <v>863</v>
      </c>
      <c r="B21" s="327">
        <f>479957+153283*0.1647-1</f>
        <v>505201.71010000003</v>
      </c>
      <c r="C21" s="57"/>
      <c r="D21" s="235"/>
      <c r="E21" s="235"/>
      <c r="F21" s="235"/>
      <c r="G21" s="235"/>
      <c r="H21" s="235"/>
      <c r="I21" s="235"/>
      <c r="J21" s="235"/>
    </row>
    <row r="22" spans="1:10">
      <c r="A22" s="235"/>
      <c r="B22" s="57"/>
      <c r="C22" s="57"/>
      <c r="E22" s="235"/>
      <c r="F22" s="235"/>
      <c r="G22" s="235"/>
      <c r="H22" s="235"/>
      <c r="I22" s="235"/>
      <c r="J22" s="235"/>
    </row>
    <row r="23" spans="1:10">
      <c r="A23" s="235" t="s">
        <v>864</v>
      </c>
      <c r="B23" s="328">
        <f>SUM(B16:B21)</f>
        <v>4876214.8964999998</v>
      </c>
      <c r="C23" s="57"/>
      <c r="D23" s="235" t="s">
        <v>865</v>
      </c>
      <c r="E23" s="235"/>
      <c r="F23" s="235"/>
      <c r="G23" s="235"/>
      <c r="H23" s="235"/>
      <c r="I23" s="235"/>
      <c r="J23" s="235"/>
    </row>
    <row r="24" spans="1:10">
      <c r="A24" s="235"/>
      <c r="B24" s="363">
        <f>B23-4876215</f>
        <v>-0.10350000020116568</v>
      </c>
      <c r="C24" s="321"/>
      <c r="E24" s="235"/>
      <c r="F24" s="235"/>
      <c r="G24" s="235"/>
      <c r="H24" s="235"/>
      <c r="I24" s="235"/>
      <c r="J24" s="235"/>
    </row>
    <row r="25" spans="1:10">
      <c r="A25" s="261"/>
      <c r="B25" s="235"/>
      <c r="C25" s="321"/>
      <c r="D25" s="235"/>
      <c r="E25" s="235"/>
      <c r="F25" s="235"/>
      <c r="G25" s="235"/>
      <c r="H25" s="235"/>
      <c r="I25" s="235"/>
      <c r="J25" s="235"/>
    </row>
    <row r="26" spans="1:10">
      <c r="A26" s="235" t="s">
        <v>866</v>
      </c>
      <c r="B26" s="235"/>
      <c r="C26" s="235"/>
      <c r="D26" s="235"/>
      <c r="E26" s="235"/>
      <c r="F26" s="235"/>
      <c r="G26" s="235"/>
      <c r="H26" s="235"/>
      <c r="I26" s="235"/>
      <c r="J26" s="235"/>
    </row>
    <row r="27" spans="1:10">
      <c r="A27" s="235"/>
      <c r="B27" s="235"/>
      <c r="C27" s="235"/>
      <c r="D27" s="235"/>
      <c r="E27" s="235"/>
      <c r="F27" s="235"/>
      <c r="G27" s="235"/>
      <c r="H27" s="235"/>
      <c r="I27" s="235"/>
      <c r="J27" s="235"/>
    </row>
    <row r="28" spans="1:10">
      <c r="A28" s="235"/>
      <c r="B28" s="235"/>
      <c r="C28" s="235"/>
      <c r="D28" s="235"/>
      <c r="E28" s="235"/>
      <c r="F28" s="235"/>
      <c r="G28" s="235"/>
      <c r="H28" s="235"/>
      <c r="I28" s="235"/>
      <c r="J28" s="235"/>
    </row>
    <row r="29" spans="1:10">
      <c r="A29" s="235" t="s">
        <v>1043</v>
      </c>
      <c r="B29" s="235"/>
      <c r="C29" s="235"/>
      <c r="D29" s="235"/>
      <c r="E29" s="235"/>
      <c r="F29" s="235"/>
      <c r="G29" s="235"/>
      <c r="H29" s="235"/>
      <c r="I29" s="235"/>
      <c r="J29" s="235"/>
    </row>
    <row r="30" spans="1:10">
      <c r="A30" s="261" t="s">
        <v>843</v>
      </c>
      <c r="B30" s="235"/>
      <c r="C30" s="235"/>
      <c r="D30" s="235"/>
      <c r="E30" s="235"/>
      <c r="F30" s="235"/>
      <c r="G30" s="235"/>
      <c r="H30" s="235"/>
      <c r="I30" s="235"/>
      <c r="J30" s="235"/>
    </row>
  </sheetData>
  <mergeCells count="2">
    <mergeCell ref="A1:E1"/>
    <mergeCell ref="A2:E2"/>
  </mergeCells>
  <pageMargins left="0.7" right="0.7"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topLeftCell="A10" workbookViewId="0">
      <selection activeCell="C6" sqref="C6:C32"/>
    </sheetView>
  </sheetViews>
  <sheetFormatPr defaultRowHeight="15"/>
  <cols>
    <col min="1" max="1" width="49.54296875" style="216" customWidth="1"/>
    <col min="2" max="2" width="0" style="216" hidden="1" customWidth="1"/>
    <col min="3" max="3" width="12" style="216" bestFit="1" customWidth="1"/>
    <col min="4" max="5" width="28.08984375" style="216" customWidth="1"/>
  </cols>
  <sheetData>
    <row r="1" spans="1:9">
      <c r="A1" s="632" t="s">
        <v>294</v>
      </c>
      <c r="B1" s="632"/>
      <c r="C1" s="632"/>
      <c r="D1" s="632"/>
      <c r="E1" s="235"/>
      <c r="F1" s="249"/>
      <c r="G1" s="249"/>
      <c r="H1" s="249"/>
      <c r="I1" s="249"/>
    </row>
    <row r="2" spans="1:9">
      <c r="A2" s="632">
        <f>Prepayments!A2</f>
        <v>2012</v>
      </c>
      <c r="B2" s="632"/>
      <c r="C2" s="632"/>
      <c r="D2" s="632"/>
      <c r="E2" s="235"/>
      <c r="F2" s="249"/>
      <c r="G2" s="249"/>
      <c r="H2" s="249"/>
      <c r="I2" s="249"/>
    </row>
    <row r="3" spans="1:9">
      <c r="A3" s="235"/>
      <c r="B3" s="235"/>
      <c r="C3" s="235"/>
      <c r="D3" s="235"/>
      <c r="E3" s="235"/>
      <c r="F3" s="249"/>
      <c r="G3" s="249"/>
      <c r="H3" s="249"/>
      <c r="I3" s="249"/>
    </row>
    <row r="4" spans="1:9">
      <c r="A4" s="265" t="s">
        <v>867</v>
      </c>
      <c r="B4" s="235"/>
      <c r="C4" s="265" t="s">
        <v>7</v>
      </c>
      <c r="D4" s="235"/>
      <c r="E4" s="235"/>
      <c r="F4" s="249"/>
      <c r="G4" s="249"/>
      <c r="H4" s="249"/>
      <c r="I4" s="249"/>
    </row>
    <row r="5" spans="1:9">
      <c r="A5" s="303" t="s">
        <v>868</v>
      </c>
      <c r="B5" s="323"/>
      <c r="C5" s="235"/>
      <c r="D5" s="235"/>
      <c r="E5" s="235"/>
      <c r="F5" s="249"/>
      <c r="G5" s="249"/>
      <c r="H5" s="249"/>
      <c r="I5" s="249"/>
    </row>
    <row r="6" spans="1:9">
      <c r="A6" s="300" t="s">
        <v>869</v>
      </c>
      <c r="B6" s="323"/>
      <c r="C6" s="57">
        <v>563025</v>
      </c>
      <c r="D6" s="235"/>
      <c r="E6" s="235"/>
      <c r="F6" s="249"/>
      <c r="G6" s="249"/>
      <c r="H6" s="252"/>
      <c r="I6" s="252"/>
    </row>
    <row r="7" spans="1:9">
      <c r="A7" s="300" t="s">
        <v>870</v>
      </c>
      <c r="B7" s="323"/>
      <c r="C7" s="329">
        <v>171803</v>
      </c>
      <c r="D7" s="235"/>
      <c r="E7" s="235"/>
      <c r="F7" s="249"/>
      <c r="G7" s="249"/>
      <c r="H7" s="252"/>
      <c r="I7" s="252"/>
    </row>
    <row r="8" spans="1:9">
      <c r="A8" s="300" t="s">
        <v>871</v>
      </c>
      <c r="B8" s="323"/>
      <c r="C8" s="330">
        <v>9823</v>
      </c>
      <c r="D8" s="235" t="s">
        <v>872</v>
      </c>
      <c r="E8" s="235"/>
      <c r="F8" s="249"/>
      <c r="G8" s="249"/>
      <c r="H8" s="252"/>
      <c r="I8" s="252"/>
    </row>
    <row r="9" spans="1:9">
      <c r="A9" s="300" t="s">
        <v>873</v>
      </c>
      <c r="B9" s="323"/>
      <c r="C9" s="330">
        <v>217182</v>
      </c>
      <c r="D9" s="235" t="s">
        <v>872</v>
      </c>
      <c r="E9" s="235"/>
      <c r="F9" s="249"/>
      <c r="G9" s="249"/>
      <c r="H9" s="252"/>
      <c r="I9" s="252"/>
    </row>
    <row r="10" spans="1:9">
      <c r="A10" s="300" t="s">
        <v>874</v>
      </c>
      <c r="B10" s="323"/>
      <c r="C10" s="330">
        <v>0</v>
      </c>
      <c r="D10" s="235" t="s">
        <v>872</v>
      </c>
      <c r="E10" s="235"/>
      <c r="F10" s="249"/>
      <c r="G10" s="249"/>
      <c r="H10" s="252"/>
      <c r="I10" s="252"/>
    </row>
    <row r="11" spans="1:9">
      <c r="A11" s="300" t="s">
        <v>875</v>
      </c>
      <c r="B11" s="323"/>
      <c r="C11" s="330">
        <v>283760</v>
      </c>
      <c r="D11" s="235" t="s">
        <v>876</v>
      </c>
      <c r="E11" s="235"/>
      <c r="F11" s="249"/>
      <c r="G11" s="249"/>
      <c r="H11" s="252"/>
      <c r="I11" s="252"/>
    </row>
    <row r="12" spans="1:9">
      <c r="A12" s="300" t="s">
        <v>877</v>
      </c>
      <c r="B12" s="323"/>
      <c r="C12" s="329">
        <v>0</v>
      </c>
      <c r="D12" s="235"/>
      <c r="E12" s="235"/>
      <c r="F12" s="249"/>
      <c r="G12" s="249"/>
      <c r="H12" s="252"/>
      <c r="I12" s="252"/>
    </row>
    <row r="13" spans="1:9">
      <c r="A13" s="300" t="s">
        <v>878</v>
      </c>
      <c r="B13" s="323"/>
      <c r="C13" s="329">
        <v>75</v>
      </c>
      <c r="D13" s="235"/>
      <c r="E13" s="235"/>
      <c r="F13" s="249"/>
      <c r="G13" s="249"/>
      <c r="H13" s="252"/>
      <c r="I13" s="252"/>
    </row>
    <row r="14" spans="1:9">
      <c r="A14" s="300" t="s">
        <v>879</v>
      </c>
      <c r="B14" s="323"/>
      <c r="C14" s="329">
        <v>0</v>
      </c>
      <c r="D14" s="235"/>
      <c r="E14" s="235"/>
      <c r="F14" s="249"/>
      <c r="G14" s="249"/>
      <c r="H14" s="252"/>
      <c r="I14" s="252"/>
    </row>
    <row r="15" spans="1:9">
      <c r="A15" s="300" t="s">
        <v>880</v>
      </c>
      <c r="B15" s="323"/>
      <c r="C15" s="330">
        <v>0</v>
      </c>
      <c r="D15" s="235" t="s">
        <v>876</v>
      </c>
      <c r="E15" s="235"/>
      <c r="F15" s="249"/>
      <c r="G15" s="249"/>
      <c r="H15" s="252"/>
      <c r="I15" s="252"/>
    </row>
    <row r="16" spans="1:9" ht="17.399999999999999">
      <c r="A16" s="300" t="s">
        <v>881</v>
      </c>
      <c r="B16" s="323"/>
      <c r="C16" s="329">
        <v>208191</v>
      </c>
      <c r="D16" s="235"/>
      <c r="E16" s="235"/>
      <c r="F16" s="249"/>
      <c r="G16" s="249"/>
      <c r="H16" s="250"/>
      <c r="I16" s="250"/>
    </row>
    <row r="17" spans="1:9">
      <c r="A17" s="300" t="s">
        <v>882</v>
      </c>
      <c r="B17" s="323"/>
      <c r="C17" s="329">
        <v>254318</v>
      </c>
      <c r="D17" s="235"/>
      <c r="E17" s="235"/>
      <c r="F17" s="249"/>
      <c r="G17" s="249"/>
      <c r="H17" s="252"/>
      <c r="I17" s="252"/>
    </row>
    <row r="18" spans="1:9">
      <c r="A18" s="300" t="s">
        <v>883</v>
      </c>
      <c r="B18" s="323"/>
      <c r="C18" s="329">
        <v>0</v>
      </c>
      <c r="D18" s="235"/>
      <c r="E18" s="235"/>
      <c r="F18" s="249"/>
      <c r="G18" s="249"/>
      <c r="H18" s="252"/>
      <c r="I18" s="252"/>
    </row>
    <row r="19" spans="1:9">
      <c r="A19" s="300" t="s">
        <v>884</v>
      </c>
      <c r="B19" s="323"/>
      <c r="C19" s="331">
        <v>22011523</v>
      </c>
      <c r="D19" s="235" t="s">
        <v>885</v>
      </c>
      <c r="E19" s="235"/>
      <c r="F19" s="249"/>
      <c r="G19" s="249"/>
      <c r="H19" s="252"/>
      <c r="I19" s="252"/>
    </row>
    <row r="20" spans="1:9">
      <c r="A20" s="300" t="s">
        <v>886</v>
      </c>
      <c r="B20" s="323"/>
      <c r="C20" s="329">
        <v>205546</v>
      </c>
      <c r="D20" s="235"/>
      <c r="E20" s="235"/>
      <c r="F20" s="249"/>
      <c r="G20" s="249"/>
      <c r="H20" s="252"/>
      <c r="I20" s="252"/>
    </row>
    <row r="21" spans="1:9">
      <c r="A21" s="300" t="s">
        <v>887</v>
      </c>
      <c r="B21" s="323"/>
      <c r="C21" s="329">
        <v>5565</v>
      </c>
      <c r="D21" s="235"/>
      <c r="E21" s="235"/>
      <c r="F21" s="249"/>
      <c r="G21" s="249"/>
      <c r="H21" s="252"/>
      <c r="I21" s="252"/>
    </row>
    <row r="22" spans="1:9">
      <c r="A22" s="303" t="s">
        <v>888</v>
      </c>
      <c r="B22" s="323"/>
      <c r="C22" s="329"/>
      <c r="D22" s="235"/>
      <c r="E22" s="235"/>
      <c r="F22" s="249"/>
      <c r="G22" s="249"/>
      <c r="H22" s="252"/>
      <c r="I22" s="252"/>
    </row>
    <row r="23" spans="1:9">
      <c r="A23" s="300" t="s">
        <v>889</v>
      </c>
      <c r="B23" s="323"/>
      <c r="C23" s="329">
        <v>24855</v>
      </c>
      <c r="D23" s="235"/>
      <c r="E23" s="235"/>
      <c r="F23" s="249"/>
      <c r="G23" s="249"/>
      <c r="H23" s="252"/>
      <c r="I23" s="252"/>
    </row>
    <row r="24" spans="1:9">
      <c r="A24" s="300" t="s">
        <v>890</v>
      </c>
      <c r="B24" s="323"/>
      <c r="C24" s="329"/>
      <c r="D24" s="235"/>
      <c r="E24" s="235"/>
      <c r="F24" s="249"/>
      <c r="G24" s="249"/>
      <c r="H24" s="249"/>
      <c r="I24" s="249"/>
    </row>
    <row r="25" spans="1:9">
      <c r="A25" s="300" t="s">
        <v>891</v>
      </c>
      <c r="B25" s="323"/>
      <c r="C25" s="329">
        <v>12548</v>
      </c>
      <c r="D25" s="235"/>
      <c r="E25" s="235"/>
      <c r="F25" s="249"/>
      <c r="G25" s="249"/>
      <c r="H25" s="252"/>
      <c r="I25" s="252"/>
    </row>
    <row r="26" spans="1:9">
      <c r="A26" s="300" t="s">
        <v>892</v>
      </c>
      <c r="B26" s="323"/>
      <c r="C26" s="329">
        <v>75657</v>
      </c>
      <c r="D26" s="235"/>
      <c r="E26" s="235"/>
      <c r="F26" s="249"/>
      <c r="G26" s="249"/>
      <c r="H26" s="252"/>
      <c r="I26" s="252"/>
    </row>
    <row r="27" spans="1:9">
      <c r="A27" s="300" t="s">
        <v>893</v>
      </c>
      <c r="B27" s="323"/>
      <c r="C27" s="329">
        <v>13059</v>
      </c>
      <c r="D27" s="235"/>
      <c r="E27" s="235"/>
      <c r="F27" s="249"/>
      <c r="G27" s="249"/>
      <c r="H27" s="252"/>
      <c r="I27" s="252"/>
    </row>
    <row r="28" spans="1:9" ht="17.399999999999999">
      <c r="A28" s="300" t="s">
        <v>894</v>
      </c>
      <c r="B28" s="323"/>
      <c r="C28" s="329">
        <v>0</v>
      </c>
      <c r="D28" s="235"/>
      <c r="E28" s="235"/>
      <c r="F28" s="249"/>
      <c r="G28" s="249"/>
      <c r="H28" s="250"/>
      <c r="I28" s="250"/>
    </row>
    <row r="29" spans="1:9">
      <c r="A29" s="300" t="s">
        <v>895</v>
      </c>
      <c r="B29" s="323"/>
      <c r="C29" s="329">
        <v>289825</v>
      </c>
      <c r="D29" s="235"/>
      <c r="E29" s="235"/>
      <c r="F29" s="249"/>
      <c r="G29" s="249"/>
      <c r="H29" s="252"/>
      <c r="I29" s="252"/>
    </row>
    <row r="30" spans="1:9">
      <c r="A30" s="300" t="s">
        <v>896</v>
      </c>
      <c r="B30" s="323"/>
      <c r="C30" s="329">
        <v>296099</v>
      </c>
      <c r="D30" s="235"/>
      <c r="E30" s="235"/>
      <c r="F30" s="249"/>
      <c r="G30" s="249"/>
      <c r="H30" s="249"/>
      <c r="I30" s="249"/>
    </row>
    <row r="31" spans="1:9">
      <c r="A31" s="300" t="s">
        <v>897</v>
      </c>
      <c r="B31" s="323"/>
      <c r="C31" s="329">
        <v>27.86</v>
      </c>
      <c r="D31" s="235"/>
      <c r="E31" s="235"/>
      <c r="F31" s="249"/>
      <c r="G31" s="249"/>
      <c r="H31" s="249"/>
      <c r="I31" s="249"/>
    </row>
    <row r="32" spans="1:9" ht="16.2">
      <c r="A32" s="300" t="s">
        <v>898</v>
      </c>
      <c r="B32" s="323"/>
      <c r="C32" s="332">
        <v>282760</v>
      </c>
      <c r="D32" s="235"/>
      <c r="E32" s="235"/>
      <c r="F32" s="249"/>
      <c r="G32" s="249"/>
      <c r="H32" s="249"/>
      <c r="I32" s="249"/>
    </row>
    <row r="33" spans="1:9">
      <c r="A33" s="235"/>
      <c r="B33" s="235"/>
      <c r="C33" s="321"/>
      <c r="D33" s="235"/>
      <c r="E33" s="235"/>
      <c r="F33" s="249"/>
      <c r="G33" s="249"/>
      <c r="H33" s="249"/>
      <c r="I33" s="249"/>
    </row>
    <row r="34" spans="1:9">
      <c r="A34" s="300" t="s">
        <v>899</v>
      </c>
      <c r="B34" s="235"/>
      <c r="C34" s="326">
        <f>SUM(C6:C32)</f>
        <v>24925641.859999999</v>
      </c>
      <c r="D34" s="235" t="s">
        <v>900</v>
      </c>
      <c r="E34" s="235"/>
      <c r="F34" s="249"/>
      <c r="G34" s="249"/>
      <c r="H34" s="249"/>
      <c r="I34" s="249"/>
    </row>
    <row r="35" spans="1:9">
      <c r="A35" s="300"/>
      <c r="B35" s="235"/>
      <c r="C35" s="333"/>
      <c r="D35" s="235" t="s">
        <v>901</v>
      </c>
      <c r="E35" s="235"/>
      <c r="F35" s="249"/>
      <c r="G35" s="249"/>
      <c r="H35" s="249"/>
      <c r="I35" s="249"/>
    </row>
    <row r="36" spans="1:9" ht="16.2">
      <c r="A36" s="334" t="s">
        <v>829</v>
      </c>
      <c r="B36" s="235"/>
      <c r="C36" s="335">
        <v>24925642</v>
      </c>
      <c r="D36" s="235" t="s">
        <v>902</v>
      </c>
      <c r="E36" s="235"/>
      <c r="F36" s="249"/>
      <c r="G36" s="249"/>
      <c r="H36" s="249"/>
      <c r="I36" s="249"/>
    </row>
    <row r="37" spans="1:9" ht="16.2">
      <c r="A37" s="334"/>
      <c r="B37" s="235"/>
      <c r="C37" s="336"/>
      <c r="D37" s="235" t="s">
        <v>903</v>
      </c>
      <c r="E37" s="235"/>
      <c r="F37" s="249"/>
      <c r="G37" s="249"/>
      <c r="H37" s="249"/>
      <c r="I37" s="249"/>
    </row>
    <row r="38" spans="1:9" ht="16.2">
      <c r="A38" s="334" t="s">
        <v>507</v>
      </c>
      <c r="B38" s="235"/>
      <c r="C38" s="568">
        <f>C36-C34</f>
        <v>0.14000000059604645</v>
      </c>
      <c r="D38" s="235" t="s">
        <v>904</v>
      </c>
      <c r="E38" s="235"/>
      <c r="F38" s="249"/>
      <c r="G38" s="249"/>
      <c r="H38" s="249"/>
      <c r="I38" s="249"/>
    </row>
    <row r="39" spans="1:9">
      <c r="A39" s="235"/>
      <c r="B39" s="235"/>
      <c r="C39" s="235"/>
      <c r="D39" s="235"/>
      <c r="E39" s="235"/>
      <c r="F39" s="249"/>
      <c r="G39" s="249"/>
      <c r="H39" s="249"/>
      <c r="I39" s="249"/>
    </row>
    <row r="40" spans="1:9">
      <c r="A40" s="258" t="s">
        <v>905</v>
      </c>
      <c r="B40" s="235"/>
      <c r="C40" s="235"/>
      <c r="D40" s="235"/>
      <c r="E40" s="235"/>
      <c r="F40" s="249"/>
      <c r="G40" s="249"/>
      <c r="H40" s="249"/>
      <c r="I40" s="249"/>
    </row>
    <row r="41" spans="1:9">
      <c r="A41" s="261" t="s">
        <v>1044</v>
      </c>
      <c r="B41" s="235"/>
      <c r="C41" s="235"/>
      <c r="D41" s="235"/>
      <c r="E41" s="235"/>
      <c r="F41" s="249"/>
      <c r="G41" s="249"/>
      <c r="H41" s="249"/>
      <c r="I41" s="249"/>
    </row>
    <row r="42" spans="1:9">
      <c r="A42" s="261" t="s">
        <v>906</v>
      </c>
      <c r="B42" s="235"/>
      <c r="C42" s="235"/>
      <c r="D42" s="235"/>
      <c r="E42" s="235"/>
      <c r="F42" s="249"/>
      <c r="G42" s="249"/>
      <c r="H42" s="249"/>
      <c r="I42" s="249"/>
    </row>
    <row r="43" spans="1:9">
      <c r="A43" s="300" t="s">
        <v>907</v>
      </c>
      <c r="B43" s="235"/>
      <c r="C43" s="235"/>
      <c r="D43" s="235"/>
      <c r="E43" s="235"/>
      <c r="F43" s="249"/>
      <c r="G43" s="249"/>
      <c r="H43" s="249"/>
      <c r="I43" s="249"/>
    </row>
    <row r="44" spans="1:9">
      <c r="A44" s="261" t="s">
        <v>908</v>
      </c>
      <c r="B44" s="235"/>
      <c r="C44" s="235"/>
      <c r="D44" s="235"/>
      <c r="E44" s="235"/>
      <c r="F44" s="249"/>
      <c r="G44" s="249"/>
      <c r="H44" s="249"/>
      <c r="I44" s="249"/>
    </row>
    <row r="45" spans="1:9">
      <c r="A45" s="300" t="s">
        <v>907</v>
      </c>
      <c r="B45" s="235"/>
      <c r="C45" s="235"/>
      <c r="D45" s="235"/>
      <c r="E45" s="235"/>
      <c r="F45" s="249"/>
      <c r="G45" s="249"/>
      <c r="H45" s="249"/>
      <c r="I45" s="249"/>
    </row>
    <row r="46" spans="1:9">
      <c r="A46" s="303" t="s">
        <v>909</v>
      </c>
      <c r="B46" s="235"/>
      <c r="C46" s="235"/>
      <c r="D46" s="235"/>
      <c r="E46" s="235"/>
      <c r="F46" s="249"/>
      <c r="G46" s="249"/>
      <c r="H46" s="249"/>
      <c r="I46" s="249"/>
    </row>
    <row r="47" spans="1:9">
      <c r="A47" s="300" t="s">
        <v>910</v>
      </c>
      <c r="B47" s="235"/>
      <c r="C47" s="235"/>
      <c r="D47" s="235"/>
      <c r="E47" s="235"/>
      <c r="F47" s="249"/>
      <c r="G47" s="249"/>
      <c r="H47" s="249"/>
      <c r="I47" s="249"/>
    </row>
    <row r="48" spans="1:9" ht="15.6">
      <c r="A48" s="277" t="s">
        <v>1045</v>
      </c>
      <c r="B48" s="276"/>
      <c r="C48" s="276"/>
      <c r="D48" s="276"/>
      <c r="E48" s="276"/>
      <c r="F48" s="254"/>
      <c r="G48" s="254"/>
      <c r="H48" s="255"/>
      <c r="I48" s="255"/>
    </row>
    <row r="49" spans="1:9">
      <c r="A49" s="338" t="s">
        <v>911</v>
      </c>
      <c r="B49" s="235"/>
      <c r="C49" s="235"/>
      <c r="D49" s="235"/>
      <c r="E49" s="235"/>
      <c r="F49" s="249"/>
      <c r="G49" s="249"/>
      <c r="H49" s="249"/>
      <c r="I49" s="249"/>
    </row>
    <row r="50" spans="1:9">
      <c r="A50" s="300"/>
      <c r="B50" s="235"/>
      <c r="C50" s="235"/>
      <c r="D50" s="235"/>
      <c r="E50" s="235"/>
      <c r="F50" s="249"/>
      <c r="G50" s="249"/>
      <c r="H50" s="249"/>
      <c r="I50" s="249"/>
    </row>
    <row r="51" spans="1:9">
      <c r="A51" s="300"/>
      <c r="B51" s="235"/>
      <c r="C51" s="235"/>
      <c r="D51" s="235"/>
      <c r="E51" s="235"/>
      <c r="F51" s="249"/>
      <c r="G51" s="249"/>
      <c r="H51" s="249"/>
      <c r="I51" s="249"/>
    </row>
    <row r="52" spans="1:9">
      <c r="A52" s="300"/>
      <c r="B52" s="235"/>
      <c r="C52" s="235"/>
      <c r="D52" s="235"/>
      <c r="E52" s="235"/>
      <c r="F52" s="249"/>
      <c r="G52" s="249"/>
      <c r="H52" s="249"/>
      <c r="I52" s="249"/>
    </row>
    <row r="53" spans="1:9">
      <c r="A53" s="300"/>
      <c r="B53" s="235"/>
      <c r="C53" s="235"/>
      <c r="D53" s="235"/>
      <c r="E53" s="235"/>
      <c r="F53" s="249"/>
      <c r="G53" s="249"/>
      <c r="H53" s="249"/>
      <c r="I53" s="249"/>
    </row>
  </sheetData>
  <mergeCells count="2">
    <mergeCell ref="A1:D1"/>
    <mergeCell ref="A2:D2"/>
  </mergeCells>
  <printOptions horizontalCentered="1" verticalCentered="1"/>
  <pageMargins left="0.45" right="0.2" top="0.25" bottom="0.25" header="0.3" footer="0.3"/>
  <pageSetup scale="7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topLeftCell="A22" workbookViewId="0">
      <selection activeCell="D33" sqref="D33"/>
    </sheetView>
  </sheetViews>
  <sheetFormatPr defaultRowHeight="15"/>
  <cols>
    <col min="1" max="1" width="44.453125" style="216" customWidth="1"/>
    <col min="2" max="2" width="2" style="216" customWidth="1"/>
    <col min="3" max="3" width="11" style="216" bestFit="1" customWidth="1"/>
    <col min="4" max="4" width="31.81640625" style="216" bestFit="1" customWidth="1"/>
  </cols>
  <sheetData>
    <row r="1" spans="1:8">
      <c r="A1" s="632" t="s">
        <v>294</v>
      </c>
      <c r="B1" s="632"/>
      <c r="C1" s="632"/>
      <c r="D1" s="311"/>
      <c r="E1" s="249"/>
      <c r="F1" s="249"/>
      <c r="G1" s="249"/>
      <c r="H1" s="249"/>
    </row>
    <row r="2" spans="1:8">
      <c r="A2" s="632">
        <f>'Plant and Depr'!A1:G1</f>
        <v>2012</v>
      </c>
      <c r="B2" s="632"/>
      <c r="C2" s="632"/>
      <c r="D2" s="311"/>
      <c r="E2" s="249"/>
      <c r="F2" s="249"/>
      <c r="G2" s="249"/>
      <c r="H2" s="249"/>
    </row>
    <row r="3" spans="1:8">
      <c r="A3" s="258"/>
      <c r="B3" s="235"/>
      <c r="C3" s="235"/>
      <c r="D3" s="235"/>
      <c r="E3" s="249"/>
      <c r="F3" s="249"/>
      <c r="G3" s="249"/>
      <c r="H3" s="249"/>
    </row>
    <row r="4" spans="1:8">
      <c r="A4" s="265" t="s">
        <v>912</v>
      </c>
      <c r="B4" s="235"/>
      <c r="C4" s="265" t="s">
        <v>7</v>
      </c>
      <c r="D4" s="235"/>
      <c r="E4" s="249"/>
      <c r="F4" s="249"/>
      <c r="G4" s="249"/>
      <c r="H4" s="249"/>
    </row>
    <row r="5" spans="1:8">
      <c r="A5" s="265"/>
      <c r="B5" s="235"/>
      <c r="C5" s="265"/>
      <c r="D5" s="235"/>
      <c r="E5" s="249"/>
      <c r="F5" s="249"/>
      <c r="G5" s="249"/>
      <c r="H5" s="249"/>
    </row>
    <row r="6" spans="1:8">
      <c r="A6" s="258" t="s">
        <v>913</v>
      </c>
      <c r="B6" s="323"/>
      <c r="C6" s="317">
        <v>0</v>
      </c>
      <c r="D6" s="235"/>
      <c r="E6" s="249"/>
      <c r="F6" s="249"/>
      <c r="G6" s="249"/>
      <c r="H6" s="249"/>
    </row>
    <row r="7" spans="1:8">
      <c r="A7" s="300" t="s">
        <v>914</v>
      </c>
      <c r="B7" s="323"/>
      <c r="C7" s="305">
        <v>0</v>
      </c>
      <c r="D7" s="235"/>
      <c r="E7" s="249"/>
      <c r="F7" s="249"/>
      <c r="G7" s="249"/>
      <c r="H7" s="249"/>
    </row>
    <row r="8" spans="1:8">
      <c r="A8" s="300" t="s">
        <v>915</v>
      </c>
      <c r="B8" s="323"/>
      <c r="C8" s="305">
        <v>0</v>
      </c>
      <c r="D8" s="235"/>
      <c r="E8" s="249"/>
      <c r="F8" s="249"/>
      <c r="G8" s="249"/>
      <c r="H8" s="249"/>
    </row>
    <row r="9" spans="1:8">
      <c r="A9" s="300" t="s">
        <v>916</v>
      </c>
      <c r="B9" s="323"/>
      <c r="C9" s="65">
        <v>15238</v>
      </c>
      <c r="D9" s="235"/>
      <c r="E9" s="249"/>
      <c r="F9" s="249"/>
      <c r="G9" s="249"/>
      <c r="H9" s="249"/>
    </row>
    <row r="10" spans="1:8">
      <c r="A10" s="300" t="s">
        <v>917</v>
      </c>
      <c r="B10" s="323"/>
      <c r="C10" s="65">
        <v>0</v>
      </c>
      <c r="D10" s="235"/>
      <c r="E10" s="249"/>
      <c r="F10" s="249"/>
      <c r="G10" s="249"/>
      <c r="H10" s="249"/>
    </row>
    <row r="11" spans="1:8" ht="16.2">
      <c r="A11" s="300" t="s">
        <v>918</v>
      </c>
      <c r="B11" s="323"/>
      <c r="C11" s="259">
        <v>0</v>
      </c>
      <c r="D11" s="235"/>
      <c r="E11" s="249"/>
      <c r="F11" s="249"/>
      <c r="G11" s="249"/>
      <c r="H11" s="249"/>
    </row>
    <row r="12" spans="1:8">
      <c r="A12" s="291" t="s">
        <v>919</v>
      </c>
      <c r="B12" s="323"/>
      <c r="C12" s="65">
        <f>SUM(C6:C11)</f>
        <v>15238</v>
      </c>
      <c r="D12" s="235" t="s">
        <v>920</v>
      </c>
      <c r="E12" s="249"/>
      <c r="F12" s="249"/>
      <c r="G12" s="249"/>
      <c r="H12" s="249"/>
    </row>
    <row r="13" spans="1:8">
      <c r="A13" s="300"/>
      <c r="B13" s="323"/>
      <c r="C13" s="65"/>
      <c r="D13" s="235"/>
      <c r="E13" s="249"/>
      <c r="F13" s="249"/>
      <c r="G13" s="249"/>
      <c r="H13" s="249"/>
    </row>
    <row r="14" spans="1:8">
      <c r="A14" s="258" t="s">
        <v>921</v>
      </c>
      <c r="B14" s="323"/>
      <c r="C14" s="65"/>
      <c r="D14" s="235"/>
      <c r="E14" s="249"/>
      <c r="F14" s="249"/>
      <c r="G14" s="249"/>
      <c r="H14" s="249"/>
    </row>
    <row r="15" spans="1:8">
      <c r="A15" s="300" t="s">
        <v>922</v>
      </c>
      <c r="B15" s="323"/>
      <c r="C15" s="309">
        <v>0</v>
      </c>
      <c r="D15" s="235"/>
      <c r="E15" s="249"/>
      <c r="F15" s="249"/>
      <c r="G15" s="249"/>
      <c r="H15" s="249"/>
    </row>
    <row r="16" spans="1:8">
      <c r="A16" s="300" t="s">
        <v>923</v>
      </c>
      <c r="B16" s="323"/>
      <c r="C16" s="65">
        <v>139383</v>
      </c>
      <c r="D16" s="235"/>
      <c r="E16" s="249"/>
      <c r="F16" s="249"/>
      <c r="G16" s="249"/>
      <c r="H16" s="249"/>
    </row>
    <row r="17" spans="1:8">
      <c r="A17" s="300" t="s">
        <v>924</v>
      </c>
      <c r="B17" s="323"/>
      <c r="C17" s="65">
        <v>0</v>
      </c>
      <c r="D17" s="235"/>
      <c r="E17" s="249"/>
      <c r="F17" s="249"/>
      <c r="G17" s="249"/>
      <c r="H17" s="249"/>
    </row>
    <row r="18" spans="1:8" ht="16.2">
      <c r="A18" s="300" t="s">
        <v>925</v>
      </c>
      <c r="B18" s="323"/>
      <c r="C18" s="259">
        <v>0</v>
      </c>
      <c r="D18" s="235"/>
      <c r="E18" s="249"/>
      <c r="F18" s="249"/>
      <c r="G18" s="249"/>
      <c r="H18" s="249"/>
    </row>
    <row r="19" spans="1:8">
      <c r="A19" s="291" t="s">
        <v>926</v>
      </c>
      <c r="B19" s="323"/>
      <c r="C19" s="65">
        <f>SUM(C15:C18)</f>
        <v>139383</v>
      </c>
      <c r="D19" s="235" t="s">
        <v>927</v>
      </c>
      <c r="E19" s="249"/>
      <c r="F19" s="249"/>
      <c r="G19" s="249"/>
      <c r="H19" s="249"/>
    </row>
    <row r="20" spans="1:8">
      <c r="A20" s="300"/>
      <c r="B20" s="323"/>
      <c r="C20" s="65"/>
      <c r="D20" s="235"/>
      <c r="E20" s="249"/>
      <c r="F20" s="249"/>
      <c r="G20" s="249"/>
      <c r="H20" s="249"/>
    </row>
    <row r="21" spans="1:8">
      <c r="A21" s="258" t="s">
        <v>928</v>
      </c>
      <c r="B21" s="323"/>
      <c r="C21" s="65"/>
      <c r="D21" s="235"/>
      <c r="E21" s="249"/>
      <c r="F21" s="249"/>
      <c r="G21" s="249"/>
      <c r="H21" s="249"/>
    </row>
    <row r="22" spans="1:8">
      <c r="A22" s="300" t="s">
        <v>929</v>
      </c>
      <c r="B22" s="323"/>
      <c r="C22" s="309">
        <v>0</v>
      </c>
      <c r="D22" s="235"/>
      <c r="E22" s="249"/>
      <c r="F22" s="249"/>
      <c r="G22" s="249"/>
      <c r="H22" s="249"/>
    </row>
    <row r="23" spans="1:8">
      <c r="A23" s="300" t="s">
        <v>930</v>
      </c>
      <c r="B23" s="323"/>
      <c r="C23" s="65">
        <v>41280</v>
      </c>
      <c r="D23" s="235"/>
      <c r="E23" s="249"/>
      <c r="F23" s="249"/>
      <c r="G23" s="249"/>
      <c r="H23" s="249"/>
    </row>
    <row r="24" spans="1:8">
      <c r="A24" s="300" t="s">
        <v>931</v>
      </c>
      <c r="B24" s="323"/>
      <c r="C24" s="305">
        <v>0</v>
      </c>
      <c r="D24" s="235"/>
      <c r="E24" s="249"/>
      <c r="F24" s="249"/>
      <c r="G24" s="249"/>
      <c r="H24" s="249"/>
    </row>
    <row r="25" spans="1:8" ht="16.2">
      <c r="A25" s="300" t="s">
        <v>932</v>
      </c>
      <c r="B25" s="323"/>
      <c r="C25" s="339">
        <v>0</v>
      </c>
      <c r="D25" s="235"/>
      <c r="E25" s="249"/>
      <c r="F25" s="249"/>
      <c r="G25" s="249"/>
      <c r="H25" s="249"/>
    </row>
    <row r="26" spans="1:8">
      <c r="A26" s="258" t="s">
        <v>928</v>
      </c>
      <c r="B26" s="323"/>
      <c r="C26" s="340">
        <f>SUM(C22:C25)</f>
        <v>41280</v>
      </c>
      <c r="D26" s="235" t="s">
        <v>933</v>
      </c>
      <c r="E26" s="249"/>
      <c r="F26" s="249"/>
      <c r="G26" s="249"/>
      <c r="H26" s="249"/>
    </row>
    <row r="27" spans="1:8">
      <c r="A27" s="300"/>
      <c r="B27" s="323"/>
      <c r="C27" s="305"/>
      <c r="D27" s="235"/>
      <c r="E27" s="249"/>
      <c r="F27" s="249"/>
      <c r="G27" s="249"/>
      <c r="H27" s="249"/>
    </row>
    <row r="28" spans="1:8">
      <c r="A28" s="258" t="s">
        <v>934</v>
      </c>
      <c r="B28" s="323"/>
      <c r="C28" s="305"/>
      <c r="D28" s="235"/>
      <c r="E28" s="249"/>
      <c r="F28" s="249"/>
      <c r="G28" s="249"/>
      <c r="H28" s="249"/>
    </row>
    <row r="29" spans="1:8">
      <c r="A29" s="300" t="s">
        <v>935</v>
      </c>
      <c r="B29" s="323"/>
      <c r="C29" s="57">
        <v>2348973</v>
      </c>
      <c r="D29" s="235"/>
      <c r="E29" s="249"/>
      <c r="F29" s="249"/>
      <c r="G29" s="249"/>
      <c r="H29" s="249"/>
    </row>
    <row r="30" spans="1:8">
      <c r="A30" s="300" t="s">
        <v>936</v>
      </c>
      <c r="B30" s="323"/>
      <c r="C30" s="329">
        <v>1422329</v>
      </c>
      <c r="D30" s="235"/>
      <c r="E30" s="249"/>
      <c r="F30" s="249"/>
      <c r="G30" s="249"/>
      <c r="H30" s="249"/>
    </row>
    <row r="31" spans="1:8">
      <c r="A31" s="300" t="s">
        <v>937</v>
      </c>
      <c r="B31" s="323"/>
      <c r="C31" s="329">
        <v>-1110117</v>
      </c>
      <c r="D31" s="235"/>
      <c r="E31" s="249"/>
      <c r="F31" s="249"/>
      <c r="G31" s="249"/>
      <c r="H31" s="249"/>
    </row>
    <row r="32" spans="1:8">
      <c r="A32" s="300" t="s">
        <v>938</v>
      </c>
      <c r="B32" s="323"/>
      <c r="C32" s="329">
        <v>2641134</v>
      </c>
      <c r="D32" s="235"/>
      <c r="E32" s="249"/>
      <c r="F32" s="249"/>
      <c r="G32" s="249"/>
      <c r="H32" s="249"/>
    </row>
    <row r="33" spans="1:8">
      <c r="A33" s="300" t="s">
        <v>939</v>
      </c>
      <c r="B33" s="323"/>
      <c r="C33" s="329">
        <v>409138</v>
      </c>
      <c r="D33" s="235"/>
      <c r="E33" s="249"/>
      <c r="F33" s="249"/>
      <c r="G33" s="249"/>
      <c r="H33" s="249"/>
    </row>
    <row r="34" spans="1:8">
      <c r="A34" s="300" t="s">
        <v>940</v>
      </c>
      <c r="B34" s="323"/>
      <c r="C34" s="329">
        <v>447885</v>
      </c>
      <c r="D34" s="235"/>
      <c r="E34" s="249"/>
      <c r="F34" s="249"/>
      <c r="G34" s="249"/>
      <c r="H34" s="249"/>
    </row>
    <row r="35" spans="1:8">
      <c r="A35" s="300" t="s">
        <v>941</v>
      </c>
      <c r="B35" s="323"/>
      <c r="C35" s="329">
        <v>1615677</v>
      </c>
      <c r="D35" s="235"/>
      <c r="E35" s="249"/>
      <c r="F35" s="249"/>
      <c r="G35" s="249"/>
      <c r="H35" s="249"/>
    </row>
    <row r="36" spans="1:8">
      <c r="A36" s="300" t="s">
        <v>942</v>
      </c>
      <c r="B36" s="323"/>
      <c r="C36" s="329"/>
      <c r="D36" s="235"/>
      <c r="E36" s="249"/>
      <c r="F36" s="249"/>
      <c r="G36" s="249"/>
      <c r="H36" s="249"/>
    </row>
    <row r="37" spans="1:8">
      <c r="A37" s="300" t="s">
        <v>943</v>
      </c>
      <c r="B37" s="323"/>
      <c r="C37" s="329">
        <v>219094</v>
      </c>
      <c r="D37" s="235"/>
      <c r="E37" s="249"/>
      <c r="F37" s="249"/>
      <c r="G37" s="249"/>
      <c r="H37" s="249"/>
    </row>
    <row r="38" spans="1:8">
      <c r="A38" s="300" t="s">
        <v>944</v>
      </c>
      <c r="B38" s="323"/>
      <c r="C38" s="329"/>
      <c r="D38" s="235"/>
      <c r="E38" s="249"/>
      <c r="F38" s="249"/>
      <c r="G38" s="249"/>
      <c r="H38" s="249"/>
    </row>
    <row r="39" spans="1:8">
      <c r="A39" s="300" t="s">
        <v>945</v>
      </c>
      <c r="B39" s="323"/>
      <c r="C39" s="341">
        <v>109016</v>
      </c>
      <c r="D39" s="235"/>
      <c r="E39" s="249"/>
      <c r="F39" s="249"/>
      <c r="G39" s="249"/>
      <c r="H39" s="249"/>
    </row>
    <row r="40" spans="1:8">
      <c r="A40" s="300" t="s">
        <v>946</v>
      </c>
      <c r="B40" s="235"/>
      <c r="C40" s="341">
        <v>292139</v>
      </c>
      <c r="D40" s="235"/>
      <c r="E40" s="249"/>
      <c r="F40" s="249"/>
      <c r="G40" s="249"/>
      <c r="H40" s="249"/>
    </row>
    <row r="41" spans="1:8">
      <c r="A41" s="300" t="s">
        <v>947</v>
      </c>
      <c r="B41" s="235"/>
      <c r="C41" s="342"/>
      <c r="D41" s="235"/>
      <c r="E41" s="249"/>
      <c r="F41" s="249"/>
      <c r="G41" s="249"/>
      <c r="H41" s="249"/>
    </row>
    <row r="42" spans="1:8">
      <c r="A42" s="300" t="s">
        <v>948</v>
      </c>
      <c r="B42" s="235"/>
      <c r="C42" s="343">
        <v>151232</v>
      </c>
      <c r="D42" s="235"/>
      <c r="E42" s="249"/>
      <c r="F42" s="249"/>
      <c r="G42" s="249"/>
      <c r="H42" s="249"/>
    </row>
    <row r="43" spans="1:8">
      <c r="A43" s="258" t="s">
        <v>934</v>
      </c>
      <c r="B43" s="235"/>
      <c r="C43" s="344">
        <f>SUM(C29:C42)</f>
        <v>8546500</v>
      </c>
      <c r="D43" s="235" t="s">
        <v>949</v>
      </c>
      <c r="E43" s="249"/>
      <c r="F43" s="249"/>
      <c r="G43" s="249"/>
      <c r="H43" s="249"/>
    </row>
    <row r="44" spans="1:8">
      <c r="A44" s="235"/>
      <c r="B44" s="235"/>
      <c r="C44" s="321"/>
      <c r="D44" s="235"/>
      <c r="E44" s="249"/>
      <c r="F44" s="249"/>
      <c r="G44" s="249"/>
      <c r="H44" s="249"/>
    </row>
    <row r="45" spans="1:8" ht="16.2">
      <c r="A45" s="334" t="s">
        <v>829</v>
      </c>
      <c r="B45" s="235"/>
      <c r="C45" s="335">
        <v>8546500</v>
      </c>
      <c r="D45" s="235"/>
      <c r="E45" s="249"/>
      <c r="F45" s="249"/>
      <c r="G45" s="249"/>
      <c r="H45" s="249"/>
    </row>
    <row r="46" spans="1:8" ht="16.2">
      <c r="A46" s="334"/>
      <c r="B46" s="235"/>
      <c r="C46" s="336"/>
      <c r="D46" s="235"/>
      <c r="E46" s="249"/>
      <c r="F46" s="249"/>
      <c r="G46" s="249"/>
      <c r="H46" s="249"/>
    </row>
    <row r="47" spans="1:8" ht="16.2">
      <c r="A47" s="334" t="s">
        <v>507</v>
      </c>
      <c r="B47" s="235"/>
      <c r="C47" s="337">
        <f>C45-C43</f>
        <v>0</v>
      </c>
      <c r="D47" s="338"/>
      <c r="E47" s="256"/>
      <c r="F47" s="256"/>
      <c r="G47" s="249"/>
      <c r="H47" s="249"/>
    </row>
    <row r="48" spans="1:8" ht="15.6">
      <c r="A48" s="235"/>
      <c r="B48" s="235"/>
      <c r="C48" s="317"/>
      <c r="D48" s="338"/>
      <c r="E48" s="256"/>
      <c r="F48" s="256"/>
      <c r="G48" s="249"/>
      <c r="H48" s="249"/>
    </row>
    <row r="49" spans="1:8" ht="15.6">
      <c r="A49" s="258" t="s">
        <v>905</v>
      </c>
      <c r="B49" s="338"/>
      <c r="C49" s="345"/>
      <c r="D49" s="338"/>
      <c r="E49" s="256"/>
      <c r="F49" s="256"/>
      <c r="G49" s="249"/>
      <c r="H49" s="249"/>
    </row>
    <row r="50" spans="1:8" ht="15.6">
      <c r="A50" s="303" t="s">
        <v>950</v>
      </c>
      <c r="B50" s="338"/>
      <c r="C50" s="338"/>
      <c r="D50" s="338"/>
      <c r="E50" s="256"/>
      <c r="F50" s="256"/>
      <c r="G50" s="249"/>
      <c r="H50" s="249"/>
    </row>
    <row r="51" spans="1:8" ht="15.6">
      <c r="A51" s="300" t="s">
        <v>951</v>
      </c>
      <c r="B51" s="338"/>
      <c r="C51" s="338"/>
      <c r="D51" s="338"/>
      <c r="E51" s="256"/>
      <c r="F51" s="256"/>
      <c r="G51" s="249"/>
      <c r="H51" s="249"/>
    </row>
    <row r="52" spans="1:8" ht="15.6">
      <c r="A52" s="300" t="s">
        <v>952</v>
      </c>
      <c r="B52" s="338"/>
      <c r="C52" s="338"/>
      <c r="D52" s="338"/>
      <c r="E52" s="256"/>
      <c r="F52" s="256"/>
      <c r="G52" s="249"/>
      <c r="H52" s="249"/>
    </row>
    <row r="53" spans="1:8" ht="15.6">
      <c r="A53" s="300"/>
      <c r="B53" s="338"/>
      <c r="C53" s="338"/>
      <c r="D53" s="338"/>
      <c r="E53" s="256"/>
      <c r="F53" s="256"/>
      <c r="G53" s="249"/>
      <c r="H53" s="249"/>
    </row>
    <row r="54" spans="1:8">
      <c r="A54" s="303" t="s">
        <v>953</v>
      </c>
      <c r="B54" s="338"/>
      <c r="C54" s="338"/>
      <c r="D54" s="235"/>
      <c r="E54" s="249"/>
      <c r="F54" s="249"/>
      <c r="G54" s="249"/>
      <c r="H54" s="249"/>
    </row>
    <row r="55" spans="1:8">
      <c r="A55" s="346" t="s">
        <v>954</v>
      </c>
      <c r="B55" s="338"/>
      <c r="C55" s="338"/>
      <c r="D55" s="235"/>
      <c r="E55" s="249"/>
      <c r="F55" s="249"/>
      <c r="G55" s="249"/>
      <c r="H55" s="249"/>
    </row>
    <row r="56" spans="1:8" ht="15.6">
      <c r="A56" s="346"/>
      <c r="B56" s="338"/>
      <c r="C56" s="338"/>
      <c r="D56" s="338"/>
      <c r="E56" s="256"/>
      <c r="F56" s="256"/>
      <c r="G56" s="249"/>
      <c r="H56" s="249"/>
    </row>
    <row r="57" spans="1:8" ht="15.6">
      <c r="A57" s="303" t="s">
        <v>1046</v>
      </c>
      <c r="B57" s="235"/>
      <c r="C57" s="235"/>
      <c r="D57" s="338"/>
      <c r="E57" s="256"/>
      <c r="F57" s="256"/>
      <c r="G57" s="249"/>
      <c r="H57" s="249"/>
    </row>
    <row r="58" spans="1:8">
      <c r="A58" s="303"/>
      <c r="B58" s="235"/>
      <c r="C58" s="235"/>
      <c r="D58" s="235"/>
      <c r="E58" s="249"/>
      <c r="F58" s="249"/>
      <c r="G58" s="249"/>
      <c r="H58" s="249"/>
    </row>
    <row r="59" spans="1:8" ht="15.6">
      <c r="A59" s="303" t="s">
        <v>955</v>
      </c>
      <c r="B59" s="338"/>
      <c r="C59" s="338"/>
      <c r="D59" s="276"/>
      <c r="E59" s="254"/>
      <c r="F59" s="249"/>
      <c r="G59" s="249"/>
      <c r="H59" s="249"/>
    </row>
    <row r="60" spans="1:8">
      <c r="A60" s="300" t="s">
        <v>956</v>
      </c>
      <c r="B60" s="338"/>
      <c r="C60" s="338"/>
      <c r="D60" s="235"/>
      <c r="E60" s="249"/>
      <c r="F60" s="249"/>
      <c r="G60" s="249"/>
      <c r="H60" s="249"/>
    </row>
    <row r="61" spans="1:8">
      <c r="A61" s="277" t="s">
        <v>1045</v>
      </c>
      <c r="B61" s="276"/>
      <c r="C61" s="276"/>
      <c r="D61" s="235"/>
      <c r="E61" s="249"/>
      <c r="F61" s="249"/>
      <c r="G61" s="249"/>
      <c r="H61" s="249"/>
    </row>
    <row r="62" spans="1:8">
      <c r="A62" s="338" t="s">
        <v>911</v>
      </c>
      <c r="B62" s="235"/>
      <c r="C62" s="235"/>
      <c r="D62" s="235"/>
      <c r="E62" s="249"/>
      <c r="F62" s="249"/>
      <c r="G62" s="249"/>
      <c r="H62" s="249"/>
    </row>
    <row r="63" spans="1:8">
      <c r="A63" s="300"/>
      <c r="B63" s="235"/>
      <c r="C63" s="235"/>
      <c r="D63" s="235"/>
      <c r="E63" s="249"/>
      <c r="F63" s="249"/>
      <c r="G63" s="249"/>
      <c r="H63" s="249"/>
    </row>
    <row r="64" spans="1:8">
      <c r="A64" s="300"/>
      <c r="B64" s="235"/>
      <c r="C64" s="235"/>
      <c r="D64" s="235"/>
      <c r="E64" s="249"/>
      <c r="F64" s="249"/>
      <c r="G64" s="249"/>
      <c r="H64" s="249"/>
    </row>
    <row r="65" spans="1:8">
      <c r="A65" s="300"/>
      <c r="B65" s="235"/>
      <c r="C65" s="235"/>
      <c r="D65" s="235"/>
      <c r="E65" s="249"/>
      <c r="F65" s="249"/>
      <c r="G65" s="249"/>
      <c r="H65" s="249"/>
    </row>
    <row r="66" spans="1:8">
      <c r="A66" s="300"/>
      <c r="B66" s="235"/>
      <c r="C66" s="235"/>
      <c r="D66" s="235"/>
      <c r="E66" s="249"/>
      <c r="F66" s="249"/>
      <c r="G66" s="249"/>
      <c r="H66" s="249"/>
    </row>
    <row r="67" spans="1:8">
      <c r="A67" s="258"/>
      <c r="B67" s="235"/>
      <c r="C67" s="235"/>
      <c r="D67" s="235"/>
      <c r="E67" s="249"/>
      <c r="F67" s="249"/>
      <c r="G67" s="249"/>
      <c r="H67" s="249"/>
    </row>
    <row r="68" spans="1:8">
      <c r="A68" s="300"/>
      <c r="B68" s="235"/>
      <c r="C68" s="235"/>
      <c r="D68" s="235"/>
      <c r="E68" s="249"/>
      <c r="F68" s="249"/>
      <c r="G68" s="249"/>
      <c r="H68" s="249"/>
    </row>
    <row r="69" spans="1:8">
      <c r="A69" s="300"/>
      <c r="B69" s="235"/>
      <c r="C69" s="235"/>
      <c r="D69" s="235"/>
      <c r="E69" s="249"/>
      <c r="F69" s="249"/>
      <c r="G69" s="249"/>
      <c r="H69" s="249"/>
    </row>
    <row r="70" spans="1:8">
      <c r="A70" s="300"/>
      <c r="B70" s="235"/>
      <c r="C70" s="235"/>
      <c r="D70" s="235"/>
      <c r="E70" s="249"/>
      <c r="F70" s="249"/>
      <c r="G70" s="249"/>
      <c r="H70" s="249"/>
    </row>
  </sheetData>
  <mergeCells count="2">
    <mergeCell ref="A1:C1"/>
    <mergeCell ref="A2:C2"/>
  </mergeCells>
  <printOptions horizontalCentered="1" verticalCentered="1"/>
  <pageMargins left="0.45" right="0.2" top="0.25" bottom="0.25" header="0.3" footer="0.3"/>
  <pageSetup scale="8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A2" sqref="A2:G2"/>
    </sheetView>
  </sheetViews>
  <sheetFormatPr defaultRowHeight="15"/>
  <sheetData>
    <row r="1" spans="1:7">
      <c r="A1" s="632" t="s">
        <v>294</v>
      </c>
      <c r="B1" s="632"/>
      <c r="C1" s="632"/>
      <c r="D1" s="632"/>
      <c r="E1" s="632"/>
      <c r="F1" s="632"/>
      <c r="G1" s="632"/>
    </row>
    <row r="2" spans="1:7">
      <c r="A2" s="632">
        <f>'Mat and Supplies'!A2:G2</f>
        <v>2012</v>
      </c>
      <c r="B2" s="632"/>
      <c r="C2" s="632"/>
      <c r="D2" s="632"/>
      <c r="E2" s="632"/>
      <c r="F2" s="632"/>
      <c r="G2" s="632"/>
    </row>
    <row r="3" spans="1:7">
      <c r="A3" s="235"/>
      <c r="B3" s="235"/>
      <c r="C3" s="235"/>
      <c r="D3" s="235"/>
      <c r="E3" s="235"/>
      <c r="F3" s="235"/>
      <c r="G3" s="235"/>
    </row>
    <row r="4" spans="1:7">
      <c r="A4" s="258" t="s">
        <v>957</v>
      </c>
      <c r="B4" s="258"/>
      <c r="C4" s="258"/>
      <c r="D4" s="258"/>
      <c r="E4" s="235"/>
      <c r="F4" s="235"/>
      <c r="G4" s="235"/>
    </row>
    <row r="5" spans="1:7">
      <c r="A5" s="235"/>
      <c r="B5" s="235"/>
      <c r="C5" s="235"/>
      <c r="D5" s="235"/>
      <c r="E5" s="235"/>
      <c r="F5" s="235"/>
      <c r="G5" s="235"/>
    </row>
    <row r="6" spans="1:7">
      <c r="A6" s="235" t="s">
        <v>958</v>
      </c>
      <c r="B6" s="235"/>
      <c r="C6" s="235"/>
      <c r="D6" s="235"/>
      <c r="E6" s="235"/>
      <c r="F6" s="235"/>
      <c r="G6" s="235"/>
    </row>
    <row r="7" spans="1:7">
      <c r="A7" s="261" t="s">
        <v>959</v>
      </c>
      <c r="B7" s="235"/>
      <c r="C7" s="235"/>
      <c r="D7" s="235"/>
      <c r="E7" s="235"/>
      <c r="F7" s="235"/>
      <c r="G7" s="235"/>
    </row>
    <row r="8" spans="1:7">
      <c r="A8" s="235"/>
      <c r="B8" s="235"/>
      <c r="C8" s="235"/>
      <c r="D8" s="235"/>
      <c r="E8" s="235"/>
      <c r="F8" s="235"/>
      <c r="G8" s="235"/>
    </row>
  </sheetData>
  <mergeCells count="2">
    <mergeCell ref="A1:G1"/>
    <mergeCell ref="A2:G2"/>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topLeftCell="A7" workbookViewId="0">
      <selection activeCell="D14" sqref="D14:D25"/>
    </sheetView>
  </sheetViews>
  <sheetFormatPr defaultRowHeight="15"/>
  <cols>
    <col min="1" max="1" width="8.1796875" style="216" customWidth="1"/>
    <col min="2" max="2" width="29.6328125" style="216" customWidth="1"/>
    <col min="3" max="3" width="47.453125" style="216" customWidth="1"/>
    <col min="4" max="4" width="7" style="216" bestFit="1" customWidth="1"/>
    <col min="5" max="5" width="23.54296875" style="216" bestFit="1" customWidth="1"/>
    <col min="6" max="6" width="8.90625" style="216"/>
    <col min="7" max="7" width="6.26953125" bestFit="1" customWidth="1"/>
  </cols>
  <sheetData>
    <row r="1" spans="1:7">
      <c r="A1" s="235"/>
      <c r="B1" s="632" t="s">
        <v>294</v>
      </c>
      <c r="C1" s="632"/>
      <c r="D1" s="632"/>
      <c r="E1" s="311"/>
      <c r="F1" s="311"/>
    </row>
    <row r="2" spans="1:7">
      <c r="A2" s="235"/>
      <c r="B2" s="632">
        <f>'Mat and Supplies'!A2</f>
        <v>2012</v>
      </c>
      <c r="C2" s="632"/>
      <c r="D2" s="632"/>
      <c r="E2" s="311"/>
      <c r="F2" s="311"/>
    </row>
    <row r="3" spans="1:7">
      <c r="A3" s="235"/>
      <c r="B3" s="235"/>
      <c r="C3" s="235"/>
      <c r="D3" s="235"/>
      <c r="E3" s="235"/>
      <c r="F3" s="235"/>
    </row>
    <row r="4" spans="1:7">
      <c r="A4" s="235"/>
      <c r="B4" s="258" t="s">
        <v>960</v>
      </c>
      <c r="C4" s="258"/>
      <c r="D4" s="258"/>
      <c r="E4" s="258"/>
      <c r="F4" s="258"/>
    </row>
    <row r="5" spans="1:7">
      <c r="A5" s="235"/>
      <c r="B5" s="235"/>
      <c r="C5" s="235"/>
      <c r="D5" s="235"/>
      <c r="E5" s="235"/>
      <c r="F5" s="235"/>
    </row>
    <row r="6" spans="1:7">
      <c r="A6" s="257" t="s">
        <v>961</v>
      </c>
      <c r="B6" s="235"/>
      <c r="C6" s="235"/>
      <c r="D6" s="235"/>
      <c r="E6" s="257" t="s">
        <v>962</v>
      </c>
      <c r="F6" s="235"/>
    </row>
    <row r="7" spans="1:7">
      <c r="A7" s="265" t="s">
        <v>571</v>
      </c>
      <c r="B7" s="265" t="s">
        <v>275</v>
      </c>
      <c r="C7" s="265"/>
      <c r="D7" s="265" t="s">
        <v>7</v>
      </c>
      <c r="E7" s="265" t="s">
        <v>963</v>
      </c>
      <c r="F7" s="235"/>
    </row>
    <row r="8" spans="1:7">
      <c r="A8" s="265"/>
      <c r="B8" s="265"/>
      <c r="C8" s="265"/>
      <c r="D8" s="265"/>
      <c r="E8" s="265"/>
      <c r="F8" s="235"/>
    </row>
    <row r="9" spans="1:7" ht="16.2">
      <c r="A9" s="322" t="s">
        <v>964</v>
      </c>
      <c r="B9" s="235" t="s">
        <v>965</v>
      </c>
      <c r="C9" s="235"/>
      <c r="D9" s="335">
        <v>0</v>
      </c>
      <c r="E9" s="235" t="s">
        <v>966</v>
      </c>
      <c r="F9" s="235"/>
    </row>
    <row r="10" spans="1:7">
      <c r="A10" s="322"/>
      <c r="B10" s="235"/>
      <c r="C10" s="235"/>
      <c r="D10" s="235"/>
      <c r="E10" s="235"/>
      <c r="F10" s="235"/>
    </row>
    <row r="11" spans="1:7">
      <c r="A11" s="322"/>
      <c r="B11" s="235"/>
      <c r="C11" s="235"/>
      <c r="D11" s="235"/>
      <c r="E11" s="235"/>
      <c r="F11" s="235"/>
    </row>
    <row r="12" spans="1:7">
      <c r="A12" s="322"/>
      <c r="B12" s="633" t="s">
        <v>1047</v>
      </c>
      <c r="C12" s="633"/>
      <c r="D12" s="633"/>
      <c r="E12" s="235"/>
      <c r="F12" s="235"/>
    </row>
    <row r="13" spans="1:7">
      <c r="A13" s="322"/>
      <c r="B13" s="235"/>
      <c r="C13" s="347" t="s">
        <v>967</v>
      </c>
      <c r="D13" s="235"/>
      <c r="E13" s="235"/>
      <c r="F13" s="235"/>
    </row>
    <row r="14" spans="1:7">
      <c r="A14" s="322">
        <v>928</v>
      </c>
      <c r="B14" s="235" t="s">
        <v>968</v>
      </c>
      <c r="C14" s="378" t="s">
        <v>969</v>
      </c>
      <c r="D14" s="348">
        <v>1702</v>
      </c>
      <c r="E14" s="235" t="s">
        <v>970</v>
      </c>
      <c r="F14" s="583" t="s">
        <v>194</v>
      </c>
      <c r="G14" s="92"/>
    </row>
    <row r="15" spans="1:7">
      <c r="A15" s="235"/>
      <c r="B15" s="377" t="s">
        <v>1274</v>
      </c>
      <c r="C15" s="378"/>
      <c r="D15" s="349">
        <v>1484</v>
      </c>
      <c r="E15" s="235" t="s">
        <v>970</v>
      </c>
      <c r="F15" s="378"/>
      <c r="G15" s="92"/>
    </row>
    <row r="16" spans="1:7">
      <c r="A16" s="235"/>
      <c r="B16" s="235" t="s">
        <v>971</v>
      </c>
      <c r="C16" s="379" t="s">
        <v>1121</v>
      </c>
      <c r="D16" s="349">
        <v>12846</v>
      </c>
      <c r="E16" s="235" t="s">
        <v>970</v>
      </c>
      <c r="F16" s="378"/>
    </row>
    <row r="17" spans="1:9">
      <c r="A17" s="235"/>
      <c r="B17" s="377" t="s">
        <v>1278</v>
      </c>
      <c r="C17" s="378"/>
      <c r="D17" s="349">
        <f>1715.81+8011.43+7653.06+342.71+8304.01+11027.68</f>
        <v>37054.699999999997</v>
      </c>
      <c r="E17" s="235" t="s">
        <v>970</v>
      </c>
    </row>
    <row r="18" spans="1:9">
      <c r="A18" s="235"/>
      <c r="B18" s="377" t="s">
        <v>972</v>
      </c>
      <c r="C18" s="379" t="s">
        <v>1122</v>
      </c>
      <c r="D18" s="349">
        <v>3562</v>
      </c>
      <c r="E18" s="235" t="s">
        <v>970</v>
      </c>
      <c r="G18" s="351"/>
    </row>
    <row r="19" spans="1:9">
      <c r="A19" s="235"/>
      <c r="B19" s="377" t="s">
        <v>1275</v>
      </c>
      <c r="C19" s="590" t="s">
        <v>1089</v>
      </c>
      <c r="D19" s="349">
        <v>540</v>
      </c>
      <c r="E19" s="235" t="s">
        <v>970</v>
      </c>
      <c r="F19" s="379"/>
    </row>
    <row r="20" spans="1:9">
      <c r="A20" s="235"/>
      <c r="B20" s="377" t="s">
        <v>1090</v>
      </c>
      <c r="C20" s="379" t="s">
        <v>1091</v>
      </c>
      <c r="D20" s="349">
        <v>5951</v>
      </c>
      <c r="E20" s="235" t="s">
        <v>970</v>
      </c>
    </row>
    <row r="21" spans="1:9">
      <c r="A21" s="235"/>
      <c r="B21" s="380" t="s">
        <v>1273</v>
      </c>
      <c r="C21" s="379" t="s">
        <v>1279</v>
      </c>
      <c r="D21" s="349">
        <v>1913</v>
      </c>
      <c r="E21" s="235" t="s">
        <v>970</v>
      </c>
      <c r="G21" s="216"/>
      <c r="H21" s="216"/>
      <c r="I21" s="216"/>
    </row>
    <row r="22" spans="1:9">
      <c r="A22" s="235"/>
      <c r="B22" s="380" t="s">
        <v>1280</v>
      </c>
      <c r="C22" s="379"/>
      <c r="D22" s="349">
        <v>1021</v>
      </c>
      <c r="E22" s="235" t="s">
        <v>970</v>
      </c>
      <c r="G22" s="351"/>
      <c r="H22" s="351"/>
      <c r="I22" s="351"/>
    </row>
    <row r="23" spans="1:9">
      <c r="A23" s="235"/>
      <c r="B23" s="380" t="s">
        <v>1282</v>
      </c>
      <c r="C23" s="379" t="s">
        <v>1281</v>
      </c>
      <c r="D23" s="349">
        <v>11854</v>
      </c>
      <c r="E23" s="235" t="s">
        <v>970</v>
      </c>
      <c r="G23" s="351"/>
      <c r="H23" s="351"/>
      <c r="I23" s="351"/>
    </row>
    <row r="24" spans="1:9">
      <c r="A24" s="235"/>
      <c r="B24" s="380" t="s">
        <v>1284</v>
      </c>
      <c r="C24" s="379" t="s">
        <v>1283</v>
      </c>
      <c r="D24" s="349">
        <v>7964</v>
      </c>
      <c r="E24" s="235" t="s">
        <v>970</v>
      </c>
      <c r="G24" s="351"/>
      <c r="H24" s="351"/>
      <c r="I24" s="351"/>
    </row>
    <row r="25" spans="1:9">
      <c r="A25" s="235"/>
      <c r="B25" s="380" t="s">
        <v>1285</v>
      </c>
      <c r="C25" s="379"/>
      <c r="D25" s="349">
        <v>3502</v>
      </c>
      <c r="E25" s="235" t="s">
        <v>970</v>
      </c>
      <c r="G25" s="351"/>
      <c r="H25" s="351"/>
      <c r="I25" s="351"/>
    </row>
    <row r="26" spans="1:9">
      <c r="A26" s="235"/>
      <c r="B26" s="380" t="s">
        <v>1276</v>
      </c>
      <c r="C26" s="379"/>
      <c r="D26" s="351">
        <f>11801.28+1012.5</f>
        <v>12813.78</v>
      </c>
      <c r="E26" s="235" t="s">
        <v>970</v>
      </c>
      <c r="G26" s="351"/>
      <c r="H26" s="351"/>
      <c r="I26" s="351"/>
    </row>
    <row r="27" spans="1:9">
      <c r="A27" s="235"/>
      <c r="B27" s="377" t="s">
        <v>973</v>
      </c>
      <c r="C27" s="379"/>
      <c r="D27" s="351">
        <v>8518</v>
      </c>
      <c r="E27" s="235" t="s">
        <v>970</v>
      </c>
      <c r="G27" s="351"/>
      <c r="H27" s="351"/>
      <c r="I27" s="351"/>
    </row>
    <row r="28" spans="1:9">
      <c r="A28" s="235"/>
      <c r="B28" s="377" t="s">
        <v>1277</v>
      </c>
      <c r="C28" s="379"/>
      <c r="D28" s="351">
        <v>78438.55</v>
      </c>
      <c r="E28" s="235" t="s">
        <v>970</v>
      </c>
      <c r="G28" s="351"/>
      <c r="H28" s="351"/>
      <c r="I28" s="351"/>
    </row>
    <row r="29" spans="1:9">
      <c r="A29" s="235"/>
      <c r="B29" s="377" t="s">
        <v>974</v>
      </c>
      <c r="C29" s="379" t="s">
        <v>1123</v>
      </c>
      <c r="D29" s="351">
        <v>8305</v>
      </c>
      <c r="E29" s="235" t="s">
        <v>970</v>
      </c>
      <c r="G29" s="351"/>
    </row>
    <row r="30" spans="1:9">
      <c r="A30" s="235"/>
      <c r="B30" s="377" t="s">
        <v>975</v>
      </c>
      <c r="C30" s="379" t="s">
        <v>1124</v>
      </c>
      <c r="D30" s="351">
        <v>135</v>
      </c>
      <c r="E30" s="235" t="s">
        <v>970</v>
      </c>
      <c r="G30" s="351"/>
    </row>
    <row r="31" spans="1:9">
      <c r="A31" s="235"/>
      <c r="B31" s="380" t="s">
        <v>1088</v>
      </c>
      <c r="C31" s="379" t="s">
        <v>1125</v>
      </c>
      <c r="D31" s="351">
        <v>9582</v>
      </c>
      <c r="E31" s="235" t="s">
        <v>970</v>
      </c>
      <c r="F31" s="379"/>
      <c r="G31" s="351"/>
    </row>
    <row r="32" spans="1:9">
      <c r="A32" s="235"/>
      <c r="B32" s="380" t="s">
        <v>1087</v>
      </c>
      <c r="C32" s="379" t="s">
        <v>1126</v>
      </c>
      <c r="D32" s="351">
        <f>901+50</f>
        <v>951</v>
      </c>
      <c r="E32" s="235" t="s">
        <v>970</v>
      </c>
      <c r="F32" s="350"/>
    </row>
    <row r="33" spans="1:6">
      <c r="A33" s="235"/>
      <c r="B33" s="380"/>
      <c r="C33" s="379"/>
      <c r="D33" s="351"/>
      <c r="E33" s="235"/>
      <c r="F33" s="350"/>
    </row>
    <row r="34" spans="1:6" ht="16.2">
      <c r="A34" s="235"/>
      <c r="B34" s="235" t="s">
        <v>976</v>
      </c>
      <c r="C34" s="377"/>
      <c r="D34" s="381">
        <v>10956.59</v>
      </c>
      <c r="E34" s="235" t="s">
        <v>970</v>
      </c>
      <c r="F34" s="350"/>
    </row>
    <row r="35" spans="1:6" ht="16.2">
      <c r="A35" s="322"/>
      <c r="B35" s="352" t="s">
        <v>9</v>
      </c>
      <c r="C35" s="352"/>
      <c r="D35" s="353">
        <f>SUM(D14:D34)</f>
        <v>219093.62</v>
      </c>
      <c r="E35" s="235"/>
      <c r="F35" s="235"/>
    </row>
    <row r="36" spans="1:6" ht="16.2">
      <c r="A36" s="322"/>
      <c r="B36" s="235"/>
      <c r="C36" s="235"/>
      <c r="D36" s="370">
        <f>D35-219094</f>
        <v>-0.38000000000465661</v>
      </c>
      <c r="E36" s="262"/>
      <c r="F36" s="235"/>
    </row>
    <row r="37" spans="1:6">
      <c r="A37" s="322"/>
      <c r="B37" s="235"/>
      <c r="C37" s="235"/>
      <c r="D37" s="262"/>
      <c r="E37" s="235"/>
      <c r="F37" s="235"/>
    </row>
    <row r="38" spans="1:6">
      <c r="A38" s="322"/>
      <c r="B38" s="235" t="s">
        <v>977</v>
      </c>
      <c r="C38" s="235"/>
      <c r="D38" s="235"/>
      <c r="E38" s="235"/>
      <c r="F38" s="235"/>
    </row>
    <row r="39" spans="1:6">
      <c r="A39" s="322">
        <v>930</v>
      </c>
      <c r="B39" s="261" t="s">
        <v>978</v>
      </c>
      <c r="C39" s="261"/>
      <c r="D39" s="57">
        <v>23755</v>
      </c>
      <c r="E39" s="235" t="s">
        <v>970</v>
      </c>
      <c r="F39" s="235"/>
    </row>
    <row r="40" spans="1:6">
      <c r="A40" s="322">
        <v>930</v>
      </c>
      <c r="B40" s="261" t="s">
        <v>979</v>
      </c>
      <c r="C40" s="261"/>
      <c r="D40" s="65">
        <v>85261</v>
      </c>
      <c r="E40" s="235" t="s">
        <v>970</v>
      </c>
      <c r="F40" s="235"/>
    </row>
    <row r="41" spans="1:6">
      <c r="A41" s="322" t="s">
        <v>964</v>
      </c>
      <c r="B41" s="261" t="s">
        <v>980</v>
      </c>
      <c r="C41" s="261"/>
      <c r="D41" s="65">
        <v>0</v>
      </c>
      <c r="E41" s="235" t="s">
        <v>966</v>
      </c>
      <c r="F41" s="235"/>
    </row>
    <row r="42" spans="1:6">
      <c r="A42" s="322" t="s">
        <v>964</v>
      </c>
      <c r="B42" s="261" t="s">
        <v>980</v>
      </c>
      <c r="C42" s="261"/>
      <c r="D42" s="354">
        <v>0</v>
      </c>
      <c r="E42" s="235" t="s">
        <v>966</v>
      </c>
      <c r="F42" s="235"/>
    </row>
    <row r="43" spans="1:6" ht="16.2">
      <c r="A43" s="322"/>
      <c r="B43" s="352" t="s">
        <v>9</v>
      </c>
      <c r="C43" s="352"/>
      <c r="D43" s="370">
        <f>SUM(D39:D42)</f>
        <v>109016</v>
      </c>
      <c r="E43" s="235"/>
      <c r="F43" s="235"/>
    </row>
    <row r="44" spans="1:6">
      <c r="A44" s="235"/>
      <c r="B44" s="235"/>
      <c r="C44" s="235"/>
      <c r="D44" s="65"/>
      <c r="E44" s="235"/>
      <c r="F44" s="235"/>
    </row>
    <row r="45" spans="1:6">
      <c r="A45" s="235"/>
      <c r="B45" s="235"/>
      <c r="C45" s="235"/>
      <c r="D45" s="262"/>
      <c r="E45" s="235"/>
      <c r="F45" s="235"/>
    </row>
    <row r="46" spans="1:6">
      <c r="A46" s="258" t="s">
        <v>1048</v>
      </c>
      <c r="B46" s="235"/>
      <c r="C46" s="235"/>
      <c r="D46" s="258"/>
      <c r="E46" s="258"/>
      <c r="F46" s="258"/>
    </row>
    <row r="47" spans="1:6">
      <c r="A47" s="235"/>
      <c r="B47" s="235"/>
      <c r="C47" s="235"/>
      <c r="D47" s="235"/>
      <c r="E47" s="235"/>
      <c r="F47" s="235"/>
    </row>
  </sheetData>
  <mergeCells count="3">
    <mergeCell ref="B1:D1"/>
    <mergeCell ref="B2:D2"/>
    <mergeCell ref="B12:D12"/>
  </mergeCells>
  <printOptions horizontalCentered="1" verticalCentered="1"/>
  <pageMargins left="0.45" right="0.2" top="0.25" bottom="0.25" header="0.3" footer="0.3"/>
  <pageSetup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4"/>
  <sheetViews>
    <sheetView workbookViewId="0">
      <selection activeCell="D14" sqref="D14"/>
    </sheetView>
  </sheetViews>
  <sheetFormatPr defaultColWidth="8.90625" defaultRowHeight="13.2"/>
  <cols>
    <col min="1" max="1" width="8.90625" style="13"/>
    <col min="2" max="2" width="3.36328125" style="16" customWidth="1"/>
    <col min="3" max="3" width="29.81640625" style="13" bestFit="1" customWidth="1"/>
    <col min="4" max="4" width="8.26953125" style="15" bestFit="1" customWidth="1"/>
    <col min="5" max="5" width="8.36328125" style="15" customWidth="1"/>
    <col min="6" max="6" width="8.90625" style="15"/>
    <col min="7" max="16384" width="8.90625" style="13"/>
  </cols>
  <sheetData>
    <row r="3" spans="2:6" ht="16.8">
      <c r="B3" s="12" t="s">
        <v>265</v>
      </c>
      <c r="D3" s="14" t="s">
        <v>1251</v>
      </c>
    </row>
    <row r="4" spans="2:6" ht="16.8">
      <c r="D4" s="14">
        <v>2012</v>
      </c>
    </row>
    <row r="5" spans="2:6">
      <c r="B5" s="16">
        <v>1</v>
      </c>
      <c r="C5" s="18" t="s">
        <v>675</v>
      </c>
      <c r="D5" s="17" t="s">
        <v>266</v>
      </c>
    </row>
    <row r="6" spans="2:6">
      <c r="B6" s="16">
        <f>B5+1</f>
        <v>2</v>
      </c>
      <c r="C6" s="18" t="s">
        <v>676</v>
      </c>
      <c r="D6" s="17" t="s">
        <v>266</v>
      </c>
    </row>
    <row r="7" spans="2:6">
      <c r="B7" s="16">
        <f t="shared" ref="B7:B22" si="0">B6+1</f>
        <v>3</v>
      </c>
      <c r="C7" s="18" t="s">
        <v>271</v>
      </c>
      <c r="D7" s="17" t="s">
        <v>266</v>
      </c>
    </row>
    <row r="8" spans="2:6">
      <c r="B8" s="16">
        <f t="shared" si="0"/>
        <v>4</v>
      </c>
      <c r="C8" s="18" t="s">
        <v>272</v>
      </c>
      <c r="D8" s="17" t="s">
        <v>266</v>
      </c>
    </row>
    <row r="9" spans="2:6">
      <c r="B9" s="16">
        <f t="shared" si="0"/>
        <v>5</v>
      </c>
      <c r="C9" s="13" t="s">
        <v>267</v>
      </c>
      <c r="D9" s="17" t="s">
        <v>266</v>
      </c>
    </row>
    <row r="10" spans="2:6">
      <c r="B10" s="16">
        <f t="shared" si="0"/>
        <v>6</v>
      </c>
      <c r="C10" s="13" t="s">
        <v>1028</v>
      </c>
      <c r="D10" s="17" t="s">
        <v>266</v>
      </c>
    </row>
    <row r="11" spans="2:6">
      <c r="B11" s="16">
        <f t="shared" si="0"/>
        <v>7</v>
      </c>
      <c r="C11" s="13" t="s">
        <v>268</v>
      </c>
      <c r="D11" s="17" t="s">
        <v>266</v>
      </c>
    </row>
    <row r="12" spans="2:6">
      <c r="B12" s="16">
        <f t="shared" si="0"/>
        <v>8</v>
      </c>
      <c r="C12" s="237" t="s">
        <v>677</v>
      </c>
      <c r="D12" s="17" t="s">
        <v>266</v>
      </c>
    </row>
    <row r="13" spans="2:6">
      <c r="B13" s="16">
        <f t="shared" si="0"/>
        <v>9</v>
      </c>
      <c r="C13" s="13" t="s">
        <v>270</v>
      </c>
      <c r="D13" s="17" t="s">
        <v>266</v>
      </c>
    </row>
    <row r="14" spans="2:6">
      <c r="B14" s="16">
        <f t="shared" si="0"/>
        <v>10</v>
      </c>
      <c r="C14" s="13" t="s">
        <v>1029</v>
      </c>
      <c r="D14" s="17" t="s">
        <v>1100</v>
      </c>
    </row>
    <row r="15" spans="2:6">
      <c r="B15" s="16">
        <f t="shared" si="0"/>
        <v>11</v>
      </c>
      <c r="C15" s="13" t="s">
        <v>1030</v>
      </c>
      <c r="D15" s="17" t="s">
        <v>266</v>
      </c>
      <c r="E15" s="19"/>
      <c r="F15" s="19"/>
    </row>
    <row r="16" spans="2:6">
      <c r="B16" s="16">
        <f t="shared" si="0"/>
        <v>12</v>
      </c>
      <c r="C16" s="13" t="s">
        <v>847</v>
      </c>
      <c r="D16" s="17" t="s">
        <v>266</v>
      </c>
    </row>
    <row r="17" spans="2:4">
      <c r="B17" s="16">
        <f t="shared" si="0"/>
        <v>13</v>
      </c>
      <c r="C17" s="13" t="s">
        <v>1064</v>
      </c>
      <c r="D17" s="17" t="s">
        <v>266</v>
      </c>
    </row>
    <row r="18" spans="2:4">
      <c r="B18" s="16">
        <f t="shared" si="0"/>
        <v>14</v>
      </c>
      <c r="C18" s="13" t="s">
        <v>1065</v>
      </c>
      <c r="D18" s="17" t="s">
        <v>266</v>
      </c>
    </row>
    <row r="19" spans="2:4">
      <c r="B19" s="16">
        <f t="shared" si="0"/>
        <v>15</v>
      </c>
      <c r="C19" s="13" t="s">
        <v>1031</v>
      </c>
      <c r="D19" s="17" t="s">
        <v>266</v>
      </c>
    </row>
    <row r="20" spans="2:4">
      <c r="B20" s="16">
        <f t="shared" si="0"/>
        <v>16</v>
      </c>
      <c r="C20" s="13" t="s">
        <v>1032</v>
      </c>
      <c r="D20" s="17" t="s">
        <v>266</v>
      </c>
    </row>
    <row r="21" spans="2:4">
      <c r="B21" s="16">
        <f t="shared" si="0"/>
        <v>17</v>
      </c>
      <c r="C21" s="13" t="s">
        <v>1033</v>
      </c>
      <c r="D21" s="17" t="s">
        <v>266</v>
      </c>
    </row>
    <row r="22" spans="2:4">
      <c r="B22" s="16">
        <f t="shared" si="0"/>
        <v>18</v>
      </c>
      <c r="C22" s="13" t="s">
        <v>1034</v>
      </c>
      <c r="D22" s="17" t="s">
        <v>266</v>
      </c>
    </row>
    <row r="23" spans="2:4">
      <c r="D23" s="17"/>
    </row>
    <row r="24" spans="2:4">
      <c r="D24" s="17"/>
    </row>
  </sheetData>
  <pageMargins left="0.75" right="0.75" top="1" bottom="1" header="0.5" footer="0.5"/>
  <pageSetup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workbookViewId="0">
      <selection activeCell="C18" sqref="C18"/>
    </sheetView>
  </sheetViews>
  <sheetFormatPr defaultRowHeight="15"/>
  <cols>
    <col min="1" max="1" width="14.6328125" style="216" customWidth="1"/>
    <col min="2" max="2" width="32.08984375" style="216" bestFit="1" customWidth="1"/>
    <col min="3" max="3" width="9.54296875" style="216" bestFit="1" customWidth="1"/>
    <col min="4" max="4" width="8.90625" style="216"/>
    <col min="5" max="5" width="37.54296875" style="216" bestFit="1" customWidth="1"/>
    <col min="6" max="6" width="8.90625" style="216"/>
  </cols>
  <sheetData>
    <row r="1" spans="1:10" ht="18">
      <c r="A1" s="235"/>
      <c r="B1" s="634" t="s">
        <v>294</v>
      </c>
      <c r="C1" s="634"/>
      <c r="D1" s="634"/>
      <c r="E1" s="634"/>
      <c r="F1" s="634"/>
      <c r="G1" s="634"/>
      <c r="H1" s="249"/>
      <c r="I1" s="249"/>
      <c r="J1" s="249"/>
    </row>
    <row r="2" spans="1:10" ht="15.6">
      <c r="A2" s="235"/>
      <c r="B2" s="635">
        <f>'EPRI REG COMM ADV'!B2:D2</f>
        <v>2012</v>
      </c>
      <c r="C2" s="635"/>
      <c r="D2" s="635"/>
      <c r="E2" s="635"/>
      <c r="F2" s="635"/>
      <c r="G2" s="635"/>
      <c r="H2" s="249"/>
      <c r="I2" s="249"/>
      <c r="J2" s="249"/>
    </row>
    <row r="3" spans="1:10">
      <c r="A3" s="235"/>
      <c r="B3" s="235"/>
      <c r="C3" s="235"/>
      <c r="D3" s="235"/>
      <c r="E3" s="235"/>
      <c r="F3" s="235"/>
      <c r="G3" s="249"/>
      <c r="H3" s="249"/>
      <c r="I3" s="249"/>
      <c r="J3" s="249"/>
    </row>
    <row r="4" spans="1:10">
      <c r="A4" s="235"/>
      <c r="B4" s="258" t="s">
        <v>981</v>
      </c>
      <c r="C4" s="235"/>
      <c r="D4" s="235"/>
      <c r="E4" s="235"/>
      <c r="F4" s="235"/>
      <c r="G4" s="249"/>
      <c r="H4" s="249"/>
      <c r="I4" s="249"/>
      <c r="J4" s="249"/>
    </row>
    <row r="5" spans="1:10">
      <c r="A5" s="235"/>
      <c r="B5" s="258"/>
      <c r="C5" s="235"/>
      <c r="D5" s="235"/>
      <c r="E5" s="235"/>
      <c r="F5" s="235"/>
      <c r="G5" s="249"/>
      <c r="H5" s="249"/>
      <c r="I5" s="249"/>
      <c r="J5" s="249"/>
    </row>
    <row r="6" spans="1:10">
      <c r="A6" s="257" t="s">
        <v>961</v>
      </c>
      <c r="B6" s="258"/>
      <c r="C6" s="235"/>
      <c r="D6" s="235"/>
      <c r="E6" s="235"/>
      <c r="F6" s="235"/>
      <c r="G6" s="249"/>
      <c r="H6" s="249"/>
      <c r="I6" s="249"/>
      <c r="J6" s="249"/>
    </row>
    <row r="7" spans="1:10">
      <c r="A7" s="265" t="s">
        <v>571</v>
      </c>
      <c r="B7" s="265" t="s">
        <v>275</v>
      </c>
      <c r="C7" s="265" t="s">
        <v>7</v>
      </c>
      <c r="D7" s="235"/>
      <c r="E7" s="235"/>
      <c r="F7" s="235"/>
      <c r="G7" s="249"/>
      <c r="H7" s="249"/>
      <c r="I7" s="249"/>
      <c r="J7" s="249"/>
    </row>
    <row r="8" spans="1:10">
      <c r="A8" s="265"/>
      <c r="B8" s="265"/>
      <c r="C8" s="265"/>
      <c r="D8" s="235"/>
      <c r="E8" s="235"/>
      <c r="F8" s="235"/>
      <c r="G8" s="249"/>
      <c r="H8" s="249"/>
      <c r="I8" s="249"/>
      <c r="J8" s="249"/>
    </row>
    <row r="9" spans="1:10">
      <c r="A9" s="322" t="s">
        <v>964</v>
      </c>
      <c r="B9" s="235" t="s">
        <v>982</v>
      </c>
      <c r="C9" s="348">
        <v>0</v>
      </c>
      <c r="D9" s="235"/>
      <c r="E9" s="235" t="s">
        <v>983</v>
      </c>
      <c r="G9" s="249"/>
      <c r="H9" s="249"/>
      <c r="I9" s="249"/>
      <c r="J9" s="249"/>
    </row>
    <row r="10" spans="1:10">
      <c r="A10" s="322" t="s">
        <v>964</v>
      </c>
      <c r="B10" s="235" t="s">
        <v>984</v>
      </c>
      <c r="C10" s="355">
        <v>0</v>
      </c>
      <c r="D10" s="235"/>
      <c r="E10" s="235" t="s">
        <v>985</v>
      </c>
      <c r="F10" s="235"/>
      <c r="G10" s="249"/>
      <c r="H10" s="249"/>
      <c r="I10" s="249"/>
      <c r="J10" s="249"/>
    </row>
    <row r="11" spans="1:10">
      <c r="A11" s="322">
        <v>408</v>
      </c>
      <c r="B11" s="235" t="s">
        <v>986</v>
      </c>
      <c r="C11" s="355">
        <v>1663475</v>
      </c>
      <c r="D11" s="235"/>
      <c r="E11" s="235" t="s">
        <v>987</v>
      </c>
      <c r="F11" s="235"/>
      <c r="G11" s="249"/>
      <c r="H11" s="249"/>
      <c r="I11" s="249"/>
      <c r="J11" s="249"/>
    </row>
    <row r="12" spans="1:10">
      <c r="A12" s="322" t="s">
        <v>964</v>
      </c>
      <c r="B12" s="235" t="s">
        <v>988</v>
      </c>
      <c r="C12" s="355">
        <v>0</v>
      </c>
      <c r="D12" s="235"/>
      <c r="E12" s="235" t="s">
        <v>989</v>
      </c>
      <c r="F12" s="235"/>
      <c r="G12" s="249"/>
      <c r="H12" s="249"/>
      <c r="I12" s="249"/>
      <c r="J12" s="249"/>
    </row>
    <row r="13" spans="1:10">
      <c r="A13" s="322" t="s">
        <v>964</v>
      </c>
      <c r="B13" s="235" t="s">
        <v>990</v>
      </c>
      <c r="C13" s="356">
        <v>0</v>
      </c>
      <c r="D13" s="235"/>
      <c r="E13" s="235" t="s">
        <v>991</v>
      </c>
      <c r="F13" s="235"/>
      <c r="G13" s="249"/>
      <c r="H13" s="249"/>
      <c r="I13" s="249"/>
      <c r="J13" s="249"/>
    </row>
    <row r="14" spans="1:10">
      <c r="A14" s="322" t="s">
        <v>964</v>
      </c>
      <c r="B14" s="235" t="s">
        <v>992</v>
      </c>
      <c r="C14" s="354">
        <v>0</v>
      </c>
      <c r="D14" s="235"/>
      <c r="E14" s="235" t="s">
        <v>993</v>
      </c>
      <c r="F14" s="235"/>
      <c r="G14" s="249"/>
      <c r="H14" s="249"/>
      <c r="I14" s="249"/>
      <c r="J14" s="249"/>
    </row>
    <row r="15" spans="1:10">
      <c r="A15" s="235"/>
      <c r="B15" s="235" t="s">
        <v>9</v>
      </c>
      <c r="C15" s="57">
        <f>SUM(C9:C14)</f>
        <v>1663475</v>
      </c>
      <c r="D15" s="235"/>
      <c r="E15" s="235" t="s">
        <v>994</v>
      </c>
      <c r="F15" s="235"/>
      <c r="G15" s="249"/>
      <c r="H15" s="249"/>
      <c r="I15" s="249"/>
      <c r="J15" s="249"/>
    </row>
    <row r="16" spans="1:10">
      <c r="A16" s="235"/>
      <c r="B16" s="235"/>
      <c r="C16" s="235"/>
      <c r="D16" s="235"/>
      <c r="E16" s="235" t="s">
        <v>995</v>
      </c>
      <c r="F16" s="235"/>
      <c r="G16" s="249"/>
      <c r="H16" s="249"/>
      <c r="I16" s="249"/>
      <c r="J16" s="249"/>
    </row>
    <row r="17" spans="1:10" ht="16.2">
      <c r="A17" s="235"/>
      <c r="B17" s="235" t="s">
        <v>829</v>
      </c>
      <c r="C17" s="116">
        <v>1663475</v>
      </c>
      <c r="D17" s="235"/>
      <c r="E17" s="235" t="s">
        <v>996</v>
      </c>
      <c r="F17" s="235"/>
      <c r="G17" s="249"/>
      <c r="H17" s="249"/>
      <c r="I17" s="249"/>
      <c r="J17" s="249"/>
    </row>
    <row r="18" spans="1:10" ht="16.2">
      <c r="A18" s="235"/>
      <c r="B18" s="235"/>
      <c r="C18" s="357"/>
      <c r="D18" s="235"/>
      <c r="E18" s="235" t="s">
        <v>997</v>
      </c>
      <c r="F18" s="235"/>
      <c r="G18" s="249"/>
      <c r="H18" s="249"/>
      <c r="I18" s="249"/>
      <c r="J18" s="249"/>
    </row>
    <row r="19" spans="1:10" ht="16.2">
      <c r="A19" s="235"/>
      <c r="B19" s="235" t="s">
        <v>507</v>
      </c>
      <c r="C19" s="358">
        <f>C15-C17</f>
        <v>0</v>
      </c>
      <c r="D19" s="235"/>
      <c r="E19" s="235"/>
      <c r="F19" s="235"/>
      <c r="G19" s="249"/>
      <c r="H19" s="249"/>
      <c r="I19" s="249"/>
      <c r="J19" s="249"/>
    </row>
    <row r="20" spans="1:10">
      <c r="B20" s="235"/>
      <c r="C20" s="235"/>
      <c r="D20" s="235"/>
      <c r="E20" s="235"/>
      <c r="F20" s="235"/>
      <c r="G20" s="249"/>
      <c r="H20" s="249"/>
      <c r="I20" s="249"/>
      <c r="J20" s="249"/>
    </row>
    <row r="21" spans="1:10">
      <c r="A21" s="235"/>
      <c r="B21" s="235"/>
      <c r="C21" s="235"/>
      <c r="D21" s="235"/>
      <c r="E21" s="235"/>
      <c r="F21" s="235"/>
      <c r="G21" s="249"/>
      <c r="H21" s="249"/>
      <c r="I21" s="249"/>
      <c r="J21" s="249"/>
    </row>
    <row r="22" spans="1:10">
      <c r="A22" s="277" t="s">
        <v>1049</v>
      </c>
      <c r="B22" s="235"/>
      <c r="C22" s="276"/>
      <c r="D22" s="235"/>
      <c r="E22" s="235"/>
      <c r="F22" s="235"/>
      <c r="G22" s="249"/>
      <c r="H22" s="249"/>
      <c r="I22" s="249"/>
      <c r="J22" s="249"/>
    </row>
    <row r="23" spans="1:10">
      <c r="A23" s="338" t="s">
        <v>911</v>
      </c>
      <c r="B23" s="235"/>
      <c r="C23" s="235"/>
      <c r="D23" s="235"/>
      <c r="E23" s="235"/>
      <c r="F23" s="235"/>
      <c r="G23" s="249"/>
      <c r="H23" s="249"/>
      <c r="I23" s="249"/>
      <c r="J23" s="249"/>
    </row>
    <row r="24" spans="1:10">
      <c r="A24" s="235"/>
      <c r="B24" s="235"/>
      <c r="C24" s="235"/>
      <c r="D24" s="235"/>
      <c r="E24" s="235"/>
      <c r="F24" s="235"/>
      <c r="G24" s="249"/>
      <c r="H24" s="249"/>
      <c r="I24" s="249"/>
      <c r="J24" s="249"/>
    </row>
    <row r="25" spans="1:10">
      <c r="A25" s="235" t="s">
        <v>1055</v>
      </c>
      <c r="B25" s="235"/>
      <c r="C25" s="235"/>
      <c r="D25" s="235"/>
      <c r="E25" s="235"/>
      <c r="F25" s="235"/>
      <c r="G25" s="249"/>
      <c r="H25" s="249"/>
      <c r="I25" s="249"/>
      <c r="J25" s="249"/>
    </row>
    <row r="26" spans="1:10">
      <c r="A26" s="235"/>
      <c r="B26" s="235"/>
      <c r="C26" s="235"/>
      <c r="D26" s="235"/>
      <c r="E26" s="235"/>
      <c r="F26" s="235"/>
      <c r="G26" s="249"/>
      <c r="H26" s="249"/>
      <c r="I26" s="249"/>
      <c r="J26" s="249"/>
    </row>
    <row r="27" spans="1:10">
      <c r="A27" s="235"/>
      <c r="B27" s="235"/>
      <c r="C27" s="235"/>
      <c r="D27" s="235"/>
      <c r="E27" s="235"/>
      <c r="F27" s="235"/>
      <c r="G27" s="249"/>
      <c r="H27" s="249"/>
      <c r="I27" s="249"/>
      <c r="J27" s="249"/>
    </row>
  </sheetData>
  <mergeCells count="2">
    <mergeCell ref="B1:G1"/>
    <mergeCell ref="B2:G2"/>
  </mergeCells>
  <printOptions horizontalCentered="1" verticalCentered="1"/>
  <pageMargins left="0.45" right="0.2" top="0.25" bottom="0.25" header="0.3" footer="0.3"/>
  <pageSetup scale="9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0"/>
  <sheetViews>
    <sheetView topLeftCell="A13" workbookViewId="0">
      <selection activeCell="G16" sqref="G16:G33"/>
    </sheetView>
  </sheetViews>
  <sheetFormatPr defaultRowHeight="15"/>
  <cols>
    <col min="1" max="1" width="5.81640625" style="220" bestFit="1" customWidth="1"/>
    <col min="2" max="2" width="35.453125" style="221" customWidth="1"/>
    <col min="3" max="3" width="11.1796875" style="223" bestFit="1" customWidth="1"/>
    <col min="4" max="4" width="5.81640625" style="220" bestFit="1" customWidth="1"/>
    <col min="5" max="5" width="36.6328125" style="221" customWidth="1"/>
    <col min="6" max="6" width="10.08984375" style="223" bestFit="1" customWidth="1"/>
    <col min="7" max="47" width="8.90625" style="233"/>
  </cols>
  <sheetData>
    <row r="1" spans="1:47" s="218" customFormat="1" ht="19.2">
      <c r="A1" s="608" t="s">
        <v>630</v>
      </c>
      <c r="B1" s="608"/>
      <c r="C1" s="608"/>
      <c r="D1" s="608"/>
      <c r="E1" s="608"/>
      <c r="F1" s="60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row>
    <row r="2" spans="1:47" s="218" customFormat="1" ht="19.2">
      <c r="A2" s="225"/>
      <c r="B2" s="225"/>
      <c r="C2" s="230" t="s">
        <v>666</v>
      </c>
      <c r="E2" s="225"/>
      <c r="F2" s="230" t="s">
        <v>666</v>
      </c>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row>
    <row r="3" spans="1:47" s="219" customFormat="1" ht="19.2">
      <c r="A3" s="229" t="s">
        <v>516</v>
      </c>
      <c r="B3" s="224" t="s">
        <v>632</v>
      </c>
      <c r="C3" s="230" t="s">
        <v>7</v>
      </c>
      <c r="D3" s="229" t="s">
        <v>516</v>
      </c>
      <c r="E3" s="224" t="s">
        <v>633</v>
      </c>
      <c r="F3" s="230" t="s">
        <v>7</v>
      </c>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row>
    <row r="4" spans="1:47" s="218" customFormat="1" ht="19.2">
      <c r="A4" s="232"/>
      <c r="B4" s="225" t="s">
        <v>631</v>
      </c>
      <c r="C4" s="230"/>
      <c r="D4" s="232"/>
      <c r="E4" s="225" t="s">
        <v>637</v>
      </c>
      <c r="F4" s="230"/>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row>
    <row r="5" spans="1:47">
      <c r="A5" s="222">
        <v>1</v>
      </c>
      <c r="B5" s="226" t="s">
        <v>577</v>
      </c>
      <c r="C5" s="223">
        <v>379963721</v>
      </c>
      <c r="D5" s="222">
        <v>29</v>
      </c>
      <c r="E5" s="226" t="s">
        <v>605</v>
      </c>
      <c r="F5" s="223">
        <v>0</v>
      </c>
    </row>
    <row r="6" spans="1:47">
      <c r="A6" s="222">
        <f>A5+1</f>
        <v>2</v>
      </c>
      <c r="B6" s="226" t="s">
        <v>578</v>
      </c>
      <c r="C6" s="223">
        <v>50177022</v>
      </c>
      <c r="D6" s="222">
        <f>D5+1</f>
        <v>30</v>
      </c>
      <c r="E6" s="226" t="s">
        <v>606</v>
      </c>
      <c r="F6" s="223">
        <v>0</v>
      </c>
    </row>
    <row r="7" spans="1:47" ht="24.6">
      <c r="A7" s="222">
        <f t="shared" ref="A7:A29" si="0">A6+1</f>
        <v>3</v>
      </c>
      <c r="B7" s="226" t="s">
        <v>579</v>
      </c>
      <c r="C7" s="227">
        <v>222447417</v>
      </c>
      <c r="D7" s="222">
        <f t="shared" ref="D7:D27" si="1">D6+1</f>
        <v>31</v>
      </c>
      <c r="E7" s="226" t="s">
        <v>607</v>
      </c>
      <c r="F7" s="227">
        <v>114920777</v>
      </c>
    </row>
    <row r="8" spans="1:47" ht="16.2">
      <c r="A8" s="222">
        <f t="shared" si="0"/>
        <v>4</v>
      </c>
      <c r="B8" s="226" t="s">
        <v>580</v>
      </c>
      <c r="C8" s="223">
        <f>C5+C6-C7</f>
        <v>207693326</v>
      </c>
      <c r="D8" s="222">
        <f t="shared" si="1"/>
        <v>32</v>
      </c>
      <c r="E8" s="226" t="s">
        <v>608</v>
      </c>
      <c r="F8" s="227">
        <f>SUM(F5:F7)</f>
        <v>114920777</v>
      </c>
    </row>
    <row r="9" spans="1:47" ht="18.600000000000001">
      <c r="A9" s="222">
        <f t="shared" si="0"/>
        <v>5</v>
      </c>
      <c r="B9" s="226" t="s">
        <v>581</v>
      </c>
      <c r="C9" s="223">
        <v>0</v>
      </c>
      <c r="D9" s="222"/>
      <c r="E9" s="225" t="s">
        <v>638</v>
      </c>
    </row>
    <row r="10" spans="1:47" ht="24.6">
      <c r="A10" s="222">
        <f t="shared" si="0"/>
        <v>6</v>
      </c>
      <c r="B10" s="226" t="s">
        <v>582</v>
      </c>
      <c r="C10" s="227">
        <v>0</v>
      </c>
      <c r="D10" s="222">
        <f>D8+1</f>
        <v>33</v>
      </c>
      <c r="E10" s="226" t="s">
        <v>609</v>
      </c>
      <c r="F10" s="223">
        <v>256800000</v>
      </c>
    </row>
    <row r="11" spans="1:47" ht="24.6">
      <c r="A11" s="222">
        <f t="shared" si="0"/>
        <v>7</v>
      </c>
      <c r="B11" s="226" t="s">
        <v>583</v>
      </c>
      <c r="C11" s="227">
        <f>C8+C9-C10</f>
        <v>207693326</v>
      </c>
      <c r="D11" s="222">
        <f t="shared" si="1"/>
        <v>34</v>
      </c>
      <c r="E11" s="226" t="s">
        <v>610</v>
      </c>
    </row>
    <row r="12" spans="1:47" ht="18.600000000000001">
      <c r="A12" s="222"/>
      <c r="B12" s="225" t="s">
        <v>634</v>
      </c>
      <c r="D12" s="222">
        <f t="shared" si="1"/>
        <v>35</v>
      </c>
      <c r="E12" s="226" t="s">
        <v>611</v>
      </c>
      <c r="F12" s="223">
        <v>11655841</v>
      </c>
    </row>
    <row r="13" spans="1:47" ht="16.2">
      <c r="A13" s="222">
        <f>A11+1</f>
        <v>8</v>
      </c>
      <c r="B13" s="226" t="s">
        <v>584</v>
      </c>
      <c r="C13" s="223">
        <v>0</v>
      </c>
      <c r="D13" s="222">
        <f t="shared" si="1"/>
        <v>36</v>
      </c>
      <c r="E13" s="226" t="s">
        <v>612</v>
      </c>
      <c r="F13" s="227"/>
    </row>
    <row r="14" spans="1:47" ht="24.6">
      <c r="A14" s="222">
        <f t="shared" si="0"/>
        <v>9</v>
      </c>
      <c r="B14" s="226" t="s">
        <v>585</v>
      </c>
      <c r="C14" s="223">
        <v>0</v>
      </c>
      <c r="D14" s="222">
        <f t="shared" si="1"/>
        <v>37</v>
      </c>
      <c r="E14" s="226" t="s">
        <v>613</v>
      </c>
      <c r="F14" s="227">
        <f>F10+F11+F12-F13</f>
        <v>268455841</v>
      </c>
    </row>
    <row r="15" spans="1:47" ht="18.600000000000001">
      <c r="A15" s="222">
        <f t="shared" si="0"/>
        <v>10</v>
      </c>
      <c r="B15" s="226" t="s">
        <v>586</v>
      </c>
      <c r="C15" s="223">
        <v>0</v>
      </c>
      <c r="D15" s="222"/>
      <c r="E15" s="225" t="s">
        <v>639</v>
      </c>
    </row>
    <row r="16" spans="1:47" ht="16.2">
      <c r="A16" s="222">
        <f t="shared" si="0"/>
        <v>11</v>
      </c>
      <c r="B16" s="226" t="s">
        <v>587</v>
      </c>
      <c r="C16" s="227">
        <f>66654534+1137081</f>
        <v>67791615</v>
      </c>
      <c r="D16" s="222">
        <f>D14+1</f>
        <v>38</v>
      </c>
      <c r="E16" s="226" t="s">
        <v>614</v>
      </c>
      <c r="F16" s="223">
        <v>33632249</v>
      </c>
      <c r="G16" s="223"/>
    </row>
    <row r="17" spans="1:7" ht="24.6">
      <c r="A17" s="222">
        <f t="shared" si="0"/>
        <v>12</v>
      </c>
      <c r="B17" s="226" t="s">
        <v>588</v>
      </c>
      <c r="C17" s="227">
        <f>C13+C15+C16-C14</f>
        <v>67791615</v>
      </c>
      <c r="D17" s="222">
        <f t="shared" si="1"/>
        <v>39</v>
      </c>
      <c r="E17" s="226" t="s">
        <v>615</v>
      </c>
      <c r="F17" s="227">
        <v>0</v>
      </c>
    </row>
    <row r="18" spans="1:7" ht="18.600000000000001">
      <c r="A18" s="222"/>
      <c r="B18" s="225" t="s">
        <v>635</v>
      </c>
      <c r="D18" s="222">
        <f t="shared" si="1"/>
        <v>40</v>
      </c>
      <c r="E18" s="226" t="s">
        <v>616</v>
      </c>
      <c r="F18" s="227">
        <f>SUM(F16:F17)</f>
        <v>33632249</v>
      </c>
    </row>
    <row r="19" spans="1:7" ht="18.600000000000001">
      <c r="A19" s="222">
        <f>A17+1</f>
        <v>13</v>
      </c>
      <c r="B19" s="226" t="s">
        <v>589</v>
      </c>
      <c r="C19" s="223">
        <f>60534752+84997275+1667587</f>
        <v>147199614</v>
      </c>
      <c r="D19" s="222"/>
      <c r="E19" s="225" t="s">
        <v>640</v>
      </c>
    </row>
    <row r="20" spans="1:7">
      <c r="A20" s="222">
        <f t="shared" si="0"/>
        <v>14</v>
      </c>
      <c r="B20" s="226" t="s">
        <v>590</v>
      </c>
      <c r="C20" s="367">
        <f>1987536-1014028</f>
        <v>973508</v>
      </c>
      <c r="D20" s="222">
        <f>D18+1</f>
        <v>41</v>
      </c>
      <c r="E20" s="226" t="s">
        <v>617</v>
      </c>
      <c r="F20" s="223">
        <v>0</v>
      </c>
    </row>
    <row r="21" spans="1:7">
      <c r="A21" s="222">
        <f t="shared" si="0"/>
        <v>15</v>
      </c>
      <c r="B21" s="226" t="s">
        <v>591</v>
      </c>
      <c r="C21" s="223">
        <f>17895650-C20</f>
        <v>16922142</v>
      </c>
      <c r="D21" s="222">
        <f t="shared" si="1"/>
        <v>42</v>
      </c>
      <c r="E21" s="226" t="s">
        <v>618</v>
      </c>
      <c r="F21" s="223">
        <f>12549606+11117500</f>
        <v>23667106</v>
      </c>
    </row>
    <row r="22" spans="1:7" ht="23.4">
      <c r="A22" s="222">
        <f t="shared" si="0"/>
        <v>16</v>
      </c>
      <c r="B22" s="226" t="s">
        <v>592</v>
      </c>
      <c r="D22" s="222">
        <f t="shared" si="1"/>
        <v>43</v>
      </c>
      <c r="E22" s="226" t="s">
        <v>619</v>
      </c>
    </row>
    <row r="23" spans="1:7">
      <c r="A23" s="222">
        <f t="shared" si="0"/>
        <v>17</v>
      </c>
      <c r="B23" s="226" t="s">
        <v>593</v>
      </c>
      <c r="C23" s="223">
        <v>6646775</v>
      </c>
      <c r="D23" s="222">
        <f t="shared" si="1"/>
        <v>44</v>
      </c>
      <c r="E23" s="226" t="s">
        <v>620</v>
      </c>
    </row>
    <row r="24" spans="1:7">
      <c r="A24" s="222">
        <f t="shared" si="0"/>
        <v>18</v>
      </c>
      <c r="B24" s="226" t="s">
        <v>594</v>
      </c>
      <c r="C24" s="223">
        <v>3782919</v>
      </c>
      <c r="D24" s="222">
        <f t="shared" si="1"/>
        <v>45</v>
      </c>
      <c r="E24" s="226" t="s">
        <v>621</v>
      </c>
      <c r="F24" s="223">
        <v>1261773</v>
      </c>
    </row>
    <row r="25" spans="1:7">
      <c r="A25" s="222">
        <f t="shared" si="0"/>
        <v>19</v>
      </c>
      <c r="B25" s="226" t="s">
        <v>595</v>
      </c>
      <c r="C25" s="367">
        <v>991150</v>
      </c>
      <c r="D25" s="222">
        <f t="shared" si="1"/>
        <v>46</v>
      </c>
      <c r="E25" s="226" t="s">
        <v>622</v>
      </c>
      <c r="F25" s="223">
        <v>6368263</v>
      </c>
    </row>
    <row r="26" spans="1:7" ht="16.2">
      <c r="A26" s="222">
        <f t="shared" si="0"/>
        <v>20</v>
      </c>
      <c r="B26" s="226" t="s">
        <v>596</v>
      </c>
      <c r="C26" s="367">
        <f>Prepayments!B16</f>
        <v>2214197.1864</v>
      </c>
      <c r="D26" s="222">
        <f t="shared" si="1"/>
        <v>47</v>
      </c>
      <c r="E26" s="226" t="s">
        <v>623</v>
      </c>
      <c r="F26" s="227">
        <v>0</v>
      </c>
    </row>
    <row r="27" spans="1:7" ht="16.2">
      <c r="A27" s="222">
        <f t="shared" si="0"/>
        <v>21</v>
      </c>
      <c r="B27" s="226" t="s">
        <v>597</v>
      </c>
      <c r="C27" s="367"/>
      <c r="D27" s="222">
        <f t="shared" si="1"/>
        <v>48</v>
      </c>
      <c r="E27" s="226" t="s">
        <v>624</v>
      </c>
      <c r="F27" s="227">
        <f>SUM(F20:F26)</f>
        <v>31297142</v>
      </c>
    </row>
    <row r="28" spans="1:7" ht="16.2">
      <c r="A28" s="222">
        <f t="shared" si="0"/>
        <v>22</v>
      </c>
      <c r="B28" s="226" t="s">
        <v>598</v>
      </c>
      <c r="C28" s="371">
        <f>4876215-C26-C25</f>
        <v>1670867.8136</v>
      </c>
      <c r="D28" s="222"/>
      <c r="E28" s="226"/>
    </row>
    <row r="29" spans="1:7" ht="24.6">
      <c r="A29" s="222">
        <f t="shared" si="0"/>
        <v>23</v>
      </c>
      <c r="B29" s="226" t="s">
        <v>599</v>
      </c>
      <c r="C29" s="227">
        <f>SUM(C19:C28)</f>
        <v>180401173</v>
      </c>
    </row>
    <row r="30" spans="1:7" ht="18.600000000000001">
      <c r="B30" s="225" t="s">
        <v>636</v>
      </c>
      <c r="E30" s="225" t="s">
        <v>641</v>
      </c>
    </row>
    <row r="31" spans="1:7">
      <c r="A31" s="222">
        <f>A29+1</f>
        <v>24</v>
      </c>
      <c r="B31" s="226" t="s">
        <v>600</v>
      </c>
      <c r="C31" s="223">
        <v>2720121</v>
      </c>
      <c r="D31" s="222">
        <f>D27+1</f>
        <v>49</v>
      </c>
      <c r="E31" s="226" t="s">
        <v>625</v>
      </c>
      <c r="F31" s="223">
        <v>0</v>
      </c>
    </row>
    <row r="32" spans="1:7" ht="23.4">
      <c r="A32" s="222">
        <f>A31+1</f>
        <v>25</v>
      </c>
      <c r="B32" s="226" t="s">
        <v>601</v>
      </c>
      <c r="D32" s="222">
        <f>D31+1</f>
        <v>50</v>
      </c>
      <c r="E32" s="226" t="s">
        <v>626</v>
      </c>
      <c r="F32" s="223">
        <f>19306276</f>
        <v>19306276</v>
      </c>
      <c r="G32" s="223"/>
    </row>
    <row r="33" spans="1:6" ht="24.6">
      <c r="A33" s="222">
        <f>A32+1</f>
        <v>26</v>
      </c>
      <c r="B33" s="226" t="s">
        <v>602</v>
      </c>
      <c r="C33" s="227">
        <v>9006050</v>
      </c>
      <c r="D33" s="222">
        <f>D32+1</f>
        <v>51</v>
      </c>
      <c r="E33" s="226" t="s">
        <v>627</v>
      </c>
      <c r="F33" s="227">
        <v>0</v>
      </c>
    </row>
    <row r="34" spans="1:6" ht="16.2">
      <c r="A34" s="222">
        <f>A33+1</f>
        <v>27</v>
      </c>
      <c r="B34" s="226" t="s">
        <v>603</v>
      </c>
      <c r="C34" s="227">
        <f>SUM(C31:C33)</f>
        <v>11726171</v>
      </c>
      <c r="D34" s="222">
        <f>D33+1</f>
        <v>52</v>
      </c>
      <c r="E34" s="226" t="s">
        <v>628</v>
      </c>
      <c r="F34" s="227">
        <f>SUM(F31:F33)</f>
        <v>19306276</v>
      </c>
    </row>
    <row r="35" spans="1:6" ht="24.6">
      <c r="A35" s="222">
        <f>A34+1</f>
        <v>28</v>
      </c>
      <c r="B35" s="226" t="s">
        <v>604</v>
      </c>
      <c r="C35" s="234">
        <f>C34+C29+C17+C11</f>
        <v>467612285</v>
      </c>
      <c r="D35" s="222">
        <f>D34+1</f>
        <v>53</v>
      </c>
      <c r="E35" s="226" t="s">
        <v>629</v>
      </c>
      <c r="F35" s="234">
        <f>F34+F8+F14+F18+F27</f>
        <v>467612285</v>
      </c>
    </row>
    <row r="36" spans="1:6" ht="16.2">
      <c r="A36" s="222"/>
      <c r="C36" s="234">
        <f>C35-467612285</f>
        <v>0</v>
      </c>
      <c r="D36" s="147"/>
      <c r="F36" s="234">
        <f>C35-F35</f>
        <v>0</v>
      </c>
    </row>
    <row r="37" spans="1:6">
      <c r="A37" s="222"/>
      <c r="D37" s="147"/>
    </row>
    <row r="38" spans="1:6">
      <c r="A38" s="222"/>
      <c r="D38" s="147"/>
    </row>
    <row r="39" spans="1:6">
      <c r="A39" s="147"/>
      <c r="D39" s="147"/>
    </row>
    <row r="40" spans="1:6">
      <c r="A40" s="147"/>
      <c r="D40" s="147"/>
    </row>
    <row r="41" spans="1:6">
      <c r="D41" s="147"/>
    </row>
    <row r="42" spans="1:6">
      <c r="D42" s="147"/>
    </row>
    <row r="43" spans="1:6">
      <c r="A43" s="147"/>
    </row>
    <row r="44" spans="1:6">
      <c r="A44" s="147"/>
    </row>
    <row r="45" spans="1:6">
      <c r="A45" s="147"/>
      <c r="D45" s="147"/>
    </row>
    <row r="46" spans="1:6">
      <c r="A46" s="147"/>
      <c r="D46" s="147"/>
    </row>
    <row r="47" spans="1:6">
      <c r="A47" s="147"/>
      <c r="D47" s="147"/>
    </row>
    <row r="48" spans="1:6">
      <c r="A48" s="147"/>
      <c r="D48" s="147"/>
    </row>
    <row r="49" spans="1:4">
      <c r="A49" s="147"/>
      <c r="D49" s="147"/>
    </row>
    <row r="50" spans="1:4">
      <c r="A50" s="147"/>
      <c r="D50" s="147"/>
    </row>
    <row r="51" spans="1:4">
      <c r="A51" s="147"/>
      <c r="D51" s="147"/>
    </row>
    <row r="52" spans="1:4">
      <c r="A52" s="147"/>
      <c r="D52" s="147"/>
    </row>
    <row r="53" spans="1:4">
      <c r="A53" s="147"/>
      <c r="D53" s="147"/>
    </row>
    <row r="54" spans="1:4">
      <c r="A54" s="147"/>
      <c r="D54" s="147"/>
    </row>
    <row r="55" spans="1:4">
      <c r="A55" s="147"/>
      <c r="D55" s="147"/>
    </row>
    <row r="56" spans="1:4">
      <c r="A56" s="147"/>
      <c r="D56" s="147"/>
    </row>
    <row r="57" spans="1:4">
      <c r="A57" s="147"/>
      <c r="D57" s="147"/>
    </row>
    <row r="58" spans="1:4">
      <c r="A58" s="147"/>
      <c r="D58" s="147"/>
    </row>
    <row r="59" spans="1:4">
      <c r="D59" s="147"/>
    </row>
    <row r="60" spans="1:4">
      <c r="D60" s="147"/>
    </row>
  </sheetData>
  <mergeCells count="1">
    <mergeCell ref="A1:F1"/>
  </mergeCells>
  <printOptions horizontalCentered="1" verticalCentered="1"/>
  <pageMargins left="0.45" right="0.2" top="0.25" bottom="0.25" header="0.3" footer="0.3"/>
  <pageSetup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topLeftCell="A13" workbookViewId="0">
      <selection activeCell="C19" sqref="C19:C20"/>
    </sheetView>
  </sheetViews>
  <sheetFormatPr defaultRowHeight="15"/>
  <cols>
    <col min="1" max="1" width="5.81640625" style="220" bestFit="1" customWidth="1"/>
    <col min="2" max="2" width="69.90625" style="216" bestFit="1" customWidth="1"/>
    <col min="3" max="3" width="10.08984375" style="236" bestFit="1" customWidth="1"/>
    <col min="4" max="4" width="12" style="216" bestFit="1" customWidth="1"/>
    <col min="5" max="5" width="10.1796875" style="216" bestFit="1" customWidth="1"/>
    <col min="6" max="12" width="8.90625" style="216"/>
  </cols>
  <sheetData>
    <row r="1" spans="1:11" ht="18.600000000000001">
      <c r="A1" s="608" t="s">
        <v>665</v>
      </c>
      <c r="B1" s="608"/>
      <c r="C1" s="608"/>
    </row>
    <row r="2" spans="1:11" ht="18.600000000000001">
      <c r="A2" s="225"/>
      <c r="B2" s="225"/>
      <c r="C2" s="230" t="s">
        <v>666</v>
      </c>
    </row>
    <row r="3" spans="1:11" ht="18.600000000000001">
      <c r="A3" s="229" t="s">
        <v>516</v>
      </c>
      <c r="B3" s="224"/>
      <c r="C3" s="230" t="s">
        <v>7</v>
      </c>
    </row>
    <row r="4" spans="1:11" ht="16.2">
      <c r="A4" s="222">
        <v>1</v>
      </c>
      <c r="B4" s="217" t="s">
        <v>642</v>
      </c>
      <c r="C4" s="211">
        <v>169916882</v>
      </c>
      <c r="D4" s="179"/>
      <c r="E4" s="217"/>
      <c r="F4" s="217"/>
      <c r="G4" s="217"/>
      <c r="H4" s="217"/>
      <c r="I4" s="235"/>
      <c r="J4" s="235"/>
      <c r="K4" s="235"/>
    </row>
    <row r="5" spans="1:11">
      <c r="A5" s="222">
        <f t="shared" ref="A5:A26" si="0">A4+1</f>
        <v>2</v>
      </c>
      <c r="B5" s="217" t="s">
        <v>643</v>
      </c>
      <c r="C5" s="57">
        <f>EIA_Sch_7!C17+EIA_Sch_7!D17</f>
        <v>115181693</v>
      </c>
      <c r="D5" s="179"/>
      <c r="E5" s="217"/>
      <c r="F5" s="217"/>
      <c r="G5" s="217"/>
      <c r="H5" s="217"/>
      <c r="I5" s="235"/>
      <c r="J5" s="235"/>
      <c r="K5" s="235"/>
    </row>
    <row r="6" spans="1:11">
      <c r="A6" s="222">
        <f t="shared" si="0"/>
        <v>3</v>
      </c>
      <c r="B6" s="217" t="s">
        <v>644</v>
      </c>
      <c r="C6" s="92">
        <f>EIA_Sch_7!E17</f>
        <v>15754166</v>
      </c>
      <c r="D6" s="179"/>
      <c r="E6" s="217"/>
      <c r="F6" s="217"/>
      <c r="G6" s="217"/>
      <c r="H6" s="217"/>
      <c r="I6" s="235"/>
      <c r="J6" s="235"/>
      <c r="K6" s="235"/>
    </row>
    <row r="7" spans="1:11">
      <c r="A7" s="222">
        <f t="shared" si="0"/>
        <v>4</v>
      </c>
      <c r="B7" s="217" t="s">
        <v>645</v>
      </c>
      <c r="C7" s="57">
        <v>5874659</v>
      </c>
      <c r="D7" s="179"/>
      <c r="E7" s="217"/>
      <c r="F7" s="217"/>
      <c r="G7" s="217"/>
      <c r="H7" s="217"/>
      <c r="I7" s="235"/>
      <c r="J7" s="235"/>
      <c r="K7" s="235"/>
    </row>
    <row r="8" spans="1:11">
      <c r="A8" s="222">
        <f t="shared" si="0"/>
        <v>5</v>
      </c>
      <c r="B8" s="217" t="s">
        <v>646</v>
      </c>
      <c r="C8" s="57">
        <v>0</v>
      </c>
      <c r="D8" s="179"/>
      <c r="E8" s="217"/>
      <c r="F8" s="217"/>
      <c r="G8" s="217"/>
      <c r="H8" s="217"/>
      <c r="I8" s="235"/>
      <c r="J8" s="235"/>
      <c r="K8" s="235"/>
    </row>
    <row r="9" spans="1:11" ht="16.2">
      <c r="A9" s="222">
        <f t="shared" si="0"/>
        <v>6</v>
      </c>
      <c r="B9" s="217" t="s">
        <v>647</v>
      </c>
      <c r="C9" s="211">
        <v>1663475</v>
      </c>
      <c r="D9" s="179"/>
      <c r="E9" s="217"/>
      <c r="F9" s="217"/>
      <c r="G9" s="217"/>
      <c r="H9" s="217"/>
      <c r="I9" s="235"/>
      <c r="J9" s="235"/>
      <c r="K9" s="235"/>
    </row>
    <row r="10" spans="1:11" ht="16.2">
      <c r="A10" s="222">
        <f t="shared" si="0"/>
        <v>7</v>
      </c>
      <c r="B10" s="217" t="s">
        <v>648</v>
      </c>
      <c r="C10" s="211">
        <f>SUM(C5:C9)</f>
        <v>138473993</v>
      </c>
      <c r="D10" s="179"/>
      <c r="E10" s="217"/>
      <c r="F10" s="217"/>
      <c r="G10" s="217"/>
      <c r="H10" s="217"/>
      <c r="I10" s="235"/>
      <c r="J10" s="235"/>
      <c r="K10" s="235"/>
    </row>
    <row r="11" spans="1:11" ht="16.2">
      <c r="A11" s="222">
        <f t="shared" si="0"/>
        <v>8</v>
      </c>
      <c r="B11" s="217" t="s">
        <v>649</v>
      </c>
      <c r="C11" s="211">
        <f>C4-C10</f>
        <v>31442889</v>
      </c>
      <c r="D11" s="179"/>
      <c r="E11" s="217"/>
      <c r="F11" s="217"/>
      <c r="G11" s="217"/>
      <c r="H11" s="217"/>
      <c r="I11" s="235"/>
      <c r="J11" s="235"/>
      <c r="K11" s="235"/>
    </row>
    <row r="12" spans="1:11" ht="16.2">
      <c r="A12" s="222">
        <f t="shared" si="0"/>
        <v>9</v>
      </c>
      <c r="B12" s="217" t="s">
        <v>650</v>
      </c>
      <c r="C12" s="211">
        <v>0</v>
      </c>
      <c r="D12" s="179"/>
      <c r="E12" s="217"/>
      <c r="F12" s="217"/>
      <c r="G12" s="217"/>
      <c r="H12" s="217"/>
      <c r="I12" s="235"/>
      <c r="J12" s="235"/>
      <c r="K12" s="235"/>
    </row>
    <row r="13" spans="1:11" ht="16.2">
      <c r="A13" s="222">
        <f t="shared" si="0"/>
        <v>10</v>
      </c>
      <c r="B13" s="217" t="s">
        <v>651</v>
      </c>
      <c r="C13" s="211">
        <f>SUM(C11:C12)</f>
        <v>31442889</v>
      </c>
      <c r="D13" s="179"/>
      <c r="E13" s="217"/>
      <c r="F13" s="217"/>
      <c r="G13" s="217"/>
      <c r="H13" s="217"/>
      <c r="I13" s="235"/>
      <c r="J13" s="235"/>
      <c r="K13" s="235"/>
    </row>
    <row r="14" spans="1:11">
      <c r="A14" s="222">
        <f t="shared" si="0"/>
        <v>11</v>
      </c>
      <c r="B14" s="217" t="s">
        <v>652</v>
      </c>
      <c r="C14" s="57">
        <f>1259313+5450013+5065269-25075</f>
        <v>11749520</v>
      </c>
      <c r="D14" s="57"/>
      <c r="E14" s="217"/>
      <c r="F14" s="217"/>
      <c r="G14" s="217"/>
      <c r="H14" s="217"/>
      <c r="I14" s="235"/>
      <c r="J14" s="235"/>
      <c r="K14" s="235"/>
    </row>
    <row r="15" spans="1:11">
      <c r="A15" s="222">
        <f t="shared" si="0"/>
        <v>12</v>
      </c>
      <c r="B15" s="217" t="s">
        <v>653</v>
      </c>
      <c r="C15" s="57">
        <f>2462560+2188506+5641118-25075</f>
        <v>10267109</v>
      </c>
      <c r="D15" s="57"/>
      <c r="E15" s="217"/>
      <c r="F15" s="217"/>
      <c r="G15" s="217"/>
      <c r="H15" s="217"/>
      <c r="I15" s="235"/>
      <c r="J15" s="235"/>
      <c r="K15" s="235"/>
    </row>
    <row r="16" spans="1:11">
      <c r="A16" s="222">
        <f t="shared" si="0"/>
        <v>13</v>
      </c>
      <c r="B16" s="217" t="s">
        <v>654</v>
      </c>
      <c r="C16" s="57">
        <v>247626</v>
      </c>
      <c r="D16" s="57"/>
      <c r="E16" s="217"/>
      <c r="F16" s="217"/>
      <c r="G16" s="217"/>
      <c r="H16" s="217"/>
      <c r="I16" s="235"/>
      <c r="J16" s="235"/>
      <c r="K16" s="235"/>
    </row>
    <row r="17" spans="1:11" ht="16.2">
      <c r="A17" s="222">
        <f t="shared" si="0"/>
        <v>14</v>
      </c>
      <c r="B17" s="217" t="s">
        <v>655</v>
      </c>
      <c r="C17" s="211">
        <v>0</v>
      </c>
      <c r="D17" s="211"/>
      <c r="E17" s="217"/>
      <c r="F17" s="217"/>
      <c r="G17" s="217"/>
      <c r="H17" s="217"/>
      <c r="I17" s="235"/>
      <c r="J17" s="235"/>
      <c r="K17" s="235"/>
    </row>
    <row r="18" spans="1:11" ht="16.2">
      <c r="A18" s="222">
        <f t="shared" si="0"/>
        <v>15</v>
      </c>
      <c r="B18" s="217" t="s">
        <v>656</v>
      </c>
      <c r="C18" s="211">
        <f>C13+C14+C16-C15-C17</f>
        <v>33172926</v>
      </c>
      <c r="D18" s="179"/>
      <c r="E18" s="217"/>
      <c r="F18" s="217"/>
      <c r="G18" s="217"/>
      <c r="H18" s="217"/>
      <c r="I18" s="235"/>
      <c r="J18" s="235"/>
      <c r="K18" s="235"/>
    </row>
    <row r="19" spans="1:11">
      <c r="A19" s="222">
        <f t="shared" si="0"/>
        <v>16</v>
      </c>
      <c r="B19" s="217" t="s">
        <v>657</v>
      </c>
      <c r="C19" s="57">
        <v>14317829</v>
      </c>
      <c r="D19" s="179"/>
      <c r="E19" s="217"/>
      <c r="F19" s="217"/>
      <c r="G19" s="217"/>
      <c r="H19" s="217"/>
      <c r="I19" s="235"/>
      <c r="J19" s="235"/>
      <c r="K19" s="235"/>
    </row>
    <row r="20" spans="1:11">
      <c r="A20" s="222">
        <f t="shared" si="0"/>
        <v>17</v>
      </c>
      <c r="B20" s="217" t="s">
        <v>658</v>
      </c>
      <c r="C20" s="57">
        <v>413000</v>
      </c>
      <c r="D20" s="179"/>
      <c r="E20" s="217"/>
      <c r="F20" s="217"/>
      <c r="G20" s="217"/>
      <c r="H20" s="217"/>
      <c r="I20" s="235"/>
      <c r="J20" s="235"/>
      <c r="K20" s="235"/>
    </row>
    <row r="21" spans="1:11" ht="16.2">
      <c r="A21" s="222">
        <f t="shared" si="0"/>
        <v>18</v>
      </c>
      <c r="B21" s="217" t="s">
        <v>659</v>
      </c>
      <c r="C21" s="211">
        <v>0</v>
      </c>
      <c r="D21" s="179"/>
      <c r="E21" s="217"/>
      <c r="F21" s="217"/>
      <c r="G21" s="217"/>
      <c r="H21" s="217"/>
      <c r="I21" s="235"/>
      <c r="J21" s="235"/>
      <c r="K21" s="235"/>
    </row>
    <row r="22" spans="1:11" ht="16.2">
      <c r="A22" s="222">
        <f t="shared" si="0"/>
        <v>19</v>
      </c>
      <c r="B22" s="217" t="s">
        <v>660</v>
      </c>
      <c r="C22" s="211">
        <f>SUM(C19:C21)</f>
        <v>14730829</v>
      </c>
      <c r="D22" s="179"/>
      <c r="E22" s="217"/>
      <c r="F22" s="217"/>
      <c r="G22" s="217"/>
      <c r="H22" s="217"/>
      <c r="I22" s="235"/>
      <c r="J22" s="235"/>
      <c r="K22" s="235"/>
    </row>
    <row r="23" spans="1:11" ht="16.2">
      <c r="A23" s="222">
        <f t="shared" si="0"/>
        <v>20</v>
      </c>
      <c r="B23" s="217" t="s">
        <v>661</v>
      </c>
      <c r="C23" s="211">
        <f>C18-C22</f>
        <v>18442097</v>
      </c>
      <c r="D23" s="179"/>
      <c r="E23" s="217"/>
      <c r="F23" s="217"/>
      <c r="G23" s="217"/>
      <c r="H23" s="217"/>
      <c r="I23" s="235"/>
      <c r="J23" s="235"/>
      <c r="K23" s="235"/>
    </row>
    <row r="24" spans="1:11">
      <c r="A24" s="222">
        <f t="shared" si="0"/>
        <v>21</v>
      </c>
      <c r="B24" s="217" t="s">
        <v>662</v>
      </c>
      <c r="C24" s="57"/>
      <c r="D24" s="179"/>
      <c r="E24" s="217"/>
      <c r="F24" s="217"/>
      <c r="G24" s="217"/>
      <c r="H24" s="217"/>
      <c r="I24" s="235"/>
      <c r="J24" s="235"/>
      <c r="K24" s="235"/>
    </row>
    <row r="25" spans="1:11">
      <c r="A25" s="222">
        <f t="shared" si="0"/>
        <v>22</v>
      </c>
      <c r="B25" s="217" t="s">
        <v>663</v>
      </c>
      <c r="C25" s="57"/>
      <c r="D25" s="179"/>
      <c r="E25" s="217"/>
      <c r="F25" s="217"/>
      <c r="G25" s="217"/>
      <c r="H25" s="217"/>
      <c r="I25" s="235"/>
      <c r="J25" s="235"/>
      <c r="K25" s="235"/>
    </row>
    <row r="26" spans="1:11" ht="16.2">
      <c r="A26" s="222">
        <f t="shared" si="0"/>
        <v>23</v>
      </c>
      <c r="B26" s="217" t="s">
        <v>664</v>
      </c>
      <c r="C26" s="116">
        <f>C23+C24-C25</f>
        <v>18442097</v>
      </c>
      <c r="D26" s="214">
        <f>C26-18442097</f>
        <v>0</v>
      </c>
      <c r="E26" s="217"/>
      <c r="F26" s="217"/>
      <c r="G26" s="217"/>
      <c r="H26" s="217"/>
      <c r="I26" s="235"/>
      <c r="J26" s="235"/>
      <c r="K26" s="235"/>
    </row>
    <row r="29" spans="1:11">
      <c r="B29" s="241" t="s">
        <v>1023</v>
      </c>
    </row>
    <row r="30" spans="1:11">
      <c r="A30" s="222"/>
      <c r="B30" s="240" t="s">
        <v>1024</v>
      </c>
      <c r="C30" s="236">
        <v>1259313</v>
      </c>
      <c r="D30" s="57"/>
    </row>
    <row r="31" spans="1:11">
      <c r="A31" s="222"/>
      <c r="B31" s="240" t="s">
        <v>1272</v>
      </c>
      <c r="C31" s="236">
        <v>-25075</v>
      </c>
      <c r="D31" s="57"/>
    </row>
    <row r="32" spans="1:11">
      <c r="A32" s="222"/>
      <c r="B32" s="240" t="s">
        <v>1096</v>
      </c>
      <c r="C32" s="236">
        <v>5065269</v>
      </c>
      <c r="D32" s="57"/>
    </row>
    <row r="33" spans="1:5">
      <c r="A33" s="222"/>
      <c r="B33" s="240" t="s">
        <v>1084</v>
      </c>
      <c r="C33" s="236">
        <f>1885303+234160</f>
        <v>2119463</v>
      </c>
      <c r="D33" s="57"/>
    </row>
    <row r="34" spans="1:5" ht="16.2">
      <c r="A34" s="222"/>
      <c r="B34" s="240" t="s">
        <v>1025</v>
      </c>
      <c r="C34" s="242">
        <f>341095+1355792+2876644-1242980-1</f>
        <v>3330550</v>
      </c>
      <c r="D34" s="57"/>
    </row>
    <row r="35" spans="1:5" ht="16.2">
      <c r="A35" s="222"/>
      <c r="B35" s="239"/>
      <c r="C35" s="110">
        <f>SUM(C30:C34)</f>
        <v>11749520</v>
      </c>
      <c r="D35" s="110">
        <f>C35-C14</f>
        <v>0</v>
      </c>
    </row>
    <row r="36" spans="1:5">
      <c r="A36" s="222"/>
      <c r="B36" s="241" t="s">
        <v>1026</v>
      </c>
    </row>
    <row r="37" spans="1:5">
      <c r="A37" s="222"/>
      <c r="B37" s="216" t="s">
        <v>1027</v>
      </c>
      <c r="C37" s="236">
        <f>296243+94447</f>
        <v>390690</v>
      </c>
    </row>
    <row r="38" spans="1:5">
      <c r="A38" s="222"/>
      <c r="B38" s="240" t="s">
        <v>1086</v>
      </c>
      <c r="C38" s="236">
        <f>1807405+264465</f>
        <v>2071870</v>
      </c>
      <c r="D38" s="57"/>
    </row>
    <row r="39" spans="1:5" ht="16.2">
      <c r="A39" s="147"/>
      <c r="B39" s="240" t="s">
        <v>1085</v>
      </c>
      <c r="C39" s="242">
        <f>5641118+2188506-25075</f>
        <v>7804549</v>
      </c>
    </row>
    <row r="40" spans="1:5" ht="16.2">
      <c r="A40" s="222"/>
      <c r="B40" s="239"/>
      <c r="C40" s="110">
        <f>SUM(C37:C39)</f>
        <v>10267109</v>
      </c>
      <c r="D40" s="110">
        <f>C40-C15</f>
        <v>0</v>
      </c>
      <c r="E40" s="565"/>
    </row>
    <row r="41" spans="1:5">
      <c r="A41" s="222"/>
    </row>
    <row r="42" spans="1:5">
      <c r="A42" s="222"/>
      <c r="B42" s="241" t="s">
        <v>1056</v>
      </c>
    </row>
    <row r="43" spans="1:5">
      <c r="A43" s="222">
        <v>428</v>
      </c>
      <c r="B43" s="240" t="s">
        <v>1057</v>
      </c>
      <c r="C43" s="236">
        <v>375792</v>
      </c>
      <c r="D43" s="57"/>
    </row>
    <row r="44" spans="1:5">
      <c r="A44" s="222">
        <v>428.1</v>
      </c>
      <c r="B44" s="240" t="s">
        <v>1058</v>
      </c>
      <c r="C44" s="236">
        <v>1044355</v>
      </c>
      <c r="D44" s="57"/>
    </row>
    <row r="45" spans="1:5">
      <c r="A45" s="222">
        <v>428</v>
      </c>
      <c r="B45" s="216" t="s">
        <v>1059</v>
      </c>
      <c r="C45" s="236">
        <v>0</v>
      </c>
    </row>
    <row r="46" spans="1:5" ht="16.2">
      <c r="A46" s="359">
        <v>429</v>
      </c>
      <c r="B46" s="240" t="s">
        <v>1060</v>
      </c>
      <c r="C46" s="242">
        <v>-1007147</v>
      </c>
    </row>
    <row r="47" spans="1:5" ht="16.2">
      <c r="A47" s="222"/>
      <c r="B47" s="239"/>
      <c r="C47" s="110">
        <f>SUM(C43:C46)</f>
        <v>413000</v>
      </c>
      <c r="D47" s="110">
        <f>C20-C47</f>
        <v>0</v>
      </c>
    </row>
    <row r="48" spans="1:5">
      <c r="A48" s="147"/>
    </row>
    <row r="49" spans="1:1">
      <c r="A49" s="147"/>
    </row>
    <row r="50" spans="1:1">
      <c r="A50" s="147"/>
    </row>
    <row r="51" spans="1:1">
      <c r="A51" s="147"/>
    </row>
    <row r="52" spans="1:1">
      <c r="A52" s="147"/>
    </row>
    <row r="53" spans="1:1">
      <c r="A53" s="147"/>
    </row>
    <row r="54" spans="1:1">
      <c r="A54" s="147"/>
    </row>
    <row r="55" spans="1:1">
      <c r="A55" s="147"/>
    </row>
    <row r="56" spans="1:1">
      <c r="A56" s="147"/>
    </row>
    <row r="57" spans="1:1">
      <c r="A57" s="147"/>
    </row>
    <row r="58" spans="1:1">
      <c r="A58" s="147"/>
    </row>
  </sheetData>
  <mergeCells count="1">
    <mergeCell ref="A1:C1"/>
  </mergeCells>
  <pageMargins left="0.7" right="0.7" top="0.75" bottom="0.75" header="0.3" footer="0.3"/>
  <pageSetup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workbookViewId="0">
      <selection activeCell="G20" sqref="G20"/>
    </sheetView>
  </sheetViews>
  <sheetFormatPr defaultColWidth="8.90625" defaultRowHeight="11.4"/>
  <cols>
    <col min="1" max="1" width="8.90625" style="170"/>
    <col min="2" max="2" width="35.08984375" style="170" bestFit="1" customWidth="1"/>
    <col min="3" max="4" width="10.6328125" style="170" bestFit="1" customWidth="1"/>
    <col min="5" max="6" width="11.36328125" style="170" bestFit="1" customWidth="1"/>
    <col min="7" max="7" width="10.54296875" style="170" bestFit="1" customWidth="1"/>
    <col min="8" max="8" width="11" style="170" bestFit="1" customWidth="1"/>
    <col min="9" max="9" width="11.08984375" style="170" bestFit="1" customWidth="1"/>
    <col min="10" max="10" width="8.08984375" style="52" bestFit="1" customWidth="1"/>
    <col min="11" max="11" width="7.6328125" style="163" bestFit="1" customWidth="1"/>
    <col min="12" max="12" width="8.54296875" style="154" bestFit="1" customWidth="1"/>
    <col min="13" max="16384" width="8.90625" style="154"/>
  </cols>
  <sheetData>
    <row r="1" spans="1:12" s="142" customFormat="1" ht="36">
      <c r="A1" s="135" t="s">
        <v>516</v>
      </c>
      <c r="B1" s="136"/>
      <c r="C1" s="137" t="s">
        <v>517</v>
      </c>
      <c r="D1" s="137" t="s">
        <v>518</v>
      </c>
      <c r="E1" s="137" t="s">
        <v>519</v>
      </c>
      <c r="F1" s="137" t="s">
        <v>520</v>
      </c>
      <c r="G1" s="138" t="s">
        <v>521</v>
      </c>
      <c r="H1" s="139" t="s">
        <v>522</v>
      </c>
      <c r="I1" s="138" t="s">
        <v>523</v>
      </c>
      <c r="J1" s="140"/>
      <c r="K1" s="141"/>
    </row>
    <row r="2" spans="1:12" s="142" customFormat="1" ht="12">
      <c r="C2" s="143" t="s">
        <v>524</v>
      </c>
      <c r="D2" s="143" t="s">
        <v>525</v>
      </c>
      <c r="E2" s="143" t="s">
        <v>526</v>
      </c>
      <c r="F2" s="143" t="s">
        <v>527</v>
      </c>
      <c r="G2" s="143" t="s">
        <v>528</v>
      </c>
      <c r="H2" s="144"/>
      <c r="I2" s="145"/>
      <c r="J2" s="140"/>
      <c r="K2" s="141"/>
    </row>
    <row r="3" spans="1:12">
      <c r="A3" s="146">
        <v>1</v>
      </c>
      <c r="B3" s="147" t="s">
        <v>529</v>
      </c>
      <c r="C3" s="148">
        <v>9294997</v>
      </c>
      <c r="D3" s="149"/>
      <c r="E3" s="149"/>
      <c r="F3" s="149"/>
      <c r="G3" s="150">
        <f t="shared" ref="G3:G11" si="0">C3+D3-E3+F3</f>
        <v>9294997</v>
      </c>
      <c r="H3" s="151"/>
      <c r="I3" s="150">
        <f>G3</f>
        <v>9294997</v>
      </c>
      <c r="K3" s="152"/>
      <c r="L3" s="153"/>
    </row>
    <row r="4" spans="1:12">
      <c r="A4" s="146">
        <f>A3+1</f>
        <v>2</v>
      </c>
      <c r="B4" s="147" t="s">
        <v>530</v>
      </c>
      <c r="C4" s="149">
        <v>277618304</v>
      </c>
      <c r="D4" s="149">
        <f>5441959+115460</f>
        <v>5557419</v>
      </c>
      <c r="E4" s="149">
        <f>3347363+4995</f>
        <v>3352358</v>
      </c>
      <c r="F4" s="149">
        <f>-F3</f>
        <v>0</v>
      </c>
      <c r="G4" s="150">
        <f>C4+D4-E4+F4</f>
        <v>279823365</v>
      </c>
      <c r="H4" s="151"/>
      <c r="I4" s="150">
        <f>G4</f>
        <v>279823365</v>
      </c>
      <c r="K4" s="152">
        <f>285382642-G4-G7</f>
        <v>1</v>
      </c>
      <c r="L4" s="155"/>
    </row>
    <row r="5" spans="1:12">
      <c r="A5" s="146">
        <f t="shared" ref="A5:A18" si="1">A4+1</f>
        <v>3</v>
      </c>
      <c r="B5" s="147" t="s">
        <v>531</v>
      </c>
      <c r="C5" s="149">
        <v>0</v>
      </c>
      <c r="D5" s="149"/>
      <c r="E5" s="149"/>
      <c r="F5" s="149"/>
      <c r="G5" s="150">
        <f t="shared" si="0"/>
        <v>0</v>
      </c>
      <c r="H5" s="151"/>
      <c r="I5" s="150">
        <f>E5+F5-G5+H5</f>
        <v>0</v>
      </c>
      <c r="K5" s="152"/>
      <c r="L5" s="155"/>
    </row>
    <row r="6" spans="1:12" ht="13.2">
      <c r="A6" s="146">
        <f t="shared" si="1"/>
        <v>4</v>
      </c>
      <c r="B6" s="147" t="s">
        <v>532</v>
      </c>
      <c r="C6" s="149">
        <v>0</v>
      </c>
      <c r="D6" s="149"/>
      <c r="E6" s="149"/>
      <c r="F6" s="149"/>
      <c r="G6" s="149">
        <f t="shared" si="0"/>
        <v>0</v>
      </c>
      <c r="H6" s="151"/>
      <c r="I6" s="150">
        <f>E6+F6-G6+H6</f>
        <v>0</v>
      </c>
      <c r="K6" s="156"/>
      <c r="L6" s="155"/>
    </row>
    <row r="7" spans="1:12" ht="13.2">
      <c r="A7" s="146">
        <f t="shared" si="1"/>
        <v>5</v>
      </c>
      <c r="B7" s="147" t="s">
        <v>533</v>
      </c>
      <c r="C7" s="157">
        <v>5559276</v>
      </c>
      <c r="D7" s="157">
        <v>0</v>
      </c>
      <c r="E7" s="157"/>
      <c r="F7" s="157"/>
      <c r="G7" s="157">
        <f t="shared" si="0"/>
        <v>5559276</v>
      </c>
      <c r="H7" s="151"/>
      <c r="I7" s="158">
        <f>G7</f>
        <v>5559276</v>
      </c>
      <c r="K7" s="156"/>
    </row>
    <row r="8" spans="1:12" ht="13.2">
      <c r="A8" s="146">
        <f t="shared" si="1"/>
        <v>6</v>
      </c>
      <c r="B8" s="147" t="s">
        <v>534</v>
      </c>
      <c r="C8" s="157">
        <f>SUM(C4:C7)</f>
        <v>283177580</v>
      </c>
      <c r="D8" s="157">
        <f t="shared" ref="D8:I8" si="2">SUM(D4:D7)</f>
        <v>5557419</v>
      </c>
      <c r="E8" s="157">
        <f t="shared" si="2"/>
        <v>3352358</v>
      </c>
      <c r="F8" s="157">
        <f t="shared" si="2"/>
        <v>0</v>
      </c>
      <c r="G8" s="157">
        <f t="shared" si="2"/>
        <v>285382641</v>
      </c>
      <c r="H8" s="159"/>
      <c r="I8" s="158">
        <f t="shared" si="2"/>
        <v>285382641</v>
      </c>
      <c r="K8" s="160"/>
      <c r="L8" s="155"/>
    </row>
    <row r="9" spans="1:12">
      <c r="A9" s="146">
        <f t="shared" si="1"/>
        <v>7</v>
      </c>
      <c r="B9" s="147" t="s">
        <v>535</v>
      </c>
      <c r="C9" s="149">
        <v>64288747</v>
      </c>
      <c r="D9" s="149">
        <f>347772+688+6844335+278870</f>
        <v>7471665</v>
      </c>
      <c r="E9" s="149">
        <f>13610+671275</f>
        <v>684885</v>
      </c>
      <c r="F9" s="149"/>
      <c r="G9" s="149">
        <f t="shared" si="0"/>
        <v>71075527</v>
      </c>
      <c r="H9" s="151"/>
      <c r="I9" s="150">
        <f>G9</f>
        <v>71075527</v>
      </c>
      <c r="K9" s="161"/>
    </row>
    <row r="10" spans="1:12">
      <c r="A10" s="146">
        <f t="shared" si="1"/>
        <v>8</v>
      </c>
      <c r="B10" s="147" t="s">
        <v>536</v>
      </c>
      <c r="C10" s="149">
        <v>0</v>
      </c>
      <c r="D10" s="149"/>
      <c r="E10" s="149"/>
      <c r="F10" s="149"/>
      <c r="G10" s="149">
        <f t="shared" si="0"/>
        <v>0</v>
      </c>
      <c r="H10" s="151"/>
      <c r="I10" s="150">
        <f>G10</f>
        <v>0</v>
      </c>
      <c r="K10" s="161"/>
    </row>
    <row r="11" spans="1:12" ht="13.2">
      <c r="A11" s="146">
        <f t="shared" si="1"/>
        <v>9</v>
      </c>
      <c r="B11" s="147" t="s">
        <v>537</v>
      </c>
      <c r="C11" s="157">
        <v>13976661</v>
      </c>
      <c r="D11" s="157">
        <f>367760+218737+123128+1</f>
        <v>709626</v>
      </c>
      <c r="E11" s="157">
        <f>255530+115801+104400</f>
        <v>475731</v>
      </c>
      <c r="F11" s="157"/>
      <c r="G11" s="157">
        <f t="shared" si="0"/>
        <v>14210556</v>
      </c>
      <c r="H11" s="162">
        <v>3980386</v>
      </c>
      <c r="I11" s="158">
        <f>G11-H11</f>
        <v>10230170</v>
      </c>
      <c r="K11" s="161">
        <f>14210554-G11</f>
        <v>-2</v>
      </c>
    </row>
    <row r="12" spans="1:12" ht="13.2">
      <c r="A12" s="146">
        <f t="shared" si="1"/>
        <v>10</v>
      </c>
      <c r="B12" s="147" t="s">
        <v>538</v>
      </c>
      <c r="C12" s="157">
        <f t="shared" ref="C12:I12" si="3">SUM(C8:C11)+C3</f>
        <v>370737985</v>
      </c>
      <c r="D12" s="157">
        <f t="shared" si="3"/>
        <v>13738710</v>
      </c>
      <c r="E12" s="157">
        <f t="shared" si="3"/>
        <v>4512974</v>
      </c>
      <c r="F12" s="157">
        <f t="shared" si="3"/>
        <v>0</v>
      </c>
      <c r="G12" s="157">
        <f t="shared" si="3"/>
        <v>379963721</v>
      </c>
      <c r="H12" s="162">
        <f t="shared" si="3"/>
        <v>3980386</v>
      </c>
      <c r="I12" s="158">
        <f t="shared" si="3"/>
        <v>375983335</v>
      </c>
      <c r="K12" s="161"/>
    </row>
    <row r="13" spans="1:12">
      <c r="A13" s="146">
        <f t="shared" si="1"/>
        <v>11</v>
      </c>
      <c r="B13" s="147" t="s">
        <v>539</v>
      </c>
      <c r="C13" s="149">
        <v>0</v>
      </c>
      <c r="D13" s="149"/>
      <c r="E13" s="149"/>
      <c r="F13" s="149"/>
      <c r="G13" s="149">
        <f t="shared" ref="G13:I15" si="4">C13+D13-E13+F13</f>
        <v>0</v>
      </c>
      <c r="H13" s="164">
        <f t="shared" si="4"/>
        <v>0</v>
      </c>
      <c r="I13" s="150">
        <f t="shared" si="4"/>
        <v>0</v>
      </c>
    </row>
    <row r="14" spans="1:12">
      <c r="A14" s="146">
        <f t="shared" si="1"/>
        <v>12</v>
      </c>
      <c r="B14" s="147" t="s">
        <v>540</v>
      </c>
      <c r="C14" s="149">
        <v>0</v>
      </c>
      <c r="D14" s="149"/>
      <c r="E14" s="149"/>
      <c r="F14" s="149"/>
      <c r="G14" s="149">
        <f t="shared" si="4"/>
        <v>0</v>
      </c>
      <c r="H14" s="164">
        <f t="shared" si="4"/>
        <v>0</v>
      </c>
      <c r="I14" s="150">
        <f t="shared" si="4"/>
        <v>0</v>
      </c>
    </row>
    <row r="15" spans="1:12" ht="13.2">
      <c r="A15" s="146">
        <f t="shared" si="1"/>
        <v>13</v>
      </c>
      <c r="B15" s="147" t="s">
        <v>541</v>
      </c>
      <c r="C15" s="157">
        <v>0</v>
      </c>
      <c r="D15" s="157"/>
      <c r="E15" s="157"/>
      <c r="F15" s="157"/>
      <c r="G15" s="157">
        <f t="shared" si="4"/>
        <v>0</v>
      </c>
      <c r="H15" s="162">
        <f t="shared" si="4"/>
        <v>0</v>
      </c>
      <c r="I15" s="158">
        <f t="shared" si="4"/>
        <v>0</v>
      </c>
    </row>
    <row r="16" spans="1:12" ht="13.2">
      <c r="A16" s="146">
        <f t="shared" si="1"/>
        <v>14</v>
      </c>
      <c r="B16" s="147" t="s">
        <v>542</v>
      </c>
      <c r="C16" s="157">
        <f t="shared" ref="C16:H16" si="5">SUM(C12:C15)</f>
        <v>370737985</v>
      </c>
      <c r="D16" s="157">
        <f t="shared" si="5"/>
        <v>13738710</v>
      </c>
      <c r="E16" s="157">
        <f t="shared" si="5"/>
        <v>4512974</v>
      </c>
      <c r="F16" s="157">
        <f t="shared" si="5"/>
        <v>0</v>
      </c>
      <c r="G16" s="157">
        <f t="shared" si="5"/>
        <v>379963721</v>
      </c>
      <c r="H16" s="162">
        <f t="shared" si="5"/>
        <v>3980386</v>
      </c>
      <c r="I16" s="158">
        <f>G16-H16</f>
        <v>375983335</v>
      </c>
    </row>
    <row r="17" spans="1:12" ht="13.2">
      <c r="A17" s="146">
        <f t="shared" si="1"/>
        <v>15</v>
      </c>
      <c r="B17" s="147" t="s">
        <v>543</v>
      </c>
      <c r="C17" s="157">
        <v>19240631</v>
      </c>
      <c r="D17" s="157">
        <v>43720292</v>
      </c>
      <c r="E17" s="157">
        <v>12783901</v>
      </c>
      <c r="F17" s="157"/>
      <c r="G17" s="157">
        <f>C17+D17-E17+F17</f>
        <v>50177022</v>
      </c>
      <c r="H17" s="162">
        <v>0</v>
      </c>
      <c r="I17" s="158">
        <f>G17-H17</f>
        <v>50177022</v>
      </c>
    </row>
    <row r="18" spans="1:12" ht="13.2">
      <c r="A18" s="165">
        <f t="shared" si="1"/>
        <v>16</v>
      </c>
      <c r="B18" s="166" t="s">
        <v>544</v>
      </c>
      <c r="C18" s="167">
        <f t="shared" ref="C18:I18" si="6">C17+C16</f>
        <v>389978616</v>
      </c>
      <c r="D18" s="167">
        <f>D17+D16</f>
        <v>57459002</v>
      </c>
      <c r="E18" s="167">
        <f t="shared" si="6"/>
        <v>17296875</v>
      </c>
      <c r="F18" s="167">
        <f t="shared" si="6"/>
        <v>0</v>
      </c>
      <c r="G18" s="168">
        <f t="shared" si="6"/>
        <v>430140743</v>
      </c>
      <c r="H18" s="169">
        <f t="shared" si="6"/>
        <v>3980386</v>
      </c>
      <c r="I18" s="168">
        <f t="shared" si="6"/>
        <v>426160357</v>
      </c>
    </row>
    <row r="19" spans="1:12">
      <c r="I19" s="171"/>
    </row>
    <row r="20" spans="1:12" ht="13.2">
      <c r="A20" s="172"/>
      <c r="B20" s="173" t="s">
        <v>1248</v>
      </c>
      <c r="C20" s="174"/>
      <c r="D20" s="172"/>
      <c r="E20" s="175"/>
      <c r="F20" s="175"/>
      <c r="G20" s="176">
        <f>379963721+50177022</f>
        <v>430140743</v>
      </c>
      <c r="H20" s="176"/>
      <c r="I20" s="176"/>
      <c r="J20" s="177"/>
    </row>
    <row r="21" spans="1:12" ht="13.2">
      <c r="A21" s="172"/>
      <c r="B21" s="172"/>
      <c r="C21" s="172"/>
      <c r="D21" s="175"/>
      <c r="E21" s="175"/>
      <c r="F21" s="175"/>
      <c r="G21" s="176"/>
      <c r="H21" s="176"/>
      <c r="I21" s="176"/>
      <c r="J21" s="177"/>
    </row>
    <row r="22" spans="1:12" ht="13.2">
      <c r="A22" s="172"/>
      <c r="B22" s="178" t="s">
        <v>507</v>
      </c>
      <c r="C22" s="172"/>
      <c r="D22" s="175"/>
      <c r="E22" s="175"/>
      <c r="F22" s="175"/>
      <c r="G22" s="176">
        <f>G20-G18</f>
        <v>0</v>
      </c>
      <c r="H22" s="176"/>
      <c r="I22" s="176"/>
      <c r="J22" s="177"/>
    </row>
    <row r="23" spans="1:12">
      <c r="A23" s="172"/>
      <c r="B23" s="172"/>
      <c r="C23" s="172"/>
      <c r="D23" s="175"/>
      <c r="E23" s="175"/>
      <c r="F23" s="175"/>
      <c r="G23" s="175"/>
      <c r="H23" s="175"/>
      <c r="I23" s="175"/>
      <c r="J23" s="177"/>
    </row>
    <row r="24" spans="1:12" ht="15.6">
      <c r="A24" s="172"/>
      <c r="C24" s="609"/>
      <c r="D24" s="609"/>
      <c r="E24" s="609"/>
      <c r="F24" s="609"/>
      <c r="G24" s="609"/>
      <c r="H24" s="38"/>
      <c r="I24" s="175"/>
      <c r="J24" s="177"/>
    </row>
    <row r="25" spans="1:12" ht="15.6">
      <c r="A25" s="154"/>
      <c r="B25" s="177"/>
      <c r="C25" s="57"/>
      <c r="D25" s="566"/>
      <c r="E25" s="566"/>
      <c r="F25" s="566"/>
      <c r="G25" s="566"/>
      <c r="H25" s="213"/>
      <c r="I25" s="175"/>
      <c r="J25" s="175"/>
      <c r="K25" s="177"/>
      <c r="L25" s="163"/>
    </row>
    <row r="26" spans="1:12">
      <c r="A26" s="154"/>
      <c r="B26" s="177"/>
      <c r="C26" s="57"/>
      <c r="D26" s="179"/>
      <c r="E26" s="179"/>
      <c r="F26" s="179"/>
      <c r="G26" s="179"/>
      <c r="H26" s="179"/>
      <c r="I26" s="175"/>
      <c r="J26" s="175"/>
      <c r="K26" s="177"/>
      <c r="L26" s="163"/>
    </row>
    <row r="27" spans="1:12">
      <c r="A27" s="154"/>
      <c r="B27" s="177"/>
      <c r="C27" s="57"/>
      <c r="D27" s="179"/>
      <c r="E27" s="179"/>
      <c r="F27" s="179"/>
      <c r="G27" s="179"/>
      <c r="H27" s="179"/>
      <c r="I27" s="175"/>
      <c r="J27" s="175"/>
      <c r="K27" s="177"/>
      <c r="L27" s="163"/>
    </row>
    <row r="28" spans="1:12">
      <c r="A28" s="154"/>
      <c r="B28" s="177"/>
      <c r="C28" s="57"/>
      <c r="D28" s="179"/>
      <c r="E28" s="179"/>
      <c r="F28" s="179"/>
      <c r="G28" s="179"/>
      <c r="H28" s="179"/>
      <c r="I28" s="175"/>
      <c r="J28" s="175"/>
      <c r="K28" s="177"/>
      <c r="L28" s="163"/>
    </row>
    <row r="29" spans="1:12">
      <c r="A29" s="154"/>
      <c r="B29" s="177"/>
      <c r="C29" s="57"/>
      <c r="D29" s="179"/>
      <c r="E29" s="57"/>
      <c r="F29" s="179"/>
      <c r="G29" s="179"/>
      <c r="H29" s="179"/>
      <c r="I29" s="175"/>
      <c r="J29" s="175"/>
      <c r="K29" s="177"/>
      <c r="L29" s="163"/>
    </row>
    <row r="30" spans="1:12">
      <c r="A30" s="154"/>
      <c r="B30" s="177"/>
      <c r="C30" s="57"/>
      <c r="D30" s="179"/>
      <c r="E30" s="179"/>
      <c r="F30" s="179"/>
      <c r="G30" s="179"/>
      <c r="H30" s="179"/>
      <c r="I30" s="175"/>
      <c r="J30" s="175"/>
      <c r="K30" s="177"/>
      <c r="L30" s="163"/>
    </row>
    <row r="31" spans="1:12">
      <c r="A31" s="154"/>
      <c r="B31" s="177"/>
      <c r="C31" s="57"/>
      <c r="D31" s="179"/>
      <c r="E31" s="179"/>
      <c r="F31" s="179"/>
      <c r="G31" s="179"/>
      <c r="H31" s="179"/>
      <c r="I31" s="175"/>
      <c r="J31" s="175"/>
      <c r="K31" s="177"/>
      <c r="L31" s="163"/>
    </row>
    <row r="32" spans="1:12">
      <c r="A32" s="154"/>
      <c r="B32" s="177"/>
      <c r="C32" s="57"/>
      <c r="D32" s="179"/>
      <c r="E32" s="179"/>
      <c r="F32" s="179"/>
      <c r="G32" s="179"/>
      <c r="H32" s="179"/>
      <c r="I32" s="175"/>
      <c r="J32" s="175"/>
      <c r="K32" s="177"/>
      <c r="L32" s="163"/>
    </row>
    <row r="33" spans="1:12">
      <c r="A33" s="154"/>
      <c r="B33" s="177"/>
      <c r="C33" s="57"/>
      <c r="D33" s="179"/>
      <c r="E33" s="179"/>
      <c r="F33" s="179"/>
      <c r="G33" s="179"/>
      <c r="H33" s="179"/>
      <c r="I33" s="175"/>
      <c r="J33" s="175"/>
      <c r="K33" s="177"/>
      <c r="L33" s="163"/>
    </row>
    <row r="34" spans="1:12" ht="13.2">
      <c r="A34" s="154"/>
      <c r="B34" s="177"/>
      <c r="C34" s="57"/>
      <c r="D34" s="215"/>
      <c r="E34" s="215"/>
      <c r="F34" s="215"/>
      <c r="G34" s="215"/>
      <c r="H34" s="215"/>
      <c r="I34" s="175"/>
      <c r="J34" s="175"/>
      <c r="K34" s="177"/>
      <c r="L34" s="163"/>
    </row>
    <row r="35" spans="1:12">
      <c r="A35" s="154"/>
      <c r="B35" s="177"/>
      <c r="C35" s="179"/>
      <c r="D35" s="179"/>
      <c r="E35" s="179"/>
      <c r="F35" s="179"/>
      <c r="G35" s="179"/>
      <c r="H35" s="179"/>
      <c r="I35" s="175"/>
      <c r="J35" s="175"/>
      <c r="K35" s="177"/>
      <c r="L35" s="163"/>
    </row>
    <row r="36" spans="1:12" ht="13.2">
      <c r="A36" s="154"/>
      <c r="B36" s="177"/>
      <c r="C36" s="567"/>
      <c r="D36" s="214"/>
      <c r="E36" s="214"/>
      <c r="F36" s="214"/>
      <c r="G36" s="214"/>
      <c r="H36" s="214"/>
      <c r="I36" s="175"/>
      <c r="J36" s="175"/>
      <c r="K36" s="177"/>
      <c r="L36" s="163"/>
    </row>
    <row r="37" spans="1:12" ht="13.2">
      <c r="A37" s="154"/>
      <c r="B37" s="52"/>
      <c r="C37" s="57"/>
      <c r="D37" s="57"/>
      <c r="E37" s="57"/>
      <c r="F37" s="57"/>
      <c r="G37" s="57"/>
      <c r="H37" s="214"/>
      <c r="I37" s="180"/>
      <c r="J37" s="180"/>
      <c r="K37" s="52"/>
      <c r="L37" s="163"/>
    </row>
    <row r="38" spans="1:12">
      <c r="A38" s="154"/>
      <c r="B38" s="52"/>
      <c r="C38" s="57"/>
      <c r="D38" s="57"/>
      <c r="E38" s="57"/>
      <c r="F38" s="57"/>
      <c r="G38" s="57"/>
      <c r="H38" s="180"/>
      <c r="I38" s="180"/>
      <c r="J38" s="180"/>
      <c r="K38" s="52"/>
      <c r="L38" s="163"/>
    </row>
    <row r="39" spans="1:12" ht="13.2">
      <c r="A39" s="154"/>
      <c r="B39" s="179"/>
      <c r="C39" s="360"/>
      <c r="D39" s="179"/>
      <c r="E39" s="179"/>
      <c r="F39" s="179"/>
      <c r="G39" s="179"/>
      <c r="H39" s="176"/>
      <c r="I39" s="175"/>
      <c r="J39" s="175"/>
      <c r="K39" s="177"/>
      <c r="L39" s="163"/>
    </row>
    <row r="40" spans="1:12" ht="13.2">
      <c r="A40" s="154"/>
      <c r="B40" s="179"/>
      <c r="C40" s="179"/>
      <c r="D40" s="179"/>
      <c r="E40" s="179"/>
      <c r="F40" s="179"/>
      <c r="G40" s="179"/>
      <c r="H40" s="176"/>
      <c r="I40" s="175"/>
      <c r="J40" s="175"/>
      <c r="K40" s="177"/>
      <c r="L40" s="163"/>
    </row>
    <row r="41" spans="1:12" ht="13.2">
      <c r="A41" s="154"/>
      <c r="B41" s="179"/>
      <c r="C41" s="179"/>
      <c r="D41" s="179"/>
      <c r="E41" s="179"/>
      <c r="F41" s="179"/>
      <c r="G41" s="179"/>
      <c r="H41" s="176"/>
      <c r="I41" s="175"/>
      <c r="J41" s="175"/>
      <c r="K41" s="177"/>
      <c r="L41" s="163"/>
    </row>
    <row r="42" spans="1:12">
      <c r="A42" s="154"/>
      <c r="B42" s="179"/>
      <c r="C42" s="179"/>
      <c r="D42" s="179"/>
      <c r="E42" s="179"/>
      <c r="F42" s="179"/>
      <c r="G42" s="179"/>
      <c r="H42" s="175"/>
      <c r="I42" s="175"/>
      <c r="J42" s="175"/>
      <c r="K42" s="177"/>
      <c r="L42" s="163"/>
    </row>
    <row r="43" spans="1:12">
      <c r="A43" s="154"/>
      <c r="B43" s="179"/>
      <c r="C43" s="179"/>
      <c r="D43" s="179"/>
      <c r="E43" s="179"/>
      <c r="F43" s="179"/>
      <c r="G43" s="179"/>
      <c r="H43" s="175"/>
      <c r="I43" s="175"/>
      <c r="J43" s="175"/>
      <c r="K43" s="177"/>
      <c r="L43" s="163"/>
    </row>
    <row r="44" spans="1:12">
      <c r="A44" s="172"/>
      <c r="B44" s="172"/>
      <c r="C44" s="172"/>
      <c r="D44" s="172"/>
      <c r="E44" s="175"/>
      <c r="F44" s="175"/>
      <c r="G44" s="175"/>
      <c r="H44" s="175"/>
      <c r="I44" s="175"/>
      <c r="J44" s="177"/>
    </row>
    <row r="45" spans="1:12">
      <c r="A45" s="172"/>
      <c r="B45" s="172"/>
      <c r="C45" s="172"/>
      <c r="D45" s="172"/>
      <c r="E45" s="175"/>
      <c r="F45" s="175"/>
      <c r="G45" s="175"/>
      <c r="H45" s="175"/>
      <c r="I45" s="175"/>
      <c r="J45" s="177"/>
    </row>
    <row r="46" spans="1:12">
      <c r="A46" s="172"/>
      <c r="B46" s="172"/>
      <c r="C46" s="172"/>
      <c r="D46" s="172"/>
      <c r="E46" s="175"/>
      <c r="F46" s="175"/>
      <c r="G46" s="175"/>
      <c r="H46" s="175"/>
      <c r="I46" s="175"/>
      <c r="J46" s="177"/>
    </row>
    <row r="47" spans="1:12">
      <c r="A47" s="172"/>
      <c r="B47" s="172"/>
      <c r="C47" s="172"/>
      <c r="D47" s="172"/>
      <c r="E47" s="175"/>
      <c r="F47" s="175"/>
      <c r="G47" s="175"/>
      <c r="H47" s="175"/>
      <c r="I47" s="175"/>
      <c r="J47" s="177"/>
    </row>
    <row r="48" spans="1:12">
      <c r="A48" s="172"/>
      <c r="B48" s="172"/>
      <c r="C48" s="172"/>
      <c r="D48" s="172"/>
      <c r="E48" s="175"/>
      <c r="F48" s="175"/>
      <c r="G48" s="175"/>
      <c r="H48" s="175"/>
      <c r="I48" s="175"/>
      <c r="J48" s="177"/>
    </row>
    <row r="49" spans="1:10">
      <c r="A49" s="172"/>
      <c r="B49" s="172"/>
      <c r="C49" s="172"/>
      <c r="D49" s="172"/>
      <c r="E49" s="175"/>
      <c r="F49" s="175"/>
      <c r="G49" s="175"/>
      <c r="H49" s="175"/>
      <c r="I49" s="175"/>
      <c r="J49" s="177"/>
    </row>
    <row r="50" spans="1:10">
      <c r="A50" s="172"/>
      <c r="B50" s="172"/>
      <c r="C50" s="172"/>
      <c r="D50" s="172"/>
      <c r="E50" s="175"/>
      <c r="F50" s="175"/>
      <c r="G50" s="175"/>
      <c r="H50" s="175"/>
      <c r="I50" s="175"/>
      <c r="J50" s="177"/>
    </row>
    <row r="51" spans="1:10">
      <c r="A51" s="172"/>
      <c r="B51" s="172"/>
      <c r="C51" s="172"/>
      <c r="D51" s="172"/>
      <c r="E51" s="175"/>
      <c r="F51" s="175"/>
      <c r="G51" s="175"/>
      <c r="H51" s="175"/>
      <c r="I51" s="175"/>
      <c r="J51" s="177"/>
    </row>
    <row r="52" spans="1:10">
      <c r="A52" s="172"/>
      <c r="B52" s="172"/>
      <c r="C52" s="172"/>
      <c r="D52" s="172"/>
      <c r="E52" s="175"/>
      <c r="F52" s="175"/>
      <c r="G52" s="175"/>
      <c r="H52" s="175"/>
      <c r="I52" s="175"/>
      <c r="J52" s="177"/>
    </row>
    <row r="53" spans="1:10">
      <c r="A53" s="172"/>
      <c r="B53" s="172"/>
      <c r="C53" s="172"/>
      <c r="D53" s="172"/>
      <c r="E53" s="175"/>
      <c r="F53" s="175"/>
      <c r="G53" s="175"/>
      <c r="H53" s="175"/>
      <c r="I53" s="175"/>
      <c r="J53" s="177"/>
    </row>
    <row r="54" spans="1:10">
      <c r="A54" s="172"/>
      <c r="B54" s="172"/>
      <c r="C54" s="172"/>
      <c r="D54" s="172"/>
      <c r="E54" s="175"/>
      <c r="F54" s="175"/>
      <c r="G54" s="175"/>
      <c r="H54" s="175"/>
      <c r="I54" s="175"/>
      <c r="J54" s="177"/>
    </row>
  </sheetData>
  <mergeCells count="1">
    <mergeCell ref="C24:G24"/>
  </mergeCells>
  <pageMargins left="0.75" right="0.75" top="1" bottom="1" header="0.5" footer="0.5"/>
  <pageSetup scale="9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workbookViewId="0">
      <selection activeCell="F28" sqref="F28"/>
    </sheetView>
  </sheetViews>
  <sheetFormatPr defaultColWidth="8.90625" defaultRowHeight="11.4"/>
  <cols>
    <col min="1" max="1" width="8.90625" style="154"/>
    <col min="2" max="2" width="55.08984375" style="154" bestFit="1" customWidth="1"/>
    <col min="3" max="3" width="8.81640625" style="170" bestFit="1" customWidth="1"/>
    <col min="4" max="4" width="9.453125" style="170" bestFit="1" customWidth="1"/>
    <col min="5" max="5" width="8.90625" style="170" bestFit="1" customWidth="1"/>
    <col min="6" max="6" width="9.54296875" style="170" bestFit="1" customWidth="1"/>
    <col min="7" max="9" width="9.36328125" style="170" bestFit="1" customWidth="1"/>
    <col min="10" max="10" width="9.36328125" style="154" bestFit="1" customWidth="1"/>
    <col min="11" max="16384" width="8.90625" style="154"/>
  </cols>
  <sheetData>
    <row r="1" spans="1:10" s="142" customFormat="1" ht="48">
      <c r="A1" s="135" t="s">
        <v>516</v>
      </c>
      <c r="B1" s="136"/>
      <c r="C1" s="137" t="s">
        <v>545</v>
      </c>
      <c r="D1" s="137" t="s">
        <v>546</v>
      </c>
      <c r="E1" s="137" t="s">
        <v>547</v>
      </c>
      <c r="F1" s="137" t="s">
        <v>548</v>
      </c>
      <c r="G1" s="139" t="s">
        <v>522</v>
      </c>
      <c r="H1" s="138" t="s">
        <v>523</v>
      </c>
    </row>
    <row r="2" spans="1:10" s="142" customFormat="1" ht="12">
      <c r="A2" s="181"/>
      <c r="B2" s="182"/>
      <c r="C2" s="183" t="s">
        <v>524</v>
      </c>
      <c r="D2" s="183" t="s">
        <v>525</v>
      </c>
      <c r="E2" s="183" t="s">
        <v>526</v>
      </c>
      <c r="F2" s="183" t="s">
        <v>527</v>
      </c>
      <c r="G2" s="184"/>
      <c r="H2" s="145"/>
    </row>
    <row r="3" spans="1:10" ht="14.25" customHeight="1">
      <c r="A3" s="185"/>
      <c r="B3" s="611" t="s">
        <v>549</v>
      </c>
      <c r="C3" s="612"/>
      <c r="D3" s="612"/>
      <c r="E3" s="612"/>
      <c r="F3" s="612"/>
      <c r="G3" s="186"/>
      <c r="H3" s="145"/>
    </row>
    <row r="4" spans="1:10">
      <c r="A4" s="185">
        <v>1</v>
      </c>
      <c r="B4" s="187" t="s">
        <v>550</v>
      </c>
      <c r="C4" s="149">
        <v>15793153</v>
      </c>
      <c r="D4" s="149">
        <v>9212399</v>
      </c>
      <c r="E4" s="376">
        <v>14451639</v>
      </c>
      <c r="F4" s="149">
        <f t="shared" ref="F4:F9" si="0">SUM(C4:E4)</f>
        <v>39457191</v>
      </c>
      <c r="G4" s="164">
        <f>0</f>
        <v>0</v>
      </c>
      <c r="H4" s="150">
        <f>F4-G4</f>
        <v>39457191</v>
      </c>
      <c r="I4" s="171"/>
      <c r="J4" s="155"/>
    </row>
    <row r="5" spans="1:10">
      <c r="A5" s="185">
        <f>A4+1</f>
        <v>2</v>
      </c>
      <c r="B5" s="187" t="s">
        <v>551</v>
      </c>
      <c r="C5" s="149"/>
      <c r="D5" s="149"/>
      <c r="E5" s="149"/>
      <c r="F5" s="149">
        <f t="shared" si="0"/>
        <v>0</v>
      </c>
      <c r="G5" s="164"/>
      <c r="H5" s="150">
        <f t="shared" ref="H5:H16" si="1">F5-G5</f>
        <v>0</v>
      </c>
      <c r="I5" s="171"/>
      <c r="J5" s="155"/>
    </row>
    <row r="6" spans="1:10">
      <c r="A6" s="185">
        <f t="shared" ref="A6:A22" si="2">A5+1</f>
        <v>3</v>
      </c>
      <c r="B6" s="187" t="s">
        <v>552</v>
      </c>
      <c r="C6" s="149"/>
      <c r="D6" s="149"/>
      <c r="E6" s="149"/>
      <c r="F6" s="149">
        <f t="shared" si="0"/>
        <v>0</v>
      </c>
      <c r="G6" s="164"/>
      <c r="H6" s="150">
        <f t="shared" si="1"/>
        <v>0</v>
      </c>
      <c r="I6" s="171"/>
      <c r="J6" s="155"/>
    </row>
    <row r="7" spans="1:10">
      <c r="A7" s="185">
        <f t="shared" si="2"/>
        <v>4</v>
      </c>
      <c r="B7" s="187" t="s">
        <v>553</v>
      </c>
      <c r="C7" s="149"/>
      <c r="D7" s="149"/>
      <c r="E7" s="149">
        <v>167353</v>
      </c>
      <c r="F7" s="149">
        <f t="shared" si="0"/>
        <v>167353</v>
      </c>
      <c r="G7" s="164"/>
      <c r="H7" s="150">
        <f t="shared" si="1"/>
        <v>167353</v>
      </c>
      <c r="I7" s="171"/>
      <c r="J7" s="155"/>
    </row>
    <row r="8" spans="1:10">
      <c r="A8" s="185">
        <f t="shared" si="2"/>
        <v>5</v>
      </c>
      <c r="B8" s="187" t="s">
        <v>554</v>
      </c>
      <c r="C8" s="149"/>
      <c r="D8" s="149">
        <v>52867222</v>
      </c>
      <c r="E8" s="149"/>
      <c r="F8" s="149">
        <f t="shared" si="0"/>
        <v>52867222</v>
      </c>
      <c r="G8" s="164">
        <v>55146271</v>
      </c>
      <c r="H8" s="150">
        <v>-2279049</v>
      </c>
      <c r="I8" s="171"/>
      <c r="J8" s="155"/>
    </row>
    <row r="9" spans="1:10" ht="13.2">
      <c r="A9" s="185">
        <f t="shared" si="2"/>
        <v>6</v>
      </c>
      <c r="B9" s="187" t="s">
        <v>555</v>
      </c>
      <c r="C9" s="157"/>
      <c r="D9" s="157">
        <v>4776050</v>
      </c>
      <c r="E9" s="157"/>
      <c r="F9" s="157">
        <f t="shared" si="0"/>
        <v>4776050</v>
      </c>
      <c r="G9" s="162">
        <f>D9</f>
        <v>4776050</v>
      </c>
      <c r="H9" s="158">
        <f t="shared" si="1"/>
        <v>0</v>
      </c>
      <c r="I9" s="171"/>
      <c r="J9" s="155"/>
    </row>
    <row r="10" spans="1:10" ht="13.2">
      <c r="A10" s="185">
        <f t="shared" si="2"/>
        <v>7</v>
      </c>
      <c r="B10" s="187" t="s">
        <v>556</v>
      </c>
      <c r="C10" s="157">
        <f t="shared" ref="C10:H10" si="3">SUM(C4:C9)</f>
        <v>15793153</v>
      </c>
      <c r="D10" s="157">
        <f t="shared" si="3"/>
        <v>66855671</v>
      </c>
      <c r="E10" s="157">
        <f t="shared" si="3"/>
        <v>14618992</v>
      </c>
      <c r="F10" s="157">
        <f t="shared" si="3"/>
        <v>97267816</v>
      </c>
      <c r="G10" s="162">
        <f t="shared" si="3"/>
        <v>59922321</v>
      </c>
      <c r="H10" s="158">
        <f t="shared" si="3"/>
        <v>37345495</v>
      </c>
      <c r="I10" s="116">
        <f>F10-G10-H10</f>
        <v>0</v>
      </c>
      <c r="J10" s="155"/>
    </row>
    <row r="11" spans="1:10">
      <c r="A11" s="185">
        <f t="shared" si="2"/>
        <v>8</v>
      </c>
      <c r="B11" s="187" t="s">
        <v>557</v>
      </c>
      <c r="C11" s="149"/>
      <c r="D11" s="149">
        <f>24925642-E11</f>
        <v>23930811</v>
      </c>
      <c r="E11" s="376">
        <v>994831</v>
      </c>
      <c r="F11" s="149">
        <f t="shared" ref="F11:F16" si="4">SUM(C11:E11)</f>
        <v>24925642</v>
      </c>
      <c r="G11" s="164">
        <f>24674551-995637</f>
        <v>23678914</v>
      </c>
      <c r="H11" s="150">
        <f t="shared" si="1"/>
        <v>1246728</v>
      </c>
      <c r="I11" s="171"/>
      <c r="J11" s="155"/>
    </row>
    <row r="12" spans="1:10">
      <c r="A12" s="185">
        <f t="shared" si="2"/>
        <v>9</v>
      </c>
      <c r="B12" s="187" t="s">
        <v>558</v>
      </c>
      <c r="C12" s="149"/>
      <c r="D12" s="149"/>
      <c r="E12" s="149"/>
      <c r="F12" s="149">
        <f t="shared" si="4"/>
        <v>0</v>
      </c>
      <c r="G12" s="164">
        <f>F12</f>
        <v>0</v>
      </c>
      <c r="H12" s="150">
        <f t="shared" si="1"/>
        <v>0</v>
      </c>
      <c r="I12" s="171"/>
      <c r="J12" s="155"/>
    </row>
    <row r="13" spans="1:10">
      <c r="A13" s="185">
        <f t="shared" si="2"/>
        <v>10</v>
      </c>
      <c r="B13" s="187" t="s">
        <v>559</v>
      </c>
      <c r="C13" s="149"/>
      <c r="D13" s="149">
        <v>15238</v>
      </c>
      <c r="E13" s="149"/>
      <c r="F13" s="149">
        <f t="shared" si="4"/>
        <v>15238</v>
      </c>
      <c r="G13" s="164">
        <f>F13</f>
        <v>15238</v>
      </c>
      <c r="H13" s="150">
        <f t="shared" si="1"/>
        <v>0</v>
      </c>
      <c r="I13" s="171"/>
      <c r="J13" s="155"/>
    </row>
    <row r="14" spans="1:10">
      <c r="A14" s="185">
        <f t="shared" si="2"/>
        <v>11</v>
      </c>
      <c r="B14" s="187" t="s">
        <v>560</v>
      </c>
      <c r="C14" s="149"/>
      <c r="D14" s="149">
        <v>139383</v>
      </c>
      <c r="E14" s="149"/>
      <c r="F14" s="149">
        <f t="shared" si="4"/>
        <v>139383</v>
      </c>
      <c r="G14" s="164">
        <f>F14</f>
        <v>139383</v>
      </c>
      <c r="H14" s="150">
        <f t="shared" si="1"/>
        <v>0</v>
      </c>
      <c r="I14" s="171"/>
      <c r="J14" s="155"/>
    </row>
    <row r="15" spans="1:10">
      <c r="A15" s="185">
        <f t="shared" si="2"/>
        <v>12</v>
      </c>
      <c r="B15" s="187" t="s">
        <v>561</v>
      </c>
      <c r="C15" s="149"/>
      <c r="D15" s="149">
        <v>41280</v>
      </c>
      <c r="E15" s="149"/>
      <c r="F15" s="149">
        <f t="shared" si="4"/>
        <v>41280</v>
      </c>
      <c r="G15" s="164">
        <f>F15</f>
        <v>41280</v>
      </c>
      <c r="H15" s="150">
        <f t="shared" si="1"/>
        <v>0</v>
      </c>
      <c r="I15" s="171"/>
      <c r="J15" s="155"/>
    </row>
    <row r="16" spans="1:10" ht="13.2">
      <c r="A16" s="185">
        <f t="shared" si="2"/>
        <v>13</v>
      </c>
      <c r="B16" s="187" t="s">
        <v>562</v>
      </c>
      <c r="C16" s="157"/>
      <c r="D16" s="157">
        <f>8546500-E16</f>
        <v>8406157</v>
      </c>
      <c r="E16" s="157">
        <f>140343</f>
        <v>140343</v>
      </c>
      <c r="F16" s="157">
        <f t="shared" si="4"/>
        <v>8546500</v>
      </c>
      <c r="G16" s="162">
        <v>6087016</v>
      </c>
      <c r="H16" s="158">
        <f t="shared" si="1"/>
        <v>2459484</v>
      </c>
      <c r="I16" s="171"/>
      <c r="J16" s="155"/>
    </row>
    <row r="17" spans="1:10" ht="13.2">
      <c r="A17" s="188">
        <f t="shared" si="2"/>
        <v>14</v>
      </c>
      <c r="B17" s="189" t="s">
        <v>563</v>
      </c>
      <c r="C17" s="167">
        <f t="shared" ref="C17:H17" si="5">SUM(C10:C16)</f>
        <v>15793153</v>
      </c>
      <c r="D17" s="167">
        <f t="shared" si="5"/>
        <v>99388540</v>
      </c>
      <c r="E17" s="167">
        <f t="shared" si="5"/>
        <v>15754166</v>
      </c>
      <c r="F17" s="167">
        <f t="shared" si="5"/>
        <v>130935859</v>
      </c>
      <c r="G17" s="162">
        <f t="shared" si="5"/>
        <v>89884152</v>
      </c>
      <c r="H17" s="190">
        <f t="shared" si="5"/>
        <v>41051707</v>
      </c>
      <c r="I17" s="116">
        <f>F17-G17-H17</f>
        <v>0</v>
      </c>
      <c r="J17" s="155"/>
    </row>
    <row r="18" spans="1:10" ht="14.25" customHeight="1">
      <c r="A18" s="191"/>
      <c r="B18" s="613" t="s">
        <v>564</v>
      </c>
      <c r="C18" s="614"/>
      <c r="D18" s="614"/>
      <c r="E18" s="614"/>
      <c r="F18" s="614"/>
      <c r="G18" s="192"/>
      <c r="H18" s="193"/>
      <c r="I18" s="171"/>
      <c r="J18" s="155"/>
    </row>
    <row r="19" spans="1:10" ht="13.2">
      <c r="A19" s="185">
        <f>A17+1</f>
        <v>15</v>
      </c>
      <c r="B19" s="187" t="s">
        <v>565</v>
      </c>
      <c r="C19" s="615">
        <v>41267</v>
      </c>
      <c r="D19" s="615"/>
      <c r="E19" s="615"/>
      <c r="F19" s="615"/>
      <c r="G19" s="194">
        <f>C19</f>
        <v>41267</v>
      </c>
      <c r="H19" s="195">
        <f>G19</f>
        <v>41267</v>
      </c>
      <c r="I19" s="368"/>
      <c r="J19" s="369"/>
    </row>
    <row r="20" spans="1:10">
      <c r="A20" s="185">
        <f t="shared" si="2"/>
        <v>16</v>
      </c>
      <c r="B20" s="187" t="s">
        <v>566</v>
      </c>
      <c r="C20" s="616">
        <v>77</v>
      </c>
      <c r="D20" s="616"/>
      <c r="E20" s="616"/>
      <c r="F20" s="616"/>
      <c r="G20" s="196">
        <f>C20</f>
        <v>77</v>
      </c>
      <c r="H20" s="197">
        <f>D20</f>
        <v>0</v>
      </c>
    </row>
    <row r="21" spans="1:10">
      <c r="A21" s="185">
        <f t="shared" si="2"/>
        <v>17</v>
      </c>
      <c r="B21" s="187" t="s">
        <v>567</v>
      </c>
      <c r="C21" s="617">
        <v>4</v>
      </c>
      <c r="D21" s="617"/>
      <c r="E21" s="617"/>
      <c r="F21" s="617"/>
      <c r="G21" s="198">
        <f>C21</f>
        <v>4</v>
      </c>
      <c r="H21" s="199">
        <f>D21</f>
        <v>0</v>
      </c>
    </row>
    <row r="22" spans="1:10">
      <c r="A22" s="188">
        <f t="shared" si="2"/>
        <v>18</v>
      </c>
      <c r="B22" s="189" t="s">
        <v>568</v>
      </c>
      <c r="C22" s="610">
        <f>SUM(C20:F21)</f>
        <v>81</v>
      </c>
      <c r="D22" s="610"/>
      <c r="E22" s="610"/>
      <c r="F22" s="610"/>
      <c r="G22" s="200">
        <f>C22</f>
        <v>81</v>
      </c>
      <c r="H22" s="201">
        <f>D22</f>
        <v>0</v>
      </c>
    </row>
    <row r="24" spans="1:10">
      <c r="B24" s="173" t="s">
        <v>569</v>
      </c>
      <c r="F24" s="180">
        <v>5874659</v>
      </c>
      <c r="H24" s="180"/>
    </row>
    <row r="25" spans="1:10" ht="13.2">
      <c r="A25" s="202"/>
      <c r="B25" s="173" t="s">
        <v>269</v>
      </c>
      <c r="C25" s="149"/>
      <c r="D25" s="172"/>
      <c r="E25" s="172"/>
      <c r="F25" s="203">
        <v>1663475</v>
      </c>
      <c r="G25" s="172"/>
      <c r="H25" s="203"/>
      <c r="I25" s="172"/>
    </row>
    <row r="26" spans="1:10" ht="13.2">
      <c r="A26" s="202"/>
      <c r="B26" s="178" t="s">
        <v>570</v>
      </c>
      <c r="C26" s="179"/>
      <c r="D26" s="172"/>
      <c r="E26" s="172"/>
      <c r="F26" s="176">
        <f>F25+F24+F17</f>
        <v>138473993</v>
      </c>
      <c r="G26" s="172"/>
      <c r="H26" s="176"/>
      <c r="I26" s="172"/>
    </row>
    <row r="27" spans="1:10">
      <c r="A27" s="202"/>
      <c r="B27" s="202"/>
      <c r="C27" s="172"/>
      <c r="D27" s="172"/>
      <c r="E27" s="172"/>
      <c r="F27" s="175"/>
      <c r="G27" s="172"/>
      <c r="H27" s="175"/>
      <c r="I27" s="172"/>
    </row>
    <row r="28" spans="1:10" ht="13.2">
      <c r="A28" s="202"/>
      <c r="B28" s="173" t="s">
        <v>1250</v>
      </c>
      <c r="F28" s="204">
        <v>138473993</v>
      </c>
      <c r="G28" s="172"/>
      <c r="H28" s="204"/>
      <c r="I28" s="172"/>
    </row>
    <row r="29" spans="1:10">
      <c r="A29" s="202"/>
      <c r="B29" s="202"/>
      <c r="C29" s="172"/>
      <c r="D29" s="172"/>
      <c r="E29" s="172"/>
      <c r="F29" s="175"/>
      <c r="G29" s="172"/>
      <c r="H29" s="175"/>
      <c r="I29" s="172"/>
    </row>
    <row r="30" spans="1:10" ht="13.2">
      <c r="A30" s="202"/>
      <c r="B30" s="244" t="s">
        <v>1068</v>
      </c>
      <c r="C30" s="172"/>
      <c r="D30" s="172"/>
      <c r="E30" s="172"/>
      <c r="F30" s="176">
        <f>F28-F26</f>
        <v>0</v>
      </c>
      <c r="G30" s="172"/>
      <c r="H30" s="176"/>
      <c r="I30" s="172"/>
    </row>
    <row r="31" spans="1:10">
      <c r="A31" s="202"/>
      <c r="B31" s="202"/>
      <c r="C31" s="172"/>
      <c r="D31" s="172"/>
      <c r="E31" s="172"/>
      <c r="F31" s="175"/>
      <c r="G31" s="172"/>
      <c r="H31" s="172"/>
      <c r="I31" s="172"/>
    </row>
    <row r="32" spans="1:10" ht="12">
      <c r="A32" s="202"/>
      <c r="B32" s="202"/>
      <c r="C32" s="172"/>
      <c r="D32" s="205"/>
      <c r="E32" s="172"/>
      <c r="F32" s="172"/>
      <c r="G32" s="172"/>
      <c r="H32" s="172"/>
      <c r="I32" s="172"/>
    </row>
    <row r="33" spans="1:9">
      <c r="A33" s="202"/>
      <c r="B33" s="202"/>
      <c r="C33" s="179"/>
      <c r="D33" s="179"/>
      <c r="E33" s="179"/>
      <c r="F33" s="179"/>
      <c r="G33" s="172"/>
      <c r="H33" s="172"/>
      <c r="I33" s="172"/>
    </row>
    <row r="34" spans="1:9">
      <c r="A34" s="202"/>
      <c r="B34" s="202"/>
      <c r="C34" s="179"/>
      <c r="D34" s="179"/>
      <c r="E34" s="179"/>
      <c r="F34" s="179"/>
      <c r="G34" s="172"/>
      <c r="H34" s="172"/>
      <c r="I34" s="172"/>
    </row>
    <row r="35" spans="1:9">
      <c r="A35" s="202"/>
      <c r="B35" s="57"/>
      <c r="C35" s="57"/>
      <c r="D35" s="57"/>
      <c r="E35" s="57"/>
      <c r="F35" s="57"/>
      <c r="H35" s="172"/>
      <c r="I35" s="172"/>
    </row>
    <row r="36" spans="1:9">
      <c r="A36" s="202"/>
      <c r="B36" s="202"/>
      <c r="C36" s="179"/>
      <c r="D36" s="179"/>
      <c r="E36" s="179"/>
      <c r="F36" s="179"/>
      <c r="G36" s="174"/>
      <c r="H36" s="174"/>
      <c r="I36" s="172"/>
    </row>
    <row r="37" spans="1:9">
      <c r="A37" s="202"/>
      <c r="B37" s="202"/>
      <c r="C37" s="179"/>
      <c r="D37" s="179"/>
      <c r="E37" s="179"/>
      <c r="F37" s="179"/>
      <c r="G37" s="172"/>
      <c r="H37" s="172"/>
      <c r="I37" s="172"/>
    </row>
    <row r="38" spans="1:9">
      <c r="A38" s="202"/>
      <c r="B38" s="202"/>
      <c r="D38" s="172"/>
      <c r="E38" s="172"/>
      <c r="F38" s="172"/>
      <c r="G38" s="172"/>
      <c r="H38" s="172"/>
      <c r="I38" s="172"/>
    </row>
    <row r="39" spans="1:9">
      <c r="C39" s="179"/>
      <c r="D39" s="179"/>
    </row>
    <row r="40" spans="1:9">
      <c r="A40" s="202"/>
      <c r="B40" s="202"/>
      <c r="C40" s="57"/>
      <c r="D40" s="57"/>
      <c r="E40" s="172"/>
      <c r="F40" s="172"/>
      <c r="G40" s="172"/>
      <c r="H40" s="172"/>
      <c r="I40" s="172"/>
    </row>
    <row r="41" spans="1:9">
      <c r="A41" s="202"/>
      <c r="B41" s="202"/>
      <c r="C41" s="179"/>
      <c r="D41" s="179"/>
      <c r="E41" s="172"/>
      <c r="F41" s="172"/>
      <c r="G41" s="172"/>
      <c r="H41" s="172"/>
      <c r="I41" s="172"/>
    </row>
    <row r="42" spans="1:9">
      <c r="A42" s="202"/>
      <c r="B42" s="202"/>
      <c r="C42" s="179"/>
      <c r="D42" s="179"/>
      <c r="E42" s="172"/>
      <c r="F42" s="172"/>
      <c r="G42" s="172"/>
      <c r="H42" s="172"/>
      <c r="I42" s="172"/>
    </row>
    <row r="43" spans="1:9">
      <c r="A43" s="202"/>
      <c r="B43" s="202"/>
      <c r="C43" s="179"/>
      <c r="D43" s="179"/>
      <c r="E43" s="172"/>
      <c r="F43" s="172"/>
      <c r="G43" s="172"/>
      <c r="H43" s="172"/>
      <c r="I43" s="172"/>
    </row>
    <row r="44" spans="1:9">
      <c r="A44" s="202"/>
      <c r="B44" s="202"/>
      <c r="C44" s="179"/>
      <c r="D44" s="179"/>
      <c r="E44" s="172"/>
      <c r="F44" s="172"/>
      <c r="G44" s="172"/>
      <c r="H44" s="172"/>
      <c r="I44" s="172"/>
    </row>
    <row r="45" spans="1:9">
      <c r="A45" s="202"/>
      <c r="B45" s="202"/>
      <c r="C45" s="179"/>
      <c r="D45" s="179"/>
      <c r="E45" s="172"/>
      <c r="F45" s="172"/>
      <c r="G45" s="172"/>
      <c r="H45" s="172"/>
      <c r="I45" s="172"/>
    </row>
    <row r="46" spans="1:9">
      <c r="A46" s="202"/>
      <c r="B46" s="202"/>
      <c r="C46" s="179"/>
      <c r="D46" s="179"/>
      <c r="E46" s="172"/>
      <c r="F46" s="172"/>
      <c r="G46" s="172"/>
      <c r="H46" s="172"/>
      <c r="I46" s="172"/>
    </row>
    <row r="47" spans="1:9">
      <c r="A47" s="202"/>
      <c r="B47" s="202"/>
      <c r="C47" s="179"/>
      <c r="D47" s="179"/>
      <c r="E47" s="172"/>
      <c r="F47" s="172"/>
      <c r="G47" s="172"/>
      <c r="H47" s="172"/>
      <c r="I47" s="172"/>
    </row>
    <row r="48" spans="1:9">
      <c r="A48" s="202"/>
      <c r="B48" s="202"/>
      <c r="C48" s="179"/>
      <c r="D48" s="179"/>
      <c r="E48" s="172"/>
      <c r="F48" s="172"/>
      <c r="G48" s="172"/>
      <c r="H48" s="172"/>
      <c r="I48" s="172"/>
    </row>
    <row r="49" spans="1:9">
      <c r="A49" s="202"/>
      <c r="B49" s="202"/>
      <c r="C49" s="179"/>
      <c r="D49" s="179"/>
      <c r="E49" s="172"/>
      <c r="F49" s="172"/>
      <c r="G49" s="172"/>
      <c r="H49" s="172"/>
      <c r="I49" s="172"/>
    </row>
    <row r="50" spans="1:9">
      <c r="A50" s="202"/>
      <c r="B50" s="202"/>
      <c r="C50" s="179"/>
      <c r="D50" s="179"/>
      <c r="E50" s="172"/>
      <c r="F50" s="172"/>
      <c r="G50" s="172"/>
      <c r="H50" s="172"/>
      <c r="I50" s="172"/>
    </row>
    <row r="51" spans="1:9">
      <c r="A51" s="202"/>
      <c r="B51" s="202"/>
      <c r="C51" s="179"/>
      <c r="D51" s="179"/>
      <c r="E51" s="172"/>
      <c r="F51" s="172"/>
      <c r="G51" s="172"/>
      <c r="H51" s="172"/>
      <c r="I51" s="172"/>
    </row>
    <row r="52" spans="1:9">
      <c r="A52" s="202"/>
      <c r="B52" s="202"/>
      <c r="C52" s="174"/>
      <c r="D52" s="174"/>
      <c r="E52" s="172"/>
      <c r="F52" s="172"/>
      <c r="G52" s="172"/>
      <c r="H52" s="172"/>
      <c r="I52" s="172"/>
    </row>
    <row r="53" spans="1:9">
      <c r="A53" s="202"/>
      <c r="B53" s="202"/>
      <c r="C53" s="172"/>
      <c r="D53" s="172"/>
      <c r="E53" s="172"/>
      <c r="F53" s="172"/>
      <c r="G53" s="172"/>
      <c r="H53" s="172"/>
      <c r="I53" s="172"/>
    </row>
    <row r="54" spans="1:9">
      <c r="A54" s="202"/>
      <c r="B54" s="202"/>
      <c r="C54" s="172"/>
      <c r="D54" s="172"/>
      <c r="E54" s="172"/>
      <c r="F54" s="172"/>
      <c r="G54" s="172"/>
      <c r="H54" s="172"/>
      <c r="I54" s="172"/>
    </row>
    <row r="55" spans="1:9">
      <c r="A55" s="202"/>
      <c r="B55" s="202"/>
      <c r="C55" s="172"/>
      <c r="D55" s="172"/>
      <c r="E55" s="172"/>
      <c r="F55" s="172"/>
      <c r="G55" s="172"/>
      <c r="H55" s="172"/>
      <c r="I55" s="172"/>
    </row>
    <row r="56" spans="1:9">
      <c r="A56" s="202"/>
      <c r="B56" s="202"/>
      <c r="C56" s="172"/>
      <c r="D56" s="172"/>
      <c r="E56" s="172"/>
      <c r="F56" s="172"/>
      <c r="G56" s="172"/>
      <c r="H56" s="172"/>
      <c r="I56" s="172"/>
    </row>
    <row r="57" spans="1:9">
      <c r="A57" s="202"/>
      <c r="B57" s="202"/>
      <c r="C57" s="172"/>
      <c r="D57" s="172"/>
      <c r="E57" s="172"/>
      <c r="F57" s="172"/>
      <c r="G57" s="172"/>
      <c r="H57" s="172"/>
      <c r="I57" s="172"/>
    </row>
  </sheetData>
  <mergeCells count="6">
    <mergeCell ref="C22:F22"/>
    <mergeCell ref="B3:F3"/>
    <mergeCell ref="B18:F18"/>
    <mergeCell ref="C19:F19"/>
    <mergeCell ref="C20:F20"/>
    <mergeCell ref="C21:F21"/>
  </mergeCells>
  <pageMargins left="0.75" right="0.75" top="1" bottom="1" header="0.5" footer="0.5"/>
  <pageSetup scale="7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5"/>
  <sheetViews>
    <sheetView showGridLines="0" workbookViewId="0">
      <selection activeCell="G9" sqref="G9:G20"/>
    </sheetView>
  </sheetViews>
  <sheetFormatPr defaultColWidth="8.90625" defaultRowHeight="13.2"/>
  <cols>
    <col min="1" max="1" width="8.90625" style="13"/>
    <col min="2" max="2" width="11.6328125" style="15" customWidth="1"/>
    <col min="3" max="3" width="4.453125" style="15" bestFit="1" customWidth="1"/>
    <col min="4" max="4" width="6.08984375" style="15" bestFit="1" customWidth="1"/>
    <col min="5" max="5" width="7.81640625" style="15" bestFit="1" customWidth="1"/>
    <col min="6" max="6" width="8" style="15" bestFit="1" customWidth="1"/>
    <col min="7" max="7" width="12.81640625" style="15" customWidth="1"/>
    <col min="8" max="14" width="6.81640625" style="15" customWidth="1"/>
    <col min="15" max="16" width="6.81640625" style="13" customWidth="1"/>
    <col min="17" max="16384" width="8.90625" style="13"/>
  </cols>
  <sheetData>
    <row r="1" spans="2:17" ht="15">
      <c r="B1" s="257" t="s">
        <v>294</v>
      </c>
      <c r="C1" s="257"/>
      <c r="D1" s="257"/>
      <c r="E1" s="257"/>
      <c r="F1" s="257"/>
      <c r="G1" s="257"/>
      <c r="H1" s="257"/>
      <c r="I1" s="257"/>
      <c r="J1" s="235"/>
      <c r="K1" s="235"/>
      <c r="L1" s="235"/>
      <c r="M1" s="235"/>
      <c r="N1" s="235"/>
      <c r="O1" s="249"/>
      <c r="P1" s="249"/>
      <c r="Q1" s="249"/>
    </row>
    <row r="2" spans="2:17" ht="15">
      <c r="B2" s="373">
        <f>Index!D4</f>
        <v>2012</v>
      </c>
      <c r="C2" s="257"/>
      <c r="D2" s="257"/>
      <c r="E2" s="257"/>
      <c r="F2" s="257"/>
      <c r="G2" s="257"/>
      <c r="H2" s="257"/>
      <c r="I2" s="257"/>
      <c r="J2" s="235"/>
      <c r="K2" s="235"/>
      <c r="L2" s="235"/>
      <c r="M2" s="235"/>
      <c r="N2" s="235"/>
      <c r="O2" s="249"/>
      <c r="P2" s="249"/>
      <c r="Q2" s="249"/>
    </row>
    <row r="3" spans="2:17" ht="15">
      <c r="B3" s="235"/>
      <c r="C3" s="235"/>
      <c r="D3" s="235"/>
      <c r="E3" s="235"/>
      <c r="F3" s="235"/>
      <c r="G3" s="235"/>
      <c r="H3" s="235"/>
      <c r="I3" s="235"/>
      <c r="J3" s="235"/>
      <c r="K3" s="235"/>
      <c r="L3" s="235"/>
      <c r="M3" s="235"/>
      <c r="N3" s="235"/>
      <c r="O3" s="249"/>
      <c r="P3" s="249"/>
      <c r="Q3" s="249"/>
    </row>
    <row r="4" spans="2:17" s="37" customFormat="1" ht="15">
      <c r="B4" s="258" t="s">
        <v>998</v>
      </c>
      <c r="C4" s="235"/>
      <c r="D4" s="235"/>
      <c r="E4" s="235"/>
      <c r="F4" s="235"/>
      <c r="G4" s="235"/>
      <c r="H4" s="235"/>
      <c r="I4" s="235"/>
      <c r="J4" s="235"/>
      <c r="K4" s="235"/>
      <c r="L4" s="235"/>
      <c r="M4" s="235"/>
      <c r="N4" s="235"/>
      <c r="O4" s="249"/>
      <c r="P4" s="249"/>
      <c r="Q4" s="249"/>
    </row>
    <row r="5" spans="2:17" s="37" customFormat="1" ht="15">
      <c r="B5" s="235"/>
      <c r="C5" s="235"/>
      <c r="D5" s="235"/>
      <c r="E5" s="235"/>
      <c r="F5" s="235"/>
      <c r="G5" s="235"/>
      <c r="H5" s="235"/>
      <c r="I5" s="235"/>
      <c r="J5" s="235"/>
      <c r="K5" s="235"/>
      <c r="L5" s="235"/>
      <c r="M5" s="235"/>
      <c r="N5" s="235"/>
      <c r="O5" s="249"/>
      <c r="P5" s="249"/>
      <c r="Q5" s="249"/>
    </row>
    <row r="6" spans="2:17" ht="15">
      <c r="B6" s="235"/>
      <c r="C6" s="235"/>
      <c r="D6" s="235"/>
      <c r="E6" s="235"/>
      <c r="F6" s="235"/>
      <c r="G6" s="235"/>
      <c r="H6" s="235"/>
      <c r="I6" s="235"/>
      <c r="J6" s="235"/>
      <c r="K6" s="235"/>
      <c r="L6" s="235"/>
      <c r="M6" s="235"/>
      <c r="N6" s="235"/>
      <c r="O6" s="249"/>
      <c r="P6" s="249"/>
      <c r="Q6" s="249"/>
    </row>
    <row r="7" spans="2:17" ht="15">
      <c r="B7" s="258" t="s">
        <v>999</v>
      </c>
      <c r="C7" s="258"/>
      <c r="D7" s="258"/>
      <c r="E7" s="258"/>
      <c r="F7" s="235"/>
      <c r="G7" s="235"/>
      <c r="H7" s="235"/>
      <c r="I7" s="235"/>
      <c r="J7" s="235"/>
      <c r="K7" s="235"/>
      <c r="L7" s="235"/>
      <c r="M7" s="235"/>
      <c r="N7" s="235"/>
      <c r="O7" s="249"/>
      <c r="P7" s="249"/>
      <c r="Q7" s="249"/>
    </row>
    <row r="8" spans="2:17" ht="15">
      <c r="B8" s="235"/>
      <c r="C8" s="235" t="s">
        <v>293</v>
      </c>
      <c r="D8" s="235" t="s">
        <v>294</v>
      </c>
      <c r="E8" s="235" t="s">
        <v>9</v>
      </c>
      <c r="F8" s="235"/>
      <c r="G8" s="235" t="s">
        <v>1000</v>
      </c>
      <c r="H8" s="235"/>
      <c r="I8" s="235"/>
      <c r="J8" s="235"/>
      <c r="K8" s="235"/>
      <c r="L8" s="235"/>
      <c r="M8" s="235"/>
      <c r="N8" s="235"/>
      <c r="O8" s="249"/>
      <c r="P8" s="249"/>
      <c r="Q8" s="249"/>
    </row>
    <row r="9" spans="2:17" ht="15">
      <c r="B9" s="235" t="s">
        <v>1001</v>
      </c>
      <c r="C9" s="65">
        <v>0</v>
      </c>
      <c r="D9" s="65">
        <v>0</v>
      </c>
      <c r="E9" s="65">
        <v>701426</v>
      </c>
      <c r="F9" s="235"/>
      <c r="G9" s="65">
        <v>109020.84000000001</v>
      </c>
      <c r="H9" s="235"/>
      <c r="I9" s="235"/>
      <c r="J9" s="235"/>
      <c r="K9" s="235"/>
      <c r="L9" s="235"/>
      <c r="M9" s="235"/>
      <c r="N9" s="235"/>
      <c r="O9" s="249"/>
      <c r="P9" s="249"/>
      <c r="Q9" s="249"/>
    </row>
    <row r="10" spans="2:17" ht="15">
      <c r="B10" s="235" t="s">
        <v>1002</v>
      </c>
      <c r="C10" s="65">
        <v>0</v>
      </c>
      <c r="D10" s="65">
        <v>0</v>
      </c>
      <c r="E10" s="65">
        <v>665692</v>
      </c>
      <c r="F10" s="235"/>
      <c r="G10" s="65">
        <v>98011.02</v>
      </c>
      <c r="H10" s="235"/>
      <c r="I10" s="235"/>
      <c r="J10" s="235"/>
      <c r="K10" s="235"/>
      <c r="L10" s="235"/>
      <c r="M10" s="235"/>
      <c r="N10" s="235"/>
      <c r="O10" s="249"/>
      <c r="P10" s="249"/>
      <c r="Q10" s="249"/>
    </row>
    <row r="11" spans="2:17" ht="15">
      <c r="B11" s="235" t="s">
        <v>1003</v>
      </c>
      <c r="C11" s="65">
        <v>0</v>
      </c>
      <c r="D11" s="65">
        <v>0</v>
      </c>
      <c r="E11" s="65">
        <v>586109</v>
      </c>
      <c r="F11" s="235"/>
      <c r="G11" s="65">
        <v>93018.29</v>
      </c>
      <c r="H11" s="235"/>
      <c r="I11" s="235"/>
      <c r="J11" s="235"/>
      <c r="K11" s="235"/>
      <c r="L11" s="235"/>
      <c r="M11" s="235"/>
      <c r="N11" s="235"/>
      <c r="O11" s="249"/>
      <c r="P11" s="249"/>
      <c r="Q11" s="249"/>
    </row>
    <row r="12" spans="2:17" ht="15">
      <c r="B12" s="235" t="s">
        <v>1004</v>
      </c>
      <c r="C12" s="65">
        <v>0</v>
      </c>
      <c r="D12" s="65">
        <v>0</v>
      </c>
      <c r="E12" s="65">
        <v>535890</v>
      </c>
      <c r="F12" s="235"/>
      <c r="G12" s="65">
        <v>90013.68</v>
      </c>
      <c r="H12" s="235"/>
      <c r="I12" s="235"/>
      <c r="J12" s="235"/>
      <c r="K12" s="235"/>
      <c r="L12" s="235"/>
      <c r="M12" s="235"/>
      <c r="N12" s="235"/>
      <c r="O12" s="249"/>
      <c r="P12" s="249"/>
      <c r="Q12" s="249"/>
    </row>
    <row r="13" spans="2:17" ht="15">
      <c r="B13" s="235" t="s">
        <v>1005</v>
      </c>
      <c r="C13" s="65">
        <v>0</v>
      </c>
      <c r="D13" s="65">
        <v>0</v>
      </c>
      <c r="E13" s="65">
        <v>608586</v>
      </c>
      <c r="F13" s="235"/>
      <c r="G13" s="65">
        <v>108981.39</v>
      </c>
      <c r="H13" s="235"/>
      <c r="I13" s="235"/>
      <c r="J13" s="235"/>
      <c r="K13" s="235"/>
      <c r="L13" s="235"/>
      <c r="M13" s="235"/>
      <c r="N13" s="235"/>
      <c r="O13" s="249"/>
      <c r="P13" s="249"/>
      <c r="Q13" s="249"/>
    </row>
    <row r="14" spans="2:17" ht="15">
      <c r="B14" s="235" t="s">
        <v>1006</v>
      </c>
      <c r="C14" s="65">
        <v>0</v>
      </c>
      <c r="D14" s="65">
        <v>0</v>
      </c>
      <c r="E14" s="65">
        <v>704220</v>
      </c>
      <c r="F14" s="235"/>
      <c r="G14" s="65">
        <v>108983.13</v>
      </c>
      <c r="H14" s="235"/>
      <c r="I14" s="235"/>
      <c r="J14" s="235"/>
      <c r="K14" s="235"/>
      <c r="L14" s="235"/>
      <c r="M14" s="235"/>
      <c r="N14" s="235"/>
      <c r="O14" s="249"/>
      <c r="P14" s="249"/>
      <c r="Q14" s="249"/>
    </row>
    <row r="15" spans="2:17" ht="15">
      <c r="B15" s="235" t="s">
        <v>1007</v>
      </c>
      <c r="C15" s="65">
        <v>0</v>
      </c>
      <c r="D15" s="65">
        <v>0</v>
      </c>
      <c r="E15" s="65">
        <v>747081</v>
      </c>
      <c r="F15" s="235"/>
      <c r="G15" s="65">
        <v>118005.44</v>
      </c>
      <c r="H15" s="235"/>
      <c r="I15" s="235"/>
      <c r="J15" s="235"/>
      <c r="K15" s="235"/>
      <c r="L15" s="235"/>
      <c r="M15" s="235"/>
      <c r="N15" s="235"/>
      <c r="O15" s="249"/>
      <c r="P15" s="249"/>
      <c r="Q15" s="249"/>
    </row>
    <row r="16" spans="2:17" ht="15">
      <c r="B16" s="235" t="s">
        <v>1008</v>
      </c>
      <c r="C16" s="65">
        <v>0</v>
      </c>
      <c r="D16" s="65">
        <v>0</v>
      </c>
      <c r="E16" s="65">
        <v>726532</v>
      </c>
      <c r="F16" s="235"/>
      <c r="G16" s="65">
        <v>111996.16</v>
      </c>
      <c r="H16" s="235"/>
      <c r="I16" s="235"/>
      <c r="J16" s="235"/>
      <c r="K16" s="235"/>
      <c r="L16" s="235"/>
      <c r="M16" s="235"/>
      <c r="N16" s="235"/>
      <c r="O16" s="249"/>
      <c r="P16" s="249"/>
      <c r="Q16" s="249"/>
    </row>
    <row r="17" spans="2:17" ht="15">
      <c r="B17" s="235" t="s">
        <v>1009</v>
      </c>
      <c r="C17" s="65">
        <v>0</v>
      </c>
      <c r="D17" s="65">
        <v>0</v>
      </c>
      <c r="E17" s="65">
        <v>678839</v>
      </c>
      <c r="F17" s="235"/>
      <c r="G17" s="65">
        <v>92989.96</v>
      </c>
      <c r="H17" s="235"/>
      <c r="I17" s="235"/>
      <c r="J17" s="235"/>
      <c r="K17" s="235"/>
      <c r="L17" s="235"/>
      <c r="M17" s="235"/>
      <c r="N17" s="235"/>
      <c r="O17" s="249"/>
      <c r="P17" s="249"/>
      <c r="Q17" s="249"/>
    </row>
    <row r="18" spans="2:17" ht="15">
      <c r="B18" s="235" t="s">
        <v>1010</v>
      </c>
      <c r="C18" s="65">
        <v>0</v>
      </c>
      <c r="D18" s="65">
        <v>0</v>
      </c>
      <c r="E18" s="65">
        <v>527913</v>
      </c>
      <c r="F18" s="235"/>
      <c r="G18" s="65">
        <v>84015.55</v>
      </c>
      <c r="H18" s="235"/>
      <c r="I18" s="235"/>
      <c r="J18" s="235"/>
      <c r="K18" s="235"/>
      <c r="L18" s="235"/>
      <c r="M18" s="235"/>
      <c r="N18" s="235"/>
      <c r="O18" s="249"/>
      <c r="P18" s="249"/>
      <c r="Q18" s="249"/>
    </row>
    <row r="19" spans="2:17" ht="15">
      <c r="B19" s="235" t="s">
        <v>1011</v>
      </c>
      <c r="C19" s="65">
        <v>0</v>
      </c>
      <c r="D19" s="65">
        <v>0</v>
      </c>
      <c r="E19" s="65">
        <v>623936</v>
      </c>
      <c r="F19" s="235"/>
      <c r="G19" s="65">
        <v>92004.75</v>
      </c>
      <c r="H19" s="235"/>
      <c r="I19" s="235"/>
      <c r="J19" s="235"/>
      <c r="K19" s="235"/>
      <c r="L19" s="235"/>
      <c r="M19" s="235"/>
      <c r="N19" s="235"/>
      <c r="O19" s="249"/>
      <c r="P19" s="249"/>
      <c r="Q19" s="249"/>
    </row>
    <row r="20" spans="2:17" s="20" customFormat="1" ht="20.399999999999999" customHeight="1">
      <c r="B20" s="235" t="s">
        <v>1012</v>
      </c>
      <c r="C20" s="259">
        <v>0</v>
      </c>
      <c r="D20" s="259">
        <v>0</v>
      </c>
      <c r="E20" s="259">
        <v>654552</v>
      </c>
      <c r="F20" s="235"/>
      <c r="G20" s="260">
        <v>97969</v>
      </c>
      <c r="H20" s="235"/>
      <c r="I20" s="235"/>
      <c r="J20" s="235"/>
      <c r="K20" s="235"/>
      <c r="L20" s="235"/>
      <c r="M20" s="235"/>
      <c r="N20" s="235"/>
      <c r="O20" s="249"/>
      <c r="P20" s="249"/>
      <c r="Q20" s="249"/>
    </row>
    <row r="21" spans="2:17" ht="15">
      <c r="B21" s="261" t="s">
        <v>1013</v>
      </c>
      <c r="C21" s="65">
        <f>SUM(C9:C20)</f>
        <v>0</v>
      </c>
      <c r="D21" s="65">
        <f>SUM(D9:D20)</f>
        <v>0</v>
      </c>
      <c r="E21" s="65">
        <f>SUM(E9:E20)</f>
        <v>7760776</v>
      </c>
      <c r="F21" s="235"/>
      <c r="G21" s="65">
        <f>SUM(G9:G20)</f>
        <v>1205009.21</v>
      </c>
      <c r="H21" s="235"/>
      <c r="I21" s="235"/>
      <c r="J21" s="235"/>
      <c r="K21" s="235"/>
      <c r="L21" s="235"/>
      <c r="M21" s="235"/>
      <c r="N21" s="235"/>
      <c r="O21" s="249"/>
      <c r="P21" s="249"/>
      <c r="Q21" s="249"/>
    </row>
    <row r="22" spans="2:17" ht="15">
      <c r="B22" s="235"/>
      <c r="C22" s="235"/>
      <c r="D22" s="235"/>
      <c r="E22" s="235"/>
      <c r="F22" s="235"/>
      <c r="G22" s="65"/>
      <c r="H22" s="235"/>
      <c r="I22" s="235"/>
      <c r="J22" s="235"/>
      <c r="K22" s="235"/>
      <c r="L22" s="235"/>
      <c r="M22" s="235"/>
      <c r="N22" s="235"/>
      <c r="O22" s="249"/>
      <c r="P22" s="249"/>
      <c r="Q22" s="249"/>
    </row>
    <row r="23" spans="2:17" ht="15">
      <c r="B23" s="235" t="s">
        <v>1014</v>
      </c>
      <c r="C23" s="262">
        <f>C21/12</f>
        <v>0</v>
      </c>
      <c r="D23" s="262">
        <f>D21/12</f>
        <v>0</v>
      </c>
      <c r="E23" s="262">
        <f>E21/12</f>
        <v>646731.33333333337</v>
      </c>
      <c r="F23" s="235"/>
      <c r="G23" s="263">
        <f>G21/12</f>
        <v>100417.43416666666</v>
      </c>
      <c r="H23" s="235" t="s">
        <v>1015</v>
      </c>
      <c r="I23" s="235"/>
      <c r="J23" s="235"/>
      <c r="K23" s="235"/>
      <c r="L23" s="235"/>
      <c r="M23" s="235"/>
      <c r="N23" s="235"/>
      <c r="O23" s="249"/>
      <c r="P23" s="249"/>
      <c r="Q23" s="249"/>
    </row>
    <row r="24" spans="2:17" ht="15">
      <c r="B24" s="235"/>
      <c r="C24" s="235"/>
      <c r="D24" s="235"/>
      <c r="E24" s="235"/>
      <c r="F24" s="235"/>
      <c r="G24" s="264"/>
      <c r="H24" s="235"/>
      <c r="I24" s="235"/>
      <c r="J24" s="235"/>
      <c r="K24" s="235"/>
      <c r="L24" s="235"/>
      <c r="M24" s="235"/>
      <c r="N24" s="235"/>
      <c r="O24" s="249"/>
      <c r="P24" s="249"/>
      <c r="Q24" s="249"/>
    </row>
    <row r="25" spans="2:17" ht="15">
      <c r="B25" s="235" t="s">
        <v>1092</v>
      </c>
      <c r="C25" s="235"/>
      <c r="D25" s="235"/>
      <c r="E25" s="235"/>
      <c r="F25" s="235"/>
      <c r="G25" s="264"/>
      <c r="H25" s="235"/>
      <c r="I25" s="235"/>
      <c r="J25" s="235"/>
      <c r="K25" s="235"/>
      <c r="L25" s="235"/>
      <c r="M25" s="235"/>
      <c r="N25" s="235"/>
      <c r="O25" s="249"/>
      <c r="P25" s="249"/>
      <c r="Q25" s="249"/>
    </row>
    <row r="26" spans="2:17" ht="15">
      <c r="B26" s="235" t="s">
        <v>1016</v>
      </c>
      <c r="C26" s="235"/>
      <c r="D26" s="235"/>
      <c r="E26" s="235"/>
      <c r="F26" s="235"/>
      <c r="G26" s="235"/>
      <c r="H26" s="235"/>
      <c r="I26" s="235"/>
      <c r="J26" s="235"/>
      <c r="K26" s="235"/>
      <c r="L26" s="235"/>
      <c r="M26" s="235"/>
      <c r="N26" s="235"/>
      <c r="O26" s="249"/>
      <c r="P26" s="249"/>
      <c r="Q26" s="249"/>
    </row>
    <row r="27" spans="2:17" ht="15">
      <c r="B27" s="235"/>
      <c r="C27" s="235"/>
      <c r="D27" s="235"/>
      <c r="E27" s="235"/>
      <c r="F27" s="235"/>
      <c r="G27" s="235"/>
      <c r="H27" s="235"/>
      <c r="I27" s="235"/>
      <c r="J27" s="235"/>
      <c r="K27" s="235"/>
      <c r="L27" s="235"/>
      <c r="M27" s="235"/>
      <c r="N27" s="235"/>
      <c r="O27" s="249"/>
      <c r="P27" s="249"/>
      <c r="Q27" s="249"/>
    </row>
    <row r="28" spans="2:17" ht="15">
      <c r="B28" s="235" t="s">
        <v>1022</v>
      </c>
      <c r="C28" s="235"/>
      <c r="D28" s="235"/>
      <c r="E28" s="235"/>
      <c r="F28" s="235"/>
      <c r="G28" s="235"/>
      <c r="H28" s="235"/>
      <c r="I28" s="235"/>
      <c r="J28" s="235"/>
      <c r="K28" s="235"/>
      <c r="L28" s="235"/>
      <c r="M28" s="235"/>
      <c r="N28" s="235"/>
      <c r="O28" s="249"/>
      <c r="P28" s="249"/>
      <c r="Q28" s="249"/>
    </row>
    <row r="29" spans="2:17" ht="15">
      <c r="B29" s="235" t="s">
        <v>1017</v>
      </c>
      <c r="C29" s="235"/>
      <c r="D29" s="235"/>
      <c r="E29" s="235"/>
      <c r="F29" s="235"/>
      <c r="G29" s="235"/>
      <c r="H29" s="235"/>
      <c r="I29" s="235"/>
      <c r="J29" s="235"/>
      <c r="K29" s="235"/>
      <c r="L29" s="235"/>
      <c r="M29" s="235"/>
      <c r="N29" s="235"/>
      <c r="O29" s="249"/>
      <c r="P29" s="249"/>
      <c r="Q29" s="249"/>
    </row>
    <row r="30" spans="2:17" ht="15">
      <c r="B30" s="235"/>
      <c r="C30" s="235"/>
      <c r="D30" s="235"/>
      <c r="E30" s="235"/>
      <c r="F30" s="235"/>
      <c r="G30" s="235"/>
      <c r="H30" s="235"/>
      <c r="I30" s="235"/>
      <c r="J30" s="235"/>
      <c r="K30" s="235"/>
      <c r="L30" s="235"/>
      <c r="M30" s="235"/>
      <c r="N30" s="235"/>
      <c r="O30" s="249"/>
      <c r="P30" s="249"/>
      <c r="Q30" s="249"/>
    </row>
    <row r="31" spans="2:17" ht="15.6">
      <c r="B31" s="235"/>
      <c r="C31" s="265" t="s">
        <v>1001</v>
      </c>
      <c r="D31" s="265" t="s">
        <v>1002</v>
      </c>
      <c r="E31" s="265" t="s">
        <v>1003</v>
      </c>
      <c r="F31" s="265" t="s">
        <v>1004</v>
      </c>
      <c r="G31" s="265" t="s">
        <v>1005</v>
      </c>
      <c r="H31" s="265" t="s">
        <v>1018</v>
      </c>
      <c r="I31" s="265" t="s">
        <v>1007</v>
      </c>
      <c r="J31" s="265" t="s">
        <v>1008</v>
      </c>
      <c r="K31" s="265" t="s">
        <v>1009</v>
      </c>
      <c r="L31" s="265" t="s">
        <v>1010</v>
      </c>
      <c r="M31" s="265" t="s">
        <v>1011</v>
      </c>
      <c r="N31" s="265" t="s">
        <v>1012</v>
      </c>
      <c r="O31" s="251" t="s">
        <v>9</v>
      </c>
      <c r="P31" s="251" t="s">
        <v>1014</v>
      </c>
      <c r="Q31" s="249"/>
    </row>
    <row r="32" spans="2:17" ht="15">
      <c r="B32" s="235"/>
      <c r="C32" s="235"/>
      <c r="D32" s="235"/>
      <c r="E32" s="235"/>
      <c r="F32" s="235"/>
      <c r="G32" s="235"/>
      <c r="H32" s="235"/>
      <c r="I32" s="235"/>
      <c r="J32" s="235"/>
      <c r="K32" s="235"/>
      <c r="L32" s="235"/>
      <c r="M32" s="235"/>
      <c r="N32" s="235"/>
      <c r="O32" s="249"/>
      <c r="P32" s="249"/>
      <c r="Q32" s="249"/>
    </row>
    <row r="33" spans="2:17" ht="15">
      <c r="B33" s="235" t="s">
        <v>1019</v>
      </c>
      <c r="C33" s="65"/>
      <c r="D33" s="65"/>
      <c r="E33" s="65"/>
      <c r="F33" s="65"/>
      <c r="G33" s="65"/>
      <c r="H33" s="65"/>
      <c r="I33" s="65"/>
      <c r="J33" s="65"/>
      <c r="K33" s="65"/>
      <c r="L33" s="65"/>
      <c r="M33" s="65"/>
      <c r="N33" s="65"/>
      <c r="O33" s="253"/>
      <c r="P33" s="253"/>
      <c r="Q33" s="249"/>
    </row>
    <row r="34" spans="2:17" ht="15">
      <c r="B34" s="261" t="s">
        <v>1020</v>
      </c>
      <c r="C34" s="65"/>
      <c r="D34" s="65"/>
      <c r="E34" s="65"/>
      <c r="F34" s="65"/>
      <c r="G34" s="65"/>
      <c r="H34" s="65"/>
      <c r="I34" s="65"/>
      <c r="J34" s="65"/>
      <c r="K34" s="65"/>
      <c r="L34" s="65"/>
      <c r="M34" s="65"/>
      <c r="N34" s="65"/>
      <c r="O34" s="253">
        <f>SUM(C34:N34)</f>
        <v>0</v>
      </c>
      <c r="P34" s="253">
        <f>O34/12</f>
        <v>0</v>
      </c>
      <c r="Q34" s="249"/>
    </row>
    <row r="35" spans="2:17" ht="15">
      <c r="B35" s="261" t="s">
        <v>1021</v>
      </c>
      <c r="C35" s="65"/>
      <c r="D35" s="65"/>
      <c r="E35" s="65"/>
      <c r="F35" s="65"/>
      <c r="G35" s="65"/>
      <c r="H35" s="65"/>
      <c r="I35" s="65"/>
      <c r="J35" s="65"/>
      <c r="K35" s="65"/>
      <c r="L35" s="65"/>
      <c r="M35" s="65"/>
      <c r="N35" s="65"/>
      <c r="O35" s="253">
        <f>SUM(C35:N35)</f>
        <v>0</v>
      </c>
      <c r="P35" s="253">
        <f>O35/12</f>
        <v>0</v>
      </c>
      <c r="Q35" s="249"/>
    </row>
    <row r="36" spans="2:17" ht="15">
      <c r="B36" s="235"/>
      <c r="C36" s="65"/>
      <c r="D36" s="65"/>
      <c r="E36" s="65"/>
      <c r="F36" s="65"/>
      <c r="G36" s="65"/>
      <c r="H36" s="65"/>
      <c r="I36" s="65"/>
      <c r="J36" s="65"/>
      <c r="K36" s="65"/>
      <c r="L36" s="65"/>
      <c r="M36" s="65"/>
      <c r="N36" s="65"/>
      <c r="O36" s="253"/>
      <c r="P36" s="253"/>
      <c r="Q36" s="249"/>
    </row>
    <row r="37" spans="2:17" ht="15">
      <c r="B37" s="235" t="s">
        <v>1019</v>
      </c>
      <c r="C37" s="65"/>
      <c r="D37" s="65"/>
      <c r="E37" s="65"/>
      <c r="F37" s="65"/>
      <c r="G37" s="65"/>
      <c r="H37" s="65"/>
      <c r="I37" s="65"/>
      <c r="J37" s="65"/>
      <c r="K37" s="65"/>
      <c r="L37" s="65"/>
      <c r="M37" s="65"/>
      <c r="N37" s="65"/>
      <c r="O37" s="253"/>
      <c r="P37" s="253"/>
      <c r="Q37" s="249"/>
    </row>
    <row r="38" spans="2:17" ht="15">
      <c r="B38" s="261" t="s">
        <v>1020</v>
      </c>
      <c r="C38" s="65"/>
      <c r="D38" s="65"/>
      <c r="E38" s="65"/>
      <c r="F38" s="65"/>
      <c r="G38" s="65"/>
      <c r="H38" s="65"/>
      <c r="I38" s="65"/>
      <c r="J38" s="65"/>
      <c r="K38" s="65"/>
      <c r="L38" s="65"/>
      <c r="M38" s="65"/>
      <c r="N38" s="65"/>
      <c r="O38" s="253">
        <f>SUM(C38:N38)</f>
        <v>0</v>
      </c>
      <c r="P38" s="253">
        <f>O38/12</f>
        <v>0</v>
      </c>
      <c r="Q38" s="249"/>
    </row>
    <row r="39" spans="2:17" ht="15">
      <c r="B39" s="261" t="s">
        <v>1021</v>
      </c>
      <c r="C39" s="65"/>
      <c r="D39" s="65"/>
      <c r="E39" s="65"/>
      <c r="F39" s="65"/>
      <c r="G39" s="65"/>
      <c r="H39" s="65"/>
      <c r="I39" s="65"/>
      <c r="J39" s="65"/>
      <c r="K39" s="65"/>
      <c r="L39" s="65"/>
      <c r="M39" s="65"/>
      <c r="N39" s="65"/>
      <c r="O39" s="253">
        <f>SUM(C39:N39)</f>
        <v>0</v>
      </c>
      <c r="P39" s="253">
        <f>O39/12</f>
        <v>0</v>
      </c>
      <c r="Q39" s="249"/>
    </row>
    <row r="40" spans="2:17" ht="15">
      <c r="B40" s="235"/>
      <c r="C40" s="65"/>
      <c r="D40" s="65"/>
      <c r="E40" s="65"/>
      <c r="F40" s="65"/>
      <c r="G40" s="65"/>
      <c r="H40" s="65"/>
      <c r="I40" s="65"/>
      <c r="J40" s="65"/>
      <c r="K40" s="65"/>
      <c r="L40" s="65"/>
      <c r="M40" s="65"/>
      <c r="N40" s="65"/>
      <c r="O40" s="253"/>
      <c r="P40" s="253"/>
      <c r="Q40" s="249"/>
    </row>
    <row r="41" spans="2:17" ht="15">
      <c r="B41" s="235" t="s">
        <v>1019</v>
      </c>
      <c r="C41" s="65"/>
      <c r="D41" s="65"/>
      <c r="E41" s="65"/>
      <c r="F41" s="65"/>
      <c r="G41" s="65"/>
      <c r="H41" s="65"/>
      <c r="I41" s="65"/>
      <c r="J41" s="65"/>
      <c r="K41" s="65"/>
      <c r="L41" s="65"/>
      <c r="M41" s="65"/>
      <c r="N41" s="65"/>
      <c r="O41" s="253"/>
      <c r="P41" s="253"/>
      <c r="Q41" s="249"/>
    </row>
    <row r="42" spans="2:17" ht="15">
      <c r="B42" s="261" t="s">
        <v>1020</v>
      </c>
      <c r="C42" s="65"/>
      <c r="D42" s="65"/>
      <c r="E42" s="65"/>
      <c r="F42" s="65"/>
      <c r="G42" s="65"/>
      <c r="H42" s="65"/>
      <c r="I42" s="65"/>
      <c r="J42" s="65"/>
      <c r="K42" s="65"/>
      <c r="L42" s="65"/>
      <c r="M42" s="65"/>
      <c r="N42" s="65"/>
      <c r="O42" s="253">
        <f>SUM(C42:N42)</f>
        <v>0</v>
      </c>
      <c r="P42" s="253">
        <f>O42/12</f>
        <v>0</v>
      </c>
      <c r="Q42" s="249"/>
    </row>
    <row r="43" spans="2:17" ht="15">
      <c r="B43" s="261" t="s">
        <v>1021</v>
      </c>
      <c r="C43" s="65"/>
      <c r="D43" s="65"/>
      <c r="E43" s="65"/>
      <c r="F43" s="65"/>
      <c r="G43" s="65"/>
      <c r="H43" s="65"/>
      <c r="I43" s="65"/>
      <c r="J43" s="65"/>
      <c r="K43" s="65"/>
      <c r="L43" s="65"/>
      <c r="M43" s="65"/>
      <c r="N43" s="65"/>
      <c r="O43" s="253">
        <f>SUM(C43:N43)</f>
        <v>0</v>
      </c>
      <c r="P43" s="253">
        <f>O43/12</f>
        <v>0</v>
      </c>
      <c r="Q43" s="249"/>
    </row>
    <row r="44" spans="2:17" ht="15">
      <c r="B44" s="235"/>
      <c r="C44" s="65"/>
      <c r="D44" s="65"/>
      <c r="E44" s="65"/>
      <c r="F44" s="65"/>
      <c r="G44" s="65"/>
      <c r="H44" s="65"/>
      <c r="I44" s="65"/>
      <c r="J44" s="65"/>
      <c r="K44" s="65"/>
      <c r="L44" s="65"/>
      <c r="M44" s="65"/>
      <c r="N44" s="65"/>
      <c r="O44" s="253"/>
      <c r="P44" s="253"/>
      <c r="Q44" s="249"/>
    </row>
    <row r="45" spans="2:17" ht="15">
      <c r="B45" s="235"/>
      <c r="C45" s="235"/>
      <c r="D45" s="235"/>
      <c r="E45" s="235"/>
      <c r="F45" s="235"/>
      <c r="G45" s="235"/>
      <c r="H45" s="235"/>
      <c r="I45" s="235"/>
      <c r="J45" s="235"/>
      <c r="K45" s="235"/>
      <c r="L45" s="235"/>
      <c r="M45" s="235"/>
      <c r="N45" s="235"/>
      <c r="O45" s="249"/>
      <c r="P45" s="249"/>
      <c r="Q45" s="249"/>
    </row>
  </sheetData>
  <printOptions horizontalCentered="1"/>
  <pageMargins left="0.25" right="0.25" top="0.54" bottom="0.5" header="0.5" footer="0.5"/>
  <pageSetup scale="8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showGridLines="0" topLeftCell="A10" workbookViewId="0">
      <selection activeCell="E21" sqref="E21:H21"/>
    </sheetView>
  </sheetViews>
  <sheetFormatPr defaultColWidth="6.90625" defaultRowHeight="13.2"/>
  <cols>
    <col min="1" max="1" width="6.90625" style="20" customWidth="1"/>
    <col min="2" max="2" width="10.81640625" style="20" customWidth="1"/>
    <col min="3" max="3" width="19.1796875" style="22" customWidth="1"/>
    <col min="4" max="4" width="24.6328125" style="22" customWidth="1"/>
    <col min="5" max="6" width="14.81640625" style="20" customWidth="1"/>
    <col min="7" max="8" width="14.08984375" style="20" bestFit="1" customWidth="1"/>
    <col min="9" max="16384" width="6.90625" style="20"/>
  </cols>
  <sheetData>
    <row r="1" spans="1:8" ht="15.6">
      <c r="E1" s="1"/>
    </row>
    <row r="2" spans="1:8" ht="15.6">
      <c r="E2" s="10"/>
    </row>
    <row r="3" spans="1:8" ht="25.95" customHeight="1">
      <c r="B3" s="21" t="s">
        <v>1035</v>
      </c>
    </row>
    <row r="4" spans="1:8" ht="13.8" thickBot="1"/>
    <row r="5" spans="1:8" ht="79.8" thickBot="1">
      <c r="B5" s="24" t="s">
        <v>273</v>
      </c>
      <c r="C5" s="25" t="s">
        <v>274</v>
      </c>
      <c r="D5" s="25" t="s">
        <v>275</v>
      </c>
      <c r="E5" s="26" t="s">
        <v>1249</v>
      </c>
      <c r="F5" s="26" t="s">
        <v>1287</v>
      </c>
      <c r="G5" s="26" t="s">
        <v>1288</v>
      </c>
      <c r="H5" s="26" t="s">
        <v>1289</v>
      </c>
    </row>
    <row r="6" spans="1:8" ht="79.8" thickBot="1">
      <c r="A6" s="27">
        <v>1</v>
      </c>
      <c r="B6" s="28" t="s">
        <v>277</v>
      </c>
      <c r="C6" s="29" t="s">
        <v>278</v>
      </c>
      <c r="D6" s="29" t="s">
        <v>279</v>
      </c>
      <c r="E6" s="246">
        <v>5427901</v>
      </c>
      <c r="F6" s="246"/>
      <c r="G6" s="246">
        <f t="shared" ref="G6:G16" si="0">E6</f>
        <v>5427901</v>
      </c>
      <c r="H6" s="246">
        <f>G6</f>
        <v>5427901</v>
      </c>
    </row>
    <row r="7" spans="1:8" ht="63.6" customHeight="1" thickBot="1">
      <c r="A7" s="27">
        <f t="shared" ref="A7:A17" si="1">A6+1</f>
        <v>2</v>
      </c>
      <c r="B7" s="28" t="s">
        <v>280</v>
      </c>
      <c r="C7" s="29" t="s">
        <v>281</v>
      </c>
      <c r="D7" s="29" t="s">
        <v>282</v>
      </c>
      <c r="E7" s="246">
        <v>4629111.5</v>
      </c>
      <c r="F7" s="246"/>
      <c r="G7" s="246">
        <f t="shared" si="0"/>
        <v>4629111.5</v>
      </c>
      <c r="H7" s="246">
        <f t="shared" ref="H7:H16" si="2">G7</f>
        <v>4629111.5</v>
      </c>
    </row>
    <row r="8" spans="1:8" ht="63.6" customHeight="1" thickBot="1">
      <c r="A8" s="27">
        <f t="shared" si="1"/>
        <v>3</v>
      </c>
      <c r="B8" s="364" t="s">
        <v>1256</v>
      </c>
      <c r="C8" s="365" t="s">
        <v>1257</v>
      </c>
      <c r="D8" s="29" t="s">
        <v>1258</v>
      </c>
      <c r="E8" s="246">
        <v>4225184.76</v>
      </c>
      <c r="F8" s="246"/>
      <c r="G8" s="246">
        <f t="shared" ref="G8" si="3">E8</f>
        <v>4225184.76</v>
      </c>
      <c r="H8" s="246">
        <f t="shared" ref="H8" si="4">G8</f>
        <v>4225184.76</v>
      </c>
    </row>
    <row r="9" spans="1:8" ht="63.6" customHeight="1" thickBot="1">
      <c r="A9" s="27">
        <f t="shared" si="1"/>
        <v>4</v>
      </c>
      <c r="B9" s="364" t="s">
        <v>1253</v>
      </c>
      <c r="C9" s="365" t="s">
        <v>1254</v>
      </c>
      <c r="D9" s="29" t="s">
        <v>1255</v>
      </c>
      <c r="E9" s="246">
        <v>649481.66</v>
      </c>
      <c r="F9" s="246"/>
      <c r="G9" s="246">
        <f t="shared" si="0"/>
        <v>649481.66</v>
      </c>
      <c r="H9" s="246">
        <f t="shared" si="2"/>
        <v>649481.66</v>
      </c>
    </row>
    <row r="10" spans="1:8" ht="63.6" customHeight="1" thickBot="1">
      <c r="A10" s="27">
        <f t="shared" si="1"/>
        <v>5</v>
      </c>
      <c r="B10" s="28" t="s">
        <v>283</v>
      </c>
      <c r="C10" s="31" t="s">
        <v>284</v>
      </c>
      <c r="D10" s="31" t="s">
        <v>285</v>
      </c>
      <c r="E10" s="246">
        <v>73583.899999999994</v>
      </c>
      <c r="F10" s="246"/>
      <c r="G10" s="246">
        <f t="shared" si="0"/>
        <v>73583.899999999994</v>
      </c>
      <c r="H10" s="246">
        <f t="shared" si="2"/>
        <v>73583.899999999994</v>
      </c>
    </row>
    <row r="11" spans="1:8" ht="27" thickBot="1">
      <c r="A11" s="27">
        <f t="shared" si="1"/>
        <v>6</v>
      </c>
      <c r="B11" s="28" t="s">
        <v>286</v>
      </c>
      <c r="C11" s="29" t="s">
        <v>287</v>
      </c>
      <c r="D11" s="29" t="s">
        <v>688</v>
      </c>
      <c r="E11" s="246">
        <v>0</v>
      </c>
      <c r="F11" s="246"/>
      <c r="G11" s="246">
        <f t="shared" si="0"/>
        <v>0</v>
      </c>
      <c r="H11" s="246"/>
    </row>
    <row r="12" spans="1:8" ht="66.599999999999994" thickBot="1">
      <c r="A12" s="27">
        <f t="shared" si="1"/>
        <v>7</v>
      </c>
      <c r="B12" s="28" t="s">
        <v>288</v>
      </c>
      <c r="C12" s="29" t="s">
        <v>289</v>
      </c>
      <c r="D12" s="29" t="s">
        <v>1036</v>
      </c>
      <c r="E12" s="246">
        <v>-13571.28</v>
      </c>
      <c r="F12" s="246"/>
      <c r="G12" s="246">
        <f t="shared" si="0"/>
        <v>-13571.28</v>
      </c>
      <c r="H12" s="246">
        <f t="shared" si="2"/>
        <v>-13571.28</v>
      </c>
    </row>
    <row r="13" spans="1:8" ht="27" thickBot="1">
      <c r="A13" s="27">
        <f t="shared" si="1"/>
        <v>8</v>
      </c>
      <c r="B13" s="28" t="s">
        <v>290</v>
      </c>
      <c r="C13" s="31" t="s">
        <v>291</v>
      </c>
      <c r="D13" s="31" t="s">
        <v>292</v>
      </c>
      <c r="E13" s="246">
        <v>2221758</v>
      </c>
      <c r="F13" s="246"/>
      <c r="G13" s="246">
        <f t="shared" si="0"/>
        <v>2221758</v>
      </c>
      <c r="H13" s="246">
        <f t="shared" si="2"/>
        <v>2221758</v>
      </c>
    </row>
    <row r="14" spans="1:8" ht="27" thickBot="1">
      <c r="A14" s="27">
        <f t="shared" si="1"/>
        <v>9</v>
      </c>
      <c r="B14" s="364" t="s">
        <v>1268</v>
      </c>
      <c r="C14" s="365" t="s">
        <v>1266</v>
      </c>
      <c r="D14" s="365" t="s">
        <v>1267</v>
      </c>
      <c r="E14" s="246">
        <f>51717+74884</f>
        <v>126601</v>
      </c>
      <c r="F14" s="246">
        <f>E14</f>
        <v>126601</v>
      </c>
      <c r="G14" s="246"/>
      <c r="H14" s="246"/>
    </row>
    <row r="15" spans="1:8" ht="40.200000000000003" thickBot="1">
      <c r="A15" s="27">
        <f t="shared" si="1"/>
        <v>10</v>
      </c>
      <c r="B15" s="364" t="s">
        <v>1269</v>
      </c>
      <c r="C15" s="365" t="s">
        <v>1270</v>
      </c>
      <c r="D15" s="365" t="s">
        <v>1271</v>
      </c>
      <c r="E15" s="246">
        <f>505084+387276</f>
        <v>892360</v>
      </c>
      <c r="F15" s="246">
        <f>E15</f>
        <v>892360</v>
      </c>
      <c r="G15" s="246"/>
      <c r="H15" s="246"/>
    </row>
    <row r="16" spans="1:8" ht="27" thickBot="1">
      <c r="A16" s="27">
        <f t="shared" si="1"/>
        <v>11</v>
      </c>
      <c r="B16" s="364" t="s">
        <v>1073</v>
      </c>
      <c r="C16" s="29" t="s">
        <v>1074</v>
      </c>
      <c r="D16" s="365" t="s">
        <v>1075</v>
      </c>
      <c r="E16" s="246">
        <v>136387.29</v>
      </c>
      <c r="F16" s="246">
        <f>E16</f>
        <v>136387.29</v>
      </c>
      <c r="G16" s="246">
        <f t="shared" si="0"/>
        <v>136387.29</v>
      </c>
      <c r="H16" s="246">
        <f t="shared" si="2"/>
        <v>136387.29</v>
      </c>
    </row>
    <row r="17" spans="1:8" ht="31.2" customHeight="1" thickBot="1">
      <c r="A17" s="27">
        <f t="shared" si="1"/>
        <v>12</v>
      </c>
      <c r="B17" s="245" t="s">
        <v>690</v>
      </c>
      <c r="C17" s="33"/>
      <c r="D17" s="34"/>
      <c r="E17" s="247">
        <f>SUM(E6:E16)</f>
        <v>18368797.829999998</v>
      </c>
      <c r="F17" s="247">
        <f>SUM(F6:F16)</f>
        <v>1155348.29</v>
      </c>
      <c r="G17" s="247">
        <f>SUM(G6:G16)</f>
        <v>17349836.829999998</v>
      </c>
      <c r="H17" s="247">
        <f>SUM(H6:H16)</f>
        <v>17349836.829999998</v>
      </c>
    </row>
    <row r="18" spans="1:8" ht="22.8">
      <c r="B18" s="555" t="s">
        <v>1286</v>
      </c>
      <c r="C18" s="595" t="str">
        <f>C16</f>
        <v>Rent- Electric Property- MBPP</v>
      </c>
      <c r="E18" s="593">
        <f>-E16</f>
        <v>-136387.29</v>
      </c>
      <c r="F18" s="594"/>
      <c r="G18" s="556">
        <f>E18</f>
        <v>-136387.29</v>
      </c>
      <c r="H18" s="572">
        <f t="shared" ref="H18" si="5">G18</f>
        <v>-136387.29</v>
      </c>
    </row>
    <row r="19" spans="1:8" ht="15">
      <c r="B19" s="27" t="s">
        <v>1261</v>
      </c>
      <c r="C19" s="22" t="s">
        <v>1259</v>
      </c>
      <c r="E19" s="556">
        <v>2973678</v>
      </c>
      <c r="F19" s="36"/>
      <c r="G19" s="556">
        <f>E19</f>
        <v>2973678</v>
      </c>
      <c r="H19" s="572"/>
    </row>
    <row r="20" spans="1:8" ht="16.8">
      <c r="B20" s="555" t="s">
        <v>1262</v>
      </c>
      <c r="C20" s="22" t="s">
        <v>1260</v>
      </c>
      <c r="E20" s="570">
        <v>480108</v>
      </c>
      <c r="F20" s="596"/>
      <c r="G20" s="571">
        <f>E20</f>
        <v>480108</v>
      </c>
      <c r="H20" s="573"/>
    </row>
    <row r="21" spans="1:8" ht="15.6">
      <c r="B21" s="27"/>
      <c r="D21" s="243"/>
      <c r="E21" s="569">
        <f>SUM(E17:E20)</f>
        <v>21686196.539999999</v>
      </c>
      <c r="F21" s="569">
        <f t="shared" ref="F21:H21" si="6">SUM(F17:F20)</f>
        <v>1155348.29</v>
      </c>
      <c r="G21" s="569">
        <f t="shared" si="6"/>
        <v>20667235.539999999</v>
      </c>
      <c r="H21" s="569">
        <f t="shared" si="6"/>
        <v>17213449.539999999</v>
      </c>
    </row>
    <row r="22" spans="1:8" ht="15">
      <c r="B22" s="27"/>
      <c r="D22" s="243"/>
      <c r="E22" s="591"/>
      <c r="F22" s="36"/>
      <c r="G22" s="36"/>
      <c r="H22" s="36"/>
    </row>
    <row r="23" spans="1:8" ht="15">
      <c r="B23" s="27"/>
      <c r="D23" s="243"/>
      <c r="E23" s="36"/>
      <c r="F23" s="36"/>
      <c r="G23" s="36"/>
      <c r="H23" s="36"/>
    </row>
    <row r="24" spans="1:8" ht="15">
      <c r="B24" s="27"/>
      <c r="D24" s="243"/>
      <c r="E24" s="36"/>
      <c r="F24" s="36"/>
      <c r="G24" s="36"/>
      <c r="H24" s="36"/>
    </row>
    <row r="25" spans="1:8" ht="15">
      <c r="B25" s="27"/>
      <c r="D25" s="243"/>
      <c r="E25" s="36"/>
      <c r="F25" s="36"/>
      <c r="G25" s="36"/>
      <c r="H25" s="36"/>
    </row>
    <row r="26" spans="1:8" ht="15">
      <c r="B26" s="27"/>
      <c r="D26" s="243"/>
      <c r="E26" s="36"/>
      <c r="F26" s="36"/>
      <c r="G26" s="36"/>
      <c r="H26" s="36"/>
    </row>
    <row r="27" spans="1:8" ht="15">
      <c r="B27" s="27"/>
      <c r="D27" s="243"/>
      <c r="E27" s="36"/>
      <c r="F27" s="36"/>
      <c r="G27" s="36"/>
      <c r="H27" s="36"/>
    </row>
    <row r="28" spans="1:8" ht="15">
      <c r="B28" s="27"/>
      <c r="E28" s="36"/>
      <c r="F28" s="36"/>
      <c r="G28" s="36"/>
      <c r="H28" s="36"/>
    </row>
    <row r="29" spans="1:8" ht="15">
      <c r="B29" s="27"/>
      <c r="E29" s="36"/>
      <c r="F29" s="36"/>
      <c r="G29" s="36"/>
      <c r="H29" s="36"/>
    </row>
    <row r="30" spans="1:8" ht="15">
      <c r="B30" s="27"/>
      <c r="E30" s="36"/>
      <c r="F30" s="36"/>
      <c r="G30" s="36"/>
      <c r="H30" s="36"/>
    </row>
    <row r="31" spans="1:8" ht="15">
      <c r="E31" s="36"/>
      <c r="F31" s="36"/>
      <c r="G31" s="36"/>
      <c r="H31" s="36"/>
    </row>
    <row r="32" spans="1:8" ht="15">
      <c r="E32" s="36"/>
      <c r="F32" s="36"/>
      <c r="G32" s="36"/>
      <c r="H32" s="36"/>
    </row>
    <row r="33" spans="5:8" ht="15">
      <c r="E33" s="36"/>
      <c r="F33" s="36"/>
      <c r="G33" s="36"/>
      <c r="H33" s="36"/>
    </row>
    <row r="34" spans="5:8" ht="15">
      <c r="E34" s="36"/>
      <c r="F34" s="36"/>
      <c r="G34" s="36"/>
      <c r="H34" s="36"/>
    </row>
  </sheetData>
  <pageMargins left="0.75" right="0.75" top="1" bottom="1" header="0.5" footer="0.5"/>
  <pageSetup scale="83"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showGridLines="0" topLeftCell="A13" workbookViewId="0">
      <selection activeCell="B43" sqref="B43"/>
    </sheetView>
  </sheetViews>
  <sheetFormatPr defaultColWidth="6.90625" defaultRowHeight="13.2"/>
  <cols>
    <col min="1" max="1" width="4.81640625" style="20" bestFit="1" customWidth="1"/>
    <col min="2" max="2" width="21.54296875" style="20" customWidth="1"/>
    <col min="3" max="3" width="16.81640625" style="22" customWidth="1"/>
    <col min="4" max="4" width="24.6328125" style="22" customWidth="1"/>
    <col min="5" max="5" width="14.81640625" style="20" customWidth="1"/>
    <col min="6" max="7" width="19" style="23" customWidth="1"/>
    <col min="8" max="16384" width="6.90625" style="20"/>
  </cols>
  <sheetData>
    <row r="3" spans="1:7" ht="25.95" customHeight="1">
      <c r="B3" s="21" t="s">
        <v>295</v>
      </c>
    </row>
    <row r="4" spans="1:7" ht="13.8" thickBot="1"/>
    <row r="5" spans="1:7" ht="33" customHeight="1" thickBot="1">
      <c r="B5" s="24" t="s">
        <v>273</v>
      </c>
      <c r="C5" s="25" t="s">
        <v>274</v>
      </c>
      <c r="D5" s="25" t="s">
        <v>275</v>
      </c>
      <c r="E5" s="26" t="str">
        <f>'AC 454_456'!E5</f>
        <v>Total Account  Balance</v>
      </c>
      <c r="F5" s="26" t="s">
        <v>296</v>
      </c>
      <c r="G5" s="26" t="s">
        <v>276</v>
      </c>
    </row>
    <row r="6" spans="1:7" ht="79.8" thickBot="1">
      <c r="A6" s="27">
        <v>1</v>
      </c>
      <c r="B6" s="28" t="s">
        <v>297</v>
      </c>
      <c r="C6" s="29" t="s">
        <v>298</v>
      </c>
      <c r="D6" s="29" t="s">
        <v>299</v>
      </c>
      <c r="E6" s="39">
        <v>10635796</v>
      </c>
      <c r="F6" s="30" t="s">
        <v>300</v>
      </c>
      <c r="G6" s="30" t="s">
        <v>301</v>
      </c>
    </row>
    <row r="7" spans="1:7" ht="27" thickBot="1">
      <c r="A7" s="27">
        <f>A6+1</f>
        <v>2</v>
      </c>
      <c r="B7" s="364" t="s">
        <v>1076</v>
      </c>
      <c r="C7" s="365" t="s">
        <v>1077</v>
      </c>
      <c r="D7" s="365" t="s">
        <v>1078</v>
      </c>
      <c r="E7" s="39"/>
      <c r="F7" s="30" t="str">
        <f>D7</f>
        <v xml:space="preserve">Other Transmission wheeling expense </v>
      </c>
      <c r="G7" s="30" t="s">
        <v>301</v>
      </c>
    </row>
    <row r="8" spans="1:7" ht="40.200000000000003" thickBot="1">
      <c r="A8" s="27">
        <f t="shared" ref="A8:A16" si="0">A7+1</f>
        <v>3</v>
      </c>
      <c r="B8" s="364" t="s">
        <v>1097</v>
      </c>
      <c r="C8" s="365" t="s">
        <v>1098</v>
      </c>
      <c r="D8" s="365" t="s">
        <v>1099</v>
      </c>
      <c r="E8" s="39">
        <v>4989153</v>
      </c>
      <c r="F8" s="30" t="str">
        <f>D8</f>
        <v>Transmission expense for Xcel wheeling for Xcel Group</v>
      </c>
      <c r="G8" s="30" t="s">
        <v>301</v>
      </c>
    </row>
    <row r="9" spans="1:7" ht="40.200000000000003" thickBot="1">
      <c r="A9" s="27">
        <f t="shared" si="0"/>
        <v>4</v>
      </c>
      <c r="B9" s="28" t="s">
        <v>302</v>
      </c>
      <c r="C9" s="31" t="s">
        <v>303</v>
      </c>
      <c r="D9" s="40" t="s">
        <v>304</v>
      </c>
      <c r="E9" s="41">
        <v>-383940</v>
      </c>
      <c r="F9" s="32" t="s">
        <v>305</v>
      </c>
      <c r="G9" s="30" t="s">
        <v>301</v>
      </c>
    </row>
    <row r="10" spans="1:7" ht="27" thickBot="1">
      <c r="A10" s="27">
        <f t="shared" si="0"/>
        <v>5</v>
      </c>
      <c r="B10" s="28" t="s">
        <v>306</v>
      </c>
      <c r="C10" s="31" t="s">
        <v>307</v>
      </c>
      <c r="D10" s="31" t="s">
        <v>308</v>
      </c>
      <c r="E10" s="39"/>
      <c r="F10" s="31" t="s">
        <v>308</v>
      </c>
      <c r="G10" s="30" t="s">
        <v>301</v>
      </c>
    </row>
    <row r="11" spans="1:7" ht="53.4" thickBot="1">
      <c r="A11" s="27">
        <f t="shared" si="0"/>
        <v>6</v>
      </c>
      <c r="B11" s="28" t="s">
        <v>309</v>
      </c>
      <c r="C11" s="29" t="s">
        <v>310</v>
      </c>
      <c r="D11" s="29" t="s">
        <v>311</v>
      </c>
      <c r="E11" s="42">
        <v>4549479</v>
      </c>
      <c r="F11" s="30" t="s">
        <v>312</v>
      </c>
      <c r="G11" s="30" t="s">
        <v>301</v>
      </c>
    </row>
    <row r="12" spans="1:7" ht="66.599999999999994" thickBot="1">
      <c r="A12" s="27">
        <f t="shared" si="0"/>
        <v>7</v>
      </c>
      <c r="B12" s="28" t="s">
        <v>313</v>
      </c>
      <c r="C12" s="31" t="s">
        <v>314</v>
      </c>
      <c r="D12" s="43" t="s">
        <v>315</v>
      </c>
      <c r="E12" s="44">
        <f>1929625-E13-E14</f>
        <v>691907</v>
      </c>
      <c r="F12" s="30" t="s">
        <v>316</v>
      </c>
      <c r="G12" s="30" t="s">
        <v>301</v>
      </c>
    </row>
    <row r="13" spans="1:7" ht="27" thickBot="1">
      <c r="A13" s="27">
        <f t="shared" si="0"/>
        <v>8</v>
      </c>
      <c r="B13" s="364" t="s">
        <v>1079</v>
      </c>
      <c r="C13" s="365" t="s">
        <v>1080</v>
      </c>
      <c r="D13" s="43" t="s">
        <v>1081</v>
      </c>
      <c r="E13" s="41">
        <v>1139609</v>
      </c>
      <c r="F13" s="30" t="s">
        <v>1082</v>
      </c>
      <c r="G13" s="30" t="s">
        <v>301</v>
      </c>
    </row>
    <row r="14" spans="1:7" ht="27" thickBot="1">
      <c r="A14" s="27">
        <f t="shared" si="0"/>
        <v>9</v>
      </c>
      <c r="B14" s="28" t="s">
        <v>317</v>
      </c>
      <c r="C14" s="31" t="s">
        <v>318</v>
      </c>
      <c r="D14" s="40" t="s">
        <v>319</v>
      </c>
      <c r="E14" s="41">
        <f>98109</f>
        <v>98109</v>
      </c>
      <c r="F14" s="30" t="s">
        <v>1083</v>
      </c>
      <c r="G14" s="30" t="s">
        <v>301</v>
      </c>
    </row>
    <row r="15" spans="1:7" ht="53.4" thickBot="1">
      <c r="A15" s="27">
        <f t="shared" si="0"/>
        <v>10</v>
      </c>
      <c r="B15" s="28" t="s">
        <v>320</v>
      </c>
      <c r="C15" s="29" t="s">
        <v>321</v>
      </c>
      <c r="D15" s="29" t="s">
        <v>322</v>
      </c>
      <c r="E15" s="39">
        <v>291410</v>
      </c>
      <c r="F15" s="32" t="s">
        <v>323</v>
      </c>
      <c r="G15" s="30" t="s">
        <v>301</v>
      </c>
    </row>
    <row r="16" spans="1:7" ht="31.2" customHeight="1" thickBot="1">
      <c r="A16" s="27">
        <f t="shared" si="0"/>
        <v>11</v>
      </c>
      <c r="B16" s="45" t="s">
        <v>324</v>
      </c>
      <c r="C16" s="46"/>
      <c r="D16" s="47"/>
      <c r="E16" s="48">
        <f>SUM(E6:E15)</f>
        <v>22011523</v>
      </c>
      <c r="F16" s="49"/>
      <c r="G16" s="35"/>
    </row>
    <row r="17" spans="1:5">
      <c r="A17" s="27"/>
      <c r="B17" s="27"/>
      <c r="E17" s="50"/>
    </row>
    <row r="18" spans="1:5">
      <c r="A18" s="27"/>
      <c r="B18" s="27"/>
      <c r="E18" s="51"/>
    </row>
    <row r="19" spans="1:5">
      <c r="E19" s="50"/>
    </row>
    <row r="20" spans="1:5">
      <c r="E20" s="50"/>
    </row>
    <row r="21" spans="1:5">
      <c r="E21" s="50"/>
    </row>
    <row r="22" spans="1:5">
      <c r="E22" s="50"/>
    </row>
  </sheetData>
  <pageMargins left="0.75" right="0.75" top="1" bottom="1" header="0.5" footer="0.5"/>
  <pageSetup scale="84"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vt:i4>
      </vt:variant>
    </vt:vector>
  </HeadingPairs>
  <TitlesOfParts>
    <vt:vector size="24" baseType="lpstr">
      <vt:lpstr>Nonlevelized-EIA 412</vt:lpstr>
      <vt:lpstr>Index</vt:lpstr>
      <vt:lpstr>EIA_Sch_2</vt:lpstr>
      <vt:lpstr>EIA_Sch_3</vt:lpstr>
      <vt:lpstr>EIA_Sch_4</vt:lpstr>
      <vt:lpstr>EIA_Sch_7</vt:lpstr>
      <vt:lpstr>12 CP</vt:lpstr>
      <vt:lpstr>AC 454_456</vt:lpstr>
      <vt:lpstr>AC 565</vt:lpstr>
      <vt:lpstr>AC_561</vt:lpstr>
      <vt:lpstr>W&amp;S Allocator</vt:lpstr>
      <vt:lpstr>Plant and Depr</vt:lpstr>
      <vt:lpstr>Land for Future Use</vt:lpstr>
      <vt:lpstr>Mat and Supplies</vt:lpstr>
      <vt:lpstr>Prepayments</vt:lpstr>
      <vt:lpstr>Trans O&amp;M</vt:lpstr>
      <vt:lpstr>A&amp;G</vt:lpstr>
      <vt:lpstr>FERC Fees</vt:lpstr>
      <vt:lpstr>EPRI REG COMM ADV</vt:lpstr>
      <vt:lpstr>Taxes</vt:lpstr>
      <vt:lpstr>Sheet5</vt:lpstr>
      <vt:lpstr>EIA_Sch_4!Print_Area</vt:lpstr>
      <vt:lpstr>'Nonlevelized-EIA 412'!Print_Area</vt:lpstr>
      <vt:lpstr>'W&amp;S Allocator'!Print_Area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Merlin Sawyer</dc:creator>
  <cp:lastModifiedBy>Merlin Sawyer</cp:lastModifiedBy>
  <cp:lastPrinted>2013-09-30T20:56:56Z</cp:lastPrinted>
  <dcterms:created xsi:type="dcterms:W3CDTF">2008-03-20T17:17:49Z</dcterms:created>
  <dcterms:modified xsi:type="dcterms:W3CDTF">2013-10-07T21:03:34Z</dcterms:modified>
</cp:coreProperties>
</file>