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552" yWindow="-12" windowWidth="2736" windowHeight="5304" tabRatio="376"/>
  </bookViews>
  <sheets>
    <sheet name="Nonlevelized-EIA 412" sheetId="1" r:id="rId1"/>
    <sheet name="MPW 12 CP Demand" sheetId="2" r:id="rId2"/>
    <sheet name="Plant &amp; Depr" sheetId="3" r:id="rId3"/>
    <sheet name="Land for future use" sheetId="9" r:id="rId4"/>
    <sheet name="Pre Payments" sheetId="10" r:id="rId5"/>
    <sheet name="Mat &amp; Supplies" sheetId="4" r:id="rId6"/>
    <sheet name="Transmission O&amp;M" sheetId="12" r:id="rId7"/>
    <sheet name="Admin &amp; General" sheetId="11" r:id="rId8"/>
    <sheet name="Summary of O&amp;M Expenses" sheetId="18" r:id="rId9"/>
    <sheet name="LSE exp" sheetId="5" r:id="rId10"/>
    <sheet name="FERC Fees" sheetId="13" r:id="rId11"/>
    <sheet name="EPRI Reg Comm Non Safety" sheetId="14" r:id="rId12"/>
    <sheet name="Taxes other than inc tax" sheetId="15" r:id="rId13"/>
    <sheet name="Radial Line Allocation" sheetId="6" r:id="rId14"/>
    <sheet name="Wages &amp; Salaries" sheetId="7" r:id="rId15"/>
    <sheet name="Debt Detail" sheetId="16" r:id="rId16"/>
    <sheet name="Account 454" sheetId="17" r:id="rId17"/>
    <sheet name="Account 456.1" sheetId="8" r:id="rId18"/>
  </sheets>
  <definedNames>
    <definedName name="_xlnm.Print_Area" localSheetId="0">'Nonlevelized-EIA 412'!$A$1:$K$307</definedName>
  </definedNames>
  <calcPr calcId="145621"/>
</workbook>
</file>

<file path=xl/calcChain.xml><?xml version="1.0" encoding="utf-8"?>
<calcChain xmlns="http://schemas.openxmlformats.org/spreadsheetml/2006/main">
  <c r="I219" i="1" l="1"/>
  <c r="D145" i="1"/>
  <c r="I259" i="1"/>
  <c r="D234" i="1"/>
  <c r="D230" i="1"/>
  <c r="D229" i="1"/>
  <c r="D228" i="1"/>
  <c r="D227" i="1"/>
  <c r="I211" i="1"/>
  <c r="D163" i="1"/>
  <c r="D157" i="1"/>
  <c r="D156" i="1"/>
  <c r="D148" i="1"/>
  <c r="D147" i="1"/>
  <c r="D144" i="1"/>
  <c r="D114" i="1"/>
  <c r="D113" i="1"/>
  <c r="D89" i="1"/>
  <c r="D88" i="1"/>
  <c r="D87" i="1"/>
  <c r="D86" i="1"/>
  <c r="D81" i="1"/>
  <c r="D80" i="1"/>
  <c r="D79" i="1"/>
  <c r="D78" i="1"/>
  <c r="I22" i="1"/>
  <c r="D91" i="18"/>
  <c r="E91" i="18"/>
  <c r="N87" i="3" l="1"/>
  <c r="E8" i="5" l="1"/>
  <c r="E9" i="5"/>
  <c r="E10" i="5"/>
  <c r="E11" i="5"/>
  <c r="E12" i="5"/>
  <c r="E13" i="5"/>
  <c r="E14" i="5"/>
  <c r="E15" i="5"/>
  <c r="E16" i="5"/>
  <c r="E17" i="5"/>
  <c r="E18" i="5"/>
  <c r="E7" i="5"/>
  <c r="D20" i="5"/>
  <c r="C47" i="11"/>
  <c r="C21" i="11"/>
  <c r="C14" i="11"/>
  <c r="C37" i="11"/>
  <c r="C36" i="12"/>
  <c r="B15" i="10"/>
  <c r="H157" i="4"/>
  <c r="B14" i="4"/>
  <c r="B11" i="4"/>
  <c r="B15" i="4" s="1"/>
  <c r="B17" i="4" s="1"/>
  <c r="B12" i="10"/>
  <c r="B11" i="10"/>
  <c r="B12" i="9"/>
  <c r="O41" i="2"/>
  <c r="N41" i="2"/>
  <c r="N40" i="2"/>
  <c r="O40" i="2" s="1"/>
  <c r="O37" i="2"/>
  <c r="N37" i="2"/>
  <c r="N36" i="2"/>
  <c r="O36" i="2" s="1"/>
  <c r="O33" i="2"/>
  <c r="N33" i="2"/>
  <c r="N32" i="2"/>
  <c r="O32" i="2" s="1"/>
  <c r="B23" i="2"/>
  <c r="B21" i="2"/>
  <c r="E20" i="5" l="1"/>
  <c r="L84" i="3"/>
  <c r="J84" i="3"/>
  <c r="N82" i="3"/>
  <c r="G82" i="3"/>
  <c r="L78" i="3"/>
  <c r="K78" i="3"/>
  <c r="N78" i="3" s="1"/>
  <c r="F78" i="3"/>
  <c r="C78" i="3"/>
  <c r="K80" i="3" s="1"/>
  <c r="G76" i="3"/>
  <c r="G75" i="3"/>
  <c r="E74" i="3"/>
  <c r="G74" i="3" s="1"/>
  <c r="G73" i="3"/>
  <c r="G72" i="3"/>
  <c r="G71" i="3"/>
  <c r="G70" i="3"/>
  <c r="E69" i="3"/>
  <c r="G69" i="3" s="1"/>
  <c r="D68" i="3"/>
  <c r="D78" i="3" s="1"/>
  <c r="D67" i="3"/>
  <c r="G67" i="3" s="1"/>
  <c r="G66" i="3"/>
  <c r="G65" i="3"/>
  <c r="G64" i="3"/>
  <c r="G63" i="3"/>
  <c r="M60" i="3"/>
  <c r="L60" i="3"/>
  <c r="K60" i="3"/>
  <c r="N60" i="3" s="1"/>
  <c r="F60" i="3"/>
  <c r="E60" i="3"/>
  <c r="C60" i="3"/>
  <c r="G58" i="3"/>
  <c r="G57" i="3"/>
  <c r="G56" i="3"/>
  <c r="F56" i="3"/>
  <c r="D56" i="3"/>
  <c r="G55" i="3"/>
  <c r="G54" i="3"/>
  <c r="G53" i="3"/>
  <c r="G52" i="3"/>
  <c r="D51" i="3"/>
  <c r="G51" i="3" s="1"/>
  <c r="G50" i="3"/>
  <c r="D49" i="3"/>
  <c r="G49" i="3" s="1"/>
  <c r="G48" i="3"/>
  <c r="D48" i="3"/>
  <c r="G47" i="3"/>
  <c r="G46" i="3"/>
  <c r="G45" i="3"/>
  <c r="F45" i="3"/>
  <c r="D45" i="3"/>
  <c r="D44" i="3"/>
  <c r="G44" i="3" s="1"/>
  <c r="G43" i="3"/>
  <c r="G42" i="3"/>
  <c r="G41" i="3"/>
  <c r="G40" i="3"/>
  <c r="G39" i="3"/>
  <c r="K36" i="3"/>
  <c r="N36" i="3" s="1"/>
  <c r="F36" i="3"/>
  <c r="E36" i="3"/>
  <c r="D36" i="3"/>
  <c r="C36" i="3"/>
  <c r="C80" i="3" s="1"/>
  <c r="C84" i="3" s="1"/>
  <c r="G34" i="3"/>
  <c r="G33" i="3"/>
  <c r="G32" i="3"/>
  <c r="G31" i="3"/>
  <c r="G36" i="3" s="1"/>
  <c r="E31" i="3"/>
  <c r="G30" i="3"/>
  <c r="G29" i="3"/>
  <c r="M26" i="3"/>
  <c r="M84" i="3" s="1"/>
  <c r="K26" i="3"/>
  <c r="K84" i="3" s="1"/>
  <c r="E26" i="3"/>
  <c r="C26" i="3"/>
  <c r="G24" i="3"/>
  <c r="G23" i="3"/>
  <c r="G22" i="3"/>
  <c r="F22" i="3"/>
  <c r="E22" i="3"/>
  <c r="D22" i="3"/>
  <c r="G21" i="3"/>
  <c r="G20" i="3"/>
  <c r="F19" i="3"/>
  <c r="G19" i="3" s="1"/>
  <c r="G18" i="3"/>
  <c r="G17" i="3"/>
  <c r="G16" i="3"/>
  <c r="G15" i="3"/>
  <c r="G14" i="3"/>
  <c r="G13" i="3"/>
  <c r="F12" i="3"/>
  <c r="F26" i="3" s="1"/>
  <c r="F80" i="3" s="1"/>
  <c r="F84" i="3" s="1"/>
  <c r="D12" i="3"/>
  <c r="G12" i="3" s="1"/>
  <c r="G11" i="3"/>
  <c r="G10" i="3"/>
  <c r="G9" i="3"/>
  <c r="G8" i="3"/>
  <c r="G26" i="3" s="1"/>
  <c r="G60" i="3" l="1"/>
  <c r="E80" i="3"/>
  <c r="E84" i="3" s="1"/>
  <c r="D26" i="3"/>
  <c r="K28" i="3"/>
  <c r="D60" i="3"/>
  <c r="K61" i="3"/>
  <c r="K79" i="3"/>
  <c r="K62" i="3"/>
  <c r="G68" i="3"/>
  <c r="G78" i="3" s="1"/>
  <c r="N26" i="3"/>
  <c r="N84" i="3" s="1"/>
  <c r="E78" i="3"/>
  <c r="K27" i="3"/>
  <c r="G80" i="3" l="1"/>
  <c r="G84" i="3" s="1"/>
  <c r="D80" i="3"/>
  <c r="D84" i="3" s="1"/>
  <c r="B20" i="5" l="1"/>
  <c r="C20" i="5" l="1"/>
  <c r="I263" i="1" l="1"/>
  <c r="D153" i="1" l="1"/>
  <c r="D112" i="1" s="1"/>
  <c r="D115" i="1" s="1"/>
  <c r="L226" i="1"/>
  <c r="L219" i="1"/>
  <c r="L221" i="1" s="1"/>
  <c r="D83" i="1"/>
  <c r="I210" i="1"/>
  <c r="G227" i="1"/>
  <c r="G229" i="1"/>
  <c r="G230" i="1"/>
  <c r="D237" i="1"/>
  <c r="G235" i="1" s="1"/>
  <c r="I218" i="1"/>
  <c r="D94" i="1"/>
  <c r="D95" i="1"/>
  <c r="D96" i="1"/>
  <c r="D97" i="1"/>
  <c r="G243" i="1"/>
  <c r="D245" i="1"/>
  <c r="E243" i="1" s="1"/>
  <c r="G244" i="1"/>
  <c r="I29" i="1"/>
  <c r="D231" i="1"/>
  <c r="D14" i="1"/>
  <c r="I152" i="1"/>
  <c r="D173" i="1"/>
  <c r="D177" i="1" s="1"/>
  <c r="D181" i="1" s="1"/>
  <c r="D107" i="1"/>
  <c r="D98" i="1"/>
  <c r="D170" i="1"/>
  <c r="D159" i="1"/>
  <c r="D204" i="1"/>
  <c r="K269" i="1"/>
  <c r="I145" i="1"/>
  <c r="I248" i="1"/>
  <c r="F168" i="1"/>
  <c r="F150" i="1"/>
  <c r="D13" i="1"/>
  <c r="I254" i="1"/>
  <c r="F105" i="1"/>
  <c r="D271" i="1"/>
  <c r="D270" i="1"/>
  <c r="C269" i="1"/>
  <c r="B269" i="1"/>
  <c r="D203" i="1"/>
  <c r="K203" i="1"/>
  <c r="B203" i="1"/>
  <c r="K136" i="1"/>
  <c r="D137" i="1"/>
  <c r="D136" i="1"/>
  <c r="B136" i="1"/>
  <c r="K70" i="1"/>
  <c r="D71" i="1"/>
  <c r="D70" i="1"/>
  <c r="B70" i="1"/>
  <c r="I41" i="1"/>
  <c r="I40" i="1"/>
  <c r="F87" i="1"/>
  <c r="F109" i="1" s="1"/>
  <c r="D206" i="1"/>
  <c r="D139" i="1"/>
  <c r="D73" i="1"/>
  <c r="F164" i="1"/>
  <c r="B158" i="1"/>
  <c r="B156" i="1"/>
  <c r="F148" i="1"/>
  <c r="F149" i="1" s="1"/>
  <c r="B90" i="1"/>
  <c r="B98" i="1" s="1"/>
  <c r="B89" i="1"/>
  <c r="B97" i="1" s="1"/>
  <c r="B88" i="1"/>
  <c r="B96" i="1" s="1"/>
  <c r="B87" i="1"/>
  <c r="B95" i="1" s="1"/>
  <c r="B86" i="1"/>
  <c r="B94" i="1" s="1"/>
  <c r="D91" i="1"/>
  <c r="F90" i="1"/>
  <c r="F89" i="1"/>
  <c r="G88" i="1"/>
  <c r="F88" i="1"/>
  <c r="G86" i="1"/>
  <c r="F86" i="1"/>
  <c r="F14" i="1"/>
  <c r="I213" i="1" l="1"/>
  <c r="I215" i="1" s="1"/>
  <c r="G79" i="1" s="1"/>
  <c r="E244" i="1"/>
  <c r="I244" i="1" s="1"/>
  <c r="L227" i="1"/>
  <c r="D99" i="1"/>
  <c r="D117" i="1" s="1"/>
  <c r="I220" i="1"/>
  <c r="I222" i="1" s="1"/>
  <c r="I243" i="1"/>
  <c r="E245" i="1"/>
  <c r="G13" i="1" l="1"/>
  <c r="G15" i="1" s="1"/>
  <c r="I15" i="1" s="1"/>
  <c r="E228" i="1"/>
  <c r="G228" i="1" s="1"/>
  <c r="G231" i="1" s="1"/>
  <c r="I231" i="1" s="1"/>
  <c r="I245" i="1"/>
  <c r="D184" i="1" s="1"/>
  <c r="G87" i="1"/>
  <c r="G109" i="1" s="1"/>
  <c r="I79" i="1"/>
  <c r="I223" i="1"/>
  <c r="I224" i="1" s="1"/>
  <c r="G144" i="1" s="1"/>
  <c r="D174" i="1"/>
  <c r="G16" i="1" l="1"/>
  <c r="I16" i="1" s="1"/>
  <c r="G14" i="1"/>
  <c r="I14" i="1" s="1"/>
  <c r="I87" i="1"/>
  <c r="I95" i="1" s="1"/>
  <c r="G147" i="1"/>
  <c r="G113" i="1"/>
  <c r="I113" i="1" s="1"/>
  <c r="I13" i="1"/>
  <c r="G149" i="1"/>
  <c r="I149" i="1" s="1"/>
  <c r="G156" i="1"/>
  <c r="I156" i="1" s="1"/>
  <c r="I109" i="1"/>
  <c r="G150" i="1"/>
  <c r="I150" i="1" s="1"/>
  <c r="I144" i="1"/>
  <c r="G146" i="1"/>
  <c r="I146" i="1" s="1"/>
  <c r="D180" i="1"/>
  <c r="D182" i="1" s="1"/>
  <c r="D187" i="1" s="1"/>
  <c r="D196" i="1" s="1"/>
  <c r="I17" i="1" l="1"/>
  <c r="G148" i="1"/>
  <c r="I148" i="1" s="1"/>
  <c r="I147" i="1"/>
  <c r="G157" i="1"/>
  <c r="G81" i="1"/>
  <c r="I235" i="1"/>
  <c r="K235" i="1" s="1"/>
  <c r="G82" i="1" l="1"/>
  <c r="G151" i="1"/>
  <c r="G89" i="1"/>
  <c r="I89" i="1" s="1"/>
  <c r="I81" i="1"/>
  <c r="I157" i="1"/>
  <c r="G163" i="1"/>
  <c r="I82" i="1" l="1"/>
  <c r="I83" i="1" s="1"/>
  <c r="G83" i="1" s="1"/>
  <c r="G90" i="1"/>
  <c r="I90" i="1" s="1"/>
  <c r="I91" i="1" s="1"/>
  <c r="I97" i="1"/>
  <c r="G164" i="1"/>
  <c r="I164" i="1" s="1"/>
  <c r="I163" i="1"/>
  <c r="G158" i="1"/>
  <c r="I158" i="1" s="1"/>
  <c r="I159" i="1" s="1"/>
  <c r="I151" i="1"/>
  <c r="I153" i="1" l="1"/>
  <c r="I112" i="1" s="1"/>
  <c r="I98" i="1"/>
  <c r="I99" i="1" s="1"/>
  <c r="G99" i="1" s="1"/>
  <c r="G181" i="1" s="1"/>
  <c r="I181" i="1" s="1"/>
  <c r="G114" i="1"/>
  <c r="I114" i="1" s="1"/>
  <c r="G166" i="1"/>
  <c r="I115" i="1" l="1"/>
  <c r="G103" i="1"/>
  <c r="G104" i="1" s="1"/>
  <c r="G168" i="1"/>
  <c r="I166" i="1"/>
  <c r="I103" i="1" l="1"/>
  <c r="G105" i="1"/>
  <c r="I105" i="1" s="1"/>
  <c r="G106" i="1"/>
  <c r="I106" i="1" s="1"/>
  <c r="I104" i="1"/>
  <c r="I168" i="1"/>
  <c r="G169" i="1"/>
  <c r="I169" i="1" s="1"/>
  <c r="I170" i="1" l="1"/>
  <c r="I107" i="1"/>
  <c r="I117" i="1" s="1"/>
  <c r="I184" i="1" s="1"/>
  <c r="I180" i="1" s="1"/>
  <c r="I182" i="1" s="1"/>
  <c r="I187" i="1" l="1"/>
  <c r="I196" i="1" s="1"/>
  <c r="I10" i="1" s="1"/>
  <c r="I19" i="1" s="1"/>
  <c r="D31" i="1" s="1"/>
  <c r="D37" i="1" s="1"/>
  <c r="I35" i="1" l="1"/>
  <c r="D36" i="1"/>
  <c r="I36" i="1"/>
  <c r="D35" i="1"/>
  <c r="D32" i="1"/>
  <c r="I37" i="1"/>
</calcChain>
</file>

<file path=xl/sharedStrings.xml><?xml version="1.0" encoding="utf-8"?>
<sst xmlns="http://schemas.openxmlformats.org/spreadsheetml/2006/main" count="2163" uniqueCount="1198">
  <si>
    <t xml:space="preserve">Formula Rate - Non-Levelized </t>
  </si>
  <si>
    <t xml:space="preserve">   Rate Formula Template</t>
  </si>
  <si>
    <t xml:space="preserve"> </t>
  </si>
  <si>
    <t>Utilizing EIA Form 412 Data</t>
  </si>
  <si>
    <t>Line</t>
  </si>
  <si>
    <t>Allocated</t>
  </si>
  <si>
    <t>No.</t>
  </si>
  <si>
    <t>Amount</t>
  </si>
  <si>
    <t xml:space="preserve">REVENUE CREDITS </t>
  </si>
  <si>
    <t>Total</t>
  </si>
  <si>
    <t>Allocator</t>
  </si>
  <si>
    <t xml:space="preserve">  Account No. 454</t>
  </si>
  <si>
    <t>TP</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</si>
  <si>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</si>
  <si>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</si>
  <si>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</si>
  <si>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</si>
  <si>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</si>
  <si>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</si>
  <si>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</si>
  <si>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</si>
  <si>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</si>
  <si>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</si>
  <si>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</si>
  <si>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</si>
  <si>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</si>
  <si>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</si>
  <si>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</si>
  <si>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</si>
  <si>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</si>
  <si>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</si>
  <si>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</si>
  <si>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</si>
  <si>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</si>
  <si>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</si>
  <si>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</si>
  <si>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</si>
  <si>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Short Term</t>
  </si>
  <si>
    <t>Long Term</t>
  </si>
  <si>
    <t>(1)</t>
  </si>
  <si>
    <t>(2)</t>
  </si>
  <si>
    <t>(3)</t>
  </si>
  <si>
    <t>(4)</t>
  </si>
  <si>
    <t>(5)</t>
  </si>
  <si>
    <t>EIA 412</t>
  </si>
  <si>
    <t>Transmission</t>
  </si>
  <si>
    <t>Reference</t>
  </si>
  <si>
    <t>Company Total</t>
  </si>
  <si>
    <t xml:space="preserve">                  Allocator</t>
  </si>
  <si>
    <t>(Col 3 times Col 4)</t>
  </si>
  <si>
    <t>RATE BASE:</t>
  </si>
  <si>
    <t xml:space="preserve">  Production</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</si>
  <si>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</si>
  <si>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</si>
  <si>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</si>
  <si>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</si>
  <si>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</si>
  <si>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</si>
  <si>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</si>
  <si>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</si>
  <si>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</si>
  <si>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</si>
  <si>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</si>
  <si>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</si>
  <si>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</si>
  <si>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</si>
  <si>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</si>
  <si>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</si>
  <si>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TOTAL ADJUSTMENTS  (sum lines 19 - 23)</t>
  </si>
  <si>
    <t xml:space="preserve">LAND HELD FOR FUTURE USE </t>
  </si>
  <si>
    <t>WORKING CAPITAL</t>
  </si>
  <si>
    <t xml:space="preserve">  CWC</t>
  </si>
  <si>
    <t>(Note H)</t>
  </si>
  <si>
    <t xml:space="preserve">  Materials &amp; Supplies</t>
  </si>
  <si>
    <t>TE</t>
  </si>
  <si>
    <t xml:space="preserve">  Prepayments</t>
  </si>
  <si>
    <t>GP</t>
  </si>
  <si>
    <t>RATE BASE  (sum lines 18, 24, 25, and 29)</t>
  </si>
  <si>
    <t xml:space="preserve">  Transmission </t>
  </si>
  <si>
    <t xml:space="preserve">     Less Account 565</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</si>
  <si>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</si>
  <si>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</si>
  <si>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</si>
  <si>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</si>
  <si>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</si>
  <si>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</si>
  <si>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</si>
  <si>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</si>
  <si>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</si>
  <si>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</si>
  <si>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</si>
  <si>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TOTAL OTHER TAXES  (sum lines 13 - 19)</t>
  </si>
  <si>
    <t xml:space="preserve">  </t>
  </si>
  <si>
    <t xml:space="preserve">INCOME TAXES          </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</si>
  <si>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</si>
  <si>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</si>
  <si>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</si>
  <si>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</si>
  <si>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</si>
  <si>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</si>
  <si>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</si>
  <si>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</si>
  <si>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RETURN </t>
  </si>
  <si>
    <t xml:space="preserve">  [ Rate Base (page 2, line 30) * Rate of Return (page 4, line 24)]</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</si>
  <si>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</si>
  <si>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</si>
  <si>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</si>
  <si>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</si>
  <si>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</si>
  <si>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</si>
  <si>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</si>
  <si>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</si>
  <si>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</si>
  <si>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</si>
  <si>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</si>
  <si>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</si>
  <si>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</si>
  <si>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</si>
  <si>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</si>
  <si>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</si>
  <si>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</si>
  <si>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</si>
  <si>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</si>
  <si>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</si>
  <si>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</si>
  <si>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 xml:space="preserve">              Long Term Interest  </t>
  </si>
  <si>
    <t>Cost</t>
  </si>
  <si>
    <t>%</t>
  </si>
  <si>
    <t>(Note P)</t>
  </si>
  <si>
    <t>Weighted</t>
  </si>
  <si>
    <t xml:space="preserve">  Long Term Debt</t>
  </si>
  <si>
    <t>=WCLTD</t>
  </si>
  <si>
    <t xml:space="preserve">  Proprietary Capital</t>
  </si>
  <si>
    <t>=R</t>
  </si>
  <si>
    <t>REVENUE CREDITS</t>
  </si>
  <si>
    <t>Load</t>
  </si>
  <si>
    <t>ACCOUNT 447 (SALES FOR RESALE)</t>
  </si>
  <si>
    <t xml:space="preserve">  a. Bundled Non-RQ Sales for Resale</t>
  </si>
  <si>
    <t>(Note Q)</t>
  </si>
  <si>
    <t xml:space="preserve">  Total of (a)-(b)</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</si>
  <si>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</si>
  <si>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</si>
  <si>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</si>
  <si>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</si>
  <si>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</si>
  <si>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</si>
  <si>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</si>
  <si>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</si>
  <si>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</si>
  <si>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</si>
  <si>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</si>
  <si>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</si>
  <si>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</si>
  <si>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</si>
  <si>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</si>
  <si>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</si>
  <si>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</si>
  <si>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</si>
  <si>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</si>
  <si>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</si>
  <si>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</si>
  <si>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</si>
  <si>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</si>
  <si>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</si>
  <si>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</si>
  <si>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</si>
  <si>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</si>
  <si>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</si>
  <si>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(page 4, line 30)</t>
  </si>
  <si>
    <t>(page 4, line 33)</t>
  </si>
  <si>
    <t xml:space="preserve">  Less 12 CP or Contract Demands from service over one year provided by ISO at a discount (enter negative)</t>
  </si>
  <si>
    <t xml:space="preserve">  Total  (sum lines 17-19)</t>
  </si>
  <si>
    <t>Total  (sum lines 22, 23)</t>
  </si>
  <si>
    <t xml:space="preserve">  b. Bundled Sales for Resale included in Divisor on page 1 </t>
  </si>
  <si>
    <t xml:space="preserve">  b. Transmission charges for all transmission transactions included in Divisor on page 1</t>
  </si>
  <si>
    <t>(Note T)</t>
  </si>
  <si>
    <t xml:space="preserve">  Less Contract Demand from Grandfathered Interzonal transactions over one year (enter negative)  (Note S)</t>
  </si>
  <si>
    <t>zero</t>
  </si>
  <si>
    <t>5a</t>
  </si>
  <si>
    <t>Transmission plant included in ISO rates  (line 1 less lines 2 &amp; 3)</t>
  </si>
  <si>
    <t>Transmission related only.</t>
  </si>
  <si>
    <t>Enter dollar amounts</t>
  </si>
  <si>
    <t>S</t>
  </si>
  <si>
    <t>T</t>
  </si>
  <si>
    <t>Page 1 of 5</t>
  </si>
  <si>
    <t>Page 2 of 5</t>
  </si>
  <si>
    <t>Page 3 of 5</t>
  </si>
  <si>
    <t>Page 4 of 5</t>
  </si>
  <si>
    <t>Page 5 of 5</t>
  </si>
  <si>
    <t>Line 4 supported by schedules.</t>
  </si>
  <si>
    <t>Line 5 supported by schedules.</t>
  </si>
  <si>
    <t>SIT work papers if required</t>
  </si>
  <si>
    <t>Line 31 supported by notes in Form 412 or detailed Schedule</t>
  </si>
  <si>
    <t>Line 32 supported by notes in Form 412 or detailed Schedule</t>
  </si>
  <si>
    <t>Schedule 1 Recoveralbe Expenses</t>
  </si>
  <si>
    <t>Revenue Credits for Sched 1/Acct 561</t>
  </si>
  <si>
    <t>transactions &lt;1 yr</t>
  </si>
  <si>
    <t>non-firm</t>
  </si>
  <si>
    <t>transactions w/ load not in divisor</t>
  </si>
  <si>
    <t>total Revenue Credits</t>
  </si>
  <si>
    <t>Net Schedule 1 Expenses (Acct 561 minus Credits)</t>
  </si>
  <si>
    <t>Acct 561 included in Line 7?</t>
  </si>
  <si>
    <t>U</t>
  </si>
  <si>
    <t>Acct 561.BA for Schedule 24</t>
  </si>
  <si>
    <t>Acct 561 available for Schedule 1</t>
  </si>
  <si>
    <t>1a</t>
  </si>
  <si>
    <t>V</t>
  </si>
  <si>
    <t xml:space="preserve">  Account No. 456.1</t>
  </si>
  <si>
    <t>ACCOUNT 456.1 (OTHER ELECTRIC REVENUES)</t>
  </si>
  <si>
    <t>Removes dollar amount of transmission expenses included in the OATT ancillary services rates, including Account Nos. 561.1, 561.2, 561.3, and 561.BA.</t>
  </si>
  <si>
    <t>32a</t>
  </si>
  <si>
    <t>W</t>
  </si>
  <si>
    <t>X</t>
  </si>
  <si>
    <t xml:space="preserve">REVENUE REQUIREMENT TO BE COLLECTED UNDER ATTACHMENT O </t>
  </si>
  <si>
    <t>[Revenue Requirement for facilities included on page 2, line 2, and also included</t>
  </si>
  <si>
    <t>in Attachment GG]</t>
  </si>
  <si>
    <t>Proprietary Capital Cost Rate =</t>
  </si>
  <si>
    <t>TIER =</t>
  </si>
  <si>
    <t>(Note E)</t>
  </si>
  <si>
    <t>(Note K)</t>
  </si>
  <si>
    <t xml:space="preserve">                            </t>
  </si>
  <si>
    <t>To the extent the page references to EIA Form 412 are missing, the entity will include a "Notes" section in the EIA 412 to provide this data.</t>
  </si>
  <si>
    <t>References to data from EIA Form 412 are indicated as:   x.y.z  (section, line, column)</t>
  </si>
  <si>
    <t>(line 7 / line 15)</t>
  </si>
  <si>
    <t>(line 1 minus line 6)</t>
  </si>
  <si>
    <t>Divisor  (sum lines 8-14)</t>
  </si>
  <si>
    <t>Network &amp; P-to-P Rate ($/kW/Mo)  (line 11 / 12)</t>
  </si>
  <si>
    <t>(line 16 / 52; line 16 /  52)</t>
  </si>
  <si>
    <t>FERC Annual Charge ($/MWh)</t>
  </si>
  <si>
    <t>TOTAL GROSS PLANT  (sum lines 1-5)</t>
  </si>
  <si>
    <t>TOTAL ACCUM. DEPRECIATION  (sum lines 7-11)</t>
  </si>
  <si>
    <t>(line 1- line 7)</t>
  </si>
  <si>
    <t>(line 2- line 8)</t>
  </si>
  <si>
    <t>(line 3 - line 9)</t>
  </si>
  <si>
    <t>(line 4 - line 10)</t>
  </si>
  <si>
    <t>(line 5 - line 11)</t>
  </si>
  <si>
    <t>TOTAL NET PLANT  (sum lines 13-17)</t>
  </si>
  <si>
    <t>ADJUSTMENTS TO RATE BASE  (Note F)</t>
  </si>
  <si>
    <t>(Note G)</t>
  </si>
  <si>
    <t>TOTAL WORKING CAPITAL  (sum lines 26 - 28)</t>
  </si>
  <si>
    <t xml:space="preserve">     Less LSE Expenses included in Transmission O&amp;M Accounts  (Note V)</t>
  </si>
  <si>
    <t xml:space="preserve">     Less EPRI &amp; Reg. Comm. Exp. &amp; Non-safety Ad.  (Note I)</t>
  </si>
  <si>
    <t xml:space="preserve">     Plus Transmission Related Reg. Comm. Exp.  (Note I)</t>
  </si>
  <si>
    <t>TOTAL DEPRECIATION  (sum lines 9 - 11)</t>
  </si>
  <si>
    <t>TAXES OTHER THAN INCOME TAXES  (Note J)</t>
  </si>
  <si>
    <t>REV. REQUIREMENT  (sum lines 8, 12, 20, 27, 28)</t>
  </si>
  <si>
    <t>Total transmission plant  (page 2, line 2, column 3)</t>
  </si>
  <si>
    <t>Less transmission plant excluded from ISO rates  (Note M)</t>
  </si>
  <si>
    <t>Less transmission plant included in OATT Ancillary Services  (Note N )</t>
  </si>
  <si>
    <t>Percentage of transmission plant included in ISO Rates  (line 4 divided by line 1)</t>
  </si>
  <si>
    <t>Total transmission expenses  (page 3, line 1, column 3)</t>
  </si>
  <si>
    <t>Less transmission expenses included in OATT Ancillary Services  (Note L)</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</si>
  <si>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</si>
  <si>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</si>
  <si>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</si>
  <si>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</si>
  <si>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12-15)</t>
  </si>
  <si>
    <t>ACCOUNT 454 (RENT FROM ELECTRIC PROPERTY)  (Note R)</t>
  </si>
  <si>
    <t>Inputs Required:</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</si>
  <si>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</si>
  <si>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Cash Working Capital assigned to transmission is one-eighth of O&amp;M allocated to transmission at page 3, line 8, column 5.  Prepayments are the electric related prepayments booked to Account No. 165 as shown on Schedule I of EIA Form 412.</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</si>
  <si>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</si>
  <si>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</si>
  <si>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</si>
  <si>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t>
  </si>
  <si>
    <t>Line 29 must equal zero since all short-term power sales must be unbundled and the transmission component reflected in Account No. 456.1 and all other uses are to be included in the divisor.</t>
  </si>
  <si>
    <r>
      <t>Grandfathered agreements whose rates have been changed to eliminate or mitigate pancaking - the revenues are included in line 4</t>
    </r>
    <r>
      <rPr>
        <sz val="12"/>
        <color indexed="10"/>
        <rFont val="Times New Roman"/>
        <family val="1"/>
      </rPr>
      <t>,</t>
    </r>
    <r>
      <rPr>
        <sz val="12"/>
        <rFont val="Times New Roman"/>
        <family val="1"/>
      </rPr>
      <t xml:space="preserve"> page 1 and the loads are included in line 13, page 1.  Grandfathered agreements whose rates have not been changed to eliminate or mitigate pancaking - the revenues are not included in line 4, page 1 nor are the loads included in line 13, page 1.</t>
    </r>
  </si>
  <si>
    <t>GROSS REVENUE REQUIREMENT  (page 3, line 31)</t>
  </si>
  <si>
    <t>(line 16 / 260; line 16 / 365)</t>
  </si>
  <si>
    <t>(line 16 / 4,160; line 16 / 8,760</t>
  </si>
  <si>
    <t>IV.6.e</t>
  </si>
  <si>
    <t>IV.7.e</t>
  </si>
  <si>
    <t>IV.8.e</t>
  </si>
  <si>
    <t>IV.12.e  (Note G)</t>
  </si>
  <si>
    <t>II.20.b</t>
  </si>
  <si>
    <t>VII.8.d</t>
  </si>
  <si>
    <t>VII.13.d</t>
  </si>
  <si>
    <t>TOTAL O&amp;M  (sum lines 1, 3, 5a, 6, 7 less 1a, 2, 4, 5)</t>
  </si>
  <si>
    <t>Included transmission expenses ( line 6 less line 7)</t>
  </si>
  <si>
    <t>II.32.b</t>
  </si>
  <si>
    <t>III.16.b + III.17.b  (Note U)</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</si>
  <si>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</si>
  <si>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r>
      <t xml:space="preserve">Removes dollar amount of transmission plant included in the development of OATT ancillary services rates and generation step-up facilities, which are deemed </t>
    </r>
    <r>
      <rPr>
        <sz val="12"/>
        <rFont val="Times New Roman"/>
        <family val="1"/>
      </rPr>
      <t>included in OATT ancillary services.  For these purposes, generation step-up facilities are those facilities at a generator substation on which there is no through-flow when the generator is shut down.</t>
    </r>
  </si>
  <si>
    <t>Please fill out info requested in the box below</t>
  </si>
  <si>
    <t>LESS ATTACHMENT GG ADJUSTMENT [Attachment GG, page 2, line 3, column 10]  (Note W)</t>
  </si>
  <si>
    <t>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</si>
  <si>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</si>
  <si>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</si>
  <si>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</si>
  <si>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in Attachment MM]</t>
  </si>
  <si>
    <t>(line 29 - line 30 - line 30a)</t>
  </si>
  <si>
    <t>32b</t>
  </si>
  <si>
    <t xml:space="preserve">  Total of (a)-(b)-(c)-(d)</t>
  </si>
  <si>
    <t>Y</t>
  </si>
  <si>
    <t>Z</t>
  </si>
  <si>
    <r>
      <t>Removes transmission plant determined  to be state-jurisdictional by Commission order according to the seven-factor test (until EIA 412 balances are adjusted to reflect applicat</t>
    </r>
    <r>
      <rPr>
        <sz val="12"/>
        <color rgb="FFFF0000"/>
        <rFont val="Times New Roman"/>
        <family val="1"/>
      </rPr>
      <t>i</t>
    </r>
    <r>
      <rPr>
        <sz val="12"/>
        <rFont val="Times New Roman"/>
        <family val="1"/>
      </rPr>
      <t>on of seven-factor test).</t>
    </r>
  </si>
  <si>
    <t>AA</t>
  </si>
  <si>
    <t>Plant in Service, Accumulated Depreciation, and Depreciation Expense amounts exclude Asset Retirement Obligation amounts unless authorized by FERC.</t>
  </si>
  <si>
    <t>BB</t>
  </si>
  <si>
    <t>Schedule 10-FERC charges should not be included in O&amp;M recovered under this Attachment O.</t>
  </si>
  <si>
    <t xml:space="preserve">II.37.b </t>
  </si>
  <si>
    <t>The FERC's annual charges for the year assessed the Transmission Owner for service under this tariff, if any.</t>
  </si>
  <si>
    <t>GROSS PLANT IN SERVICE (Note AA)</t>
  </si>
  <si>
    <t>IV.9.e &amp; IV.1.e</t>
  </si>
  <si>
    <t>ACCUMULATED DEPRECIATION (Note AA)</t>
  </si>
  <si>
    <t>O&amp;M (Note BB)</t>
  </si>
  <si>
    <t>DEPRECIATION AND AMORTIZATION EXPENSE (Note AA)</t>
  </si>
  <si>
    <t xml:space="preserve">  General  &amp; Intangible</t>
  </si>
  <si>
    <t xml:space="preserve">       where WCLTD=(page 4, line 22) and R= (page 4, line 24)</t>
  </si>
  <si>
    <t>From Reference III.17.b include only the amount from Accounts 428, 429, and 430.</t>
  </si>
  <si>
    <t>Account Nos. 561.4 and 561.8 consist of RTO expenses billed to load-serving entities and are not included in Transmission Owner revenue requirements.</t>
  </si>
  <si>
    <t>Amortized Investment Tax Credit (enter negative)</t>
  </si>
  <si>
    <t>LESS ATTACHMENT MM ADJUSTMENT [Attachment MM, page 2, line 3, column 14]  (Note Y)</t>
  </si>
  <si>
    <t xml:space="preserve">  c. Transmission charges from Schedules associated with Attachment GG  (Note X)</t>
  </si>
  <si>
    <t xml:space="preserve">  d. Transmission charges from Schedules associated with Attachment MM  (Note Z)</t>
  </si>
  <si>
    <t>Pursuant to Attachment GG of the Midwest ISO Tariff, removes dollar amount of revenue requirements calculated pursuant to Attachment GG.</t>
  </si>
  <si>
    <t>Removes from revenue credits revenues that are distributed pursuant to Schedules associated with Attachment GG of the Midwest ISO Tariff, since the Transmission Owner's Attachment O revenue requirements have already been reduced by the Attachment GG revenue requirements.</t>
  </si>
  <si>
    <t>Pursuant to Attachment MM of the Midwest ISO Tariff, removes dollar amount of revenue requirements calculated pursuant to Attachment MM.</t>
  </si>
  <si>
    <t>Removes from revenue credits revenues that are distributed pursuant to Schedules associated with Attachment MM of the Midwest ISO Tariff, since the Transmission Owner's Attachment O revenue requirements have already been reduced by the Attachment MM revenue requirements.</t>
  </si>
  <si>
    <t>MUSCATINE POWER AND WATER</t>
  </si>
  <si>
    <t>January</t>
  </si>
  <si>
    <t>February</t>
  </si>
  <si>
    <t>March</t>
  </si>
  <si>
    <t>April</t>
  </si>
  <si>
    <t>May</t>
  </si>
  <si>
    <t>June</t>
  </si>
  <si>
    <t>July</t>
  </si>
  <si>
    <t>August</t>
  </si>
  <si>
    <t>September</t>
  </si>
  <si>
    <t>October</t>
  </si>
  <si>
    <t>November</t>
  </si>
  <si>
    <t>December</t>
  </si>
  <si>
    <t>Reserve for</t>
  </si>
  <si>
    <t>Balance</t>
  </si>
  <si>
    <t>Direct</t>
  </si>
  <si>
    <t>Depreciation</t>
  </si>
  <si>
    <t>Net Retirements</t>
  </si>
  <si>
    <t>Acct #</t>
  </si>
  <si>
    <t>Account Title</t>
  </si>
  <si>
    <t>Additions</t>
  </si>
  <si>
    <t>Transfers</t>
  </si>
  <si>
    <t>Retirements</t>
  </si>
  <si>
    <t>12/31/12</t>
  </si>
  <si>
    <t>Expense</t>
  </si>
  <si>
    <t>and Direct Additions</t>
  </si>
  <si>
    <t>Proceeds</t>
  </si>
  <si>
    <t>GENERATION</t>
  </si>
  <si>
    <t>Land &amp; Land Rights</t>
  </si>
  <si>
    <t>Structures &amp; Improvements</t>
  </si>
  <si>
    <t>311-925</t>
  </si>
  <si>
    <t>Structures &amp; Improvements-Landfill</t>
  </si>
  <si>
    <t>311-STM</t>
  </si>
  <si>
    <t>Structures &amp; Improvements-Steam Sales</t>
  </si>
  <si>
    <t>Boiler Plant Equipment</t>
  </si>
  <si>
    <t>312-7RP</t>
  </si>
  <si>
    <t>Boiler Plant Equipment-7 Upgrade</t>
  </si>
  <si>
    <t>312-FCP</t>
  </si>
  <si>
    <t>Boiler Plant Equipment-8 Fuel Conversion</t>
  </si>
  <si>
    <t>312-STM</t>
  </si>
  <si>
    <t>Boiler Plant Equipment-Steam Sales</t>
  </si>
  <si>
    <t>Turbo Generator Units</t>
  </si>
  <si>
    <t>314-PVA</t>
  </si>
  <si>
    <t>Turbo Generator Units-Solar Panels/Wind Turbine</t>
  </si>
  <si>
    <t>314-STM</t>
  </si>
  <si>
    <t>Turbo Generator Units-Steam Sales</t>
  </si>
  <si>
    <t>Accessory Electric Equipment</t>
  </si>
  <si>
    <t>315-SCA</t>
  </si>
  <si>
    <t>Accessory Electric Equipment-Scada System</t>
  </si>
  <si>
    <t>315-STM</t>
  </si>
  <si>
    <t>Accessory Electric Equipment-Steam Sales</t>
  </si>
  <si>
    <t>Misc Power Plant Equipment</t>
  </si>
  <si>
    <t>Misc Coal Handling Equipment</t>
  </si>
  <si>
    <t>Rail Cars</t>
  </si>
  <si>
    <t>Generation Totals</t>
  </si>
  <si>
    <t>108-251</t>
  </si>
  <si>
    <t>TRANSMISSION</t>
  </si>
  <si>
    <t>years</t>
  </si>
  <si>
    <t>Station Equipment</t>
  </si>
  <si>
    <t>Towers &amp; Fixtures</t>
  </si>
  <si>
    <t>Poles &amp; Fixtures</t>
  </si>
  <si>
    <t>Overhead Conductors &amp; Devices</t>
  </si>
  <si>
    <t>Transmission Totals</t>
  </si>
  <si>
    <t>108-252</t>
  </si>
  <si>
    <t>DISTRIBUTION</t>
  </si>
  <si>
    <t>Storage Battery Equipment</t>
  </si>
  <si>
    <t>Poles, Towers &amp; Fixtures</t>
  </si>
  <si>
    <t>Underground Conduit</t>
  </si>
  <si>
    <t>Underground Conductors &amp; Devices</t>
  </si>
  <si>
    <t>Line Transformers</t>
  </si>
  <si>
    <t>368-437</t>
  </si>
  <si>
    <t>OH Line Transformers</t>
  </si>
  <si>
    <t>368-438</t>
  </si>
  <si>
    <t>UG Line Transformers</t>
  </si>
  <si>
    <t>369-437</t>
  </si>
  <si>
    <t>OH Services</t>
  </si>
  <si>
    <t>369-438</t>
  </si>
  <si>
    <t>UG Services</t>
  </si>
  <si>
    <t>Meters</t>
  </si>
  <si>
    <t>Installations-Customer Premises</t>
  </si>
  <si>
    <t>Surge Arrestors</t>
  </si>
  <si>
    <t>Street Lighting &amp; Signals</t>
  </si>
  <si>
    <t>373-437</t>
  </si>
  <si>
    <t>OH Street Lighting &amp; Signals</t>
  </si>
  <si>
    <t>373-438</t>
  </si>
  <si>
    <t>UG Street Lighting &amp; Signals</t>
  </si>
  <si>
    <t>Installations-Security Lights</t>
  </si>
  <si>
    <t>Distribution Totals</t>
  </si>
  <si>
    <t>108-253</t>
  </si>
  <si>
    <t>GENERAL &amp; ADMINISTRATIVE</t>
  </si>
  <si>
    <t>390-432</t>
  </si>
  <si>
    <t>Structures &amp; Improvements-Pine Street</t>
  </si>
  <si>
    <t>390-440</t>
  </si>
  <si>
    <t>Structures &amp; Improvements-A/O Center</t>
  </si>
  <si>
    <t>Office Furniture &amp; Equipment</t>
  </si>
  <si>
    <t>391-24</t>
  </si>
  <si>
    <t>Office Furniture &amp; Equipment-Computer Hardware</t>
  </si>
  <si>
    <t>391-25</t>
  </si>
  <si>
    <t>Office Furniture &amp; Equipment-Computer Software</t>
  </si>
  <si>
    <t>Transportation Equipment</t>
  </si>
  <si>
    <t>Stores Equipment</t>
  </si>
  <si>
    <t>Tools, Shop &amp; Garage Equipment</t>
  </si>
  <si>
    <t>Laboratory Equipment</t>
  </si>
  <si>
    <t>Power Operated Equipment</t>
  </si>
  <si>
    <t>Communication Equipment</t>
  </si>
  <si>
    <t>Misc Equipment</t>
  </si>
  <si>
    <t>Training Equipment</t>
  </si>
  <si>
    <t>General &amp; Administrative Totals</t>
  </si>
  <si>
    <t>108-254</t>
  </si>
  <si>
    <t>Subtotal Utility Plant</t>
  </si>
  <si>
    <t>Unall Contr</t>
  </si>
  <si>
    <t>Construction Work in Progress</t>
  </si>
  <si>
    <t>Aid for Const</t>
  </si>
  <si>
    <t>Total Utility Plant</t>
  </si>
  <si>
    <t>Totals</t>
  </si>
  <si>
    <t>Inquiry 1-023-000-000-01-0, all below FERC of 023</t>
  </si>
  <si>
    <t>OPER SUPRV</t>
  </si>
  <si>
    <t xml:space="preserve">FUEL      </t>
  </si>
  <si>
    <t xml:space="preserve">STEAM EXP </t>
  </si>
  <si>
    <t xml:space="preserve">ELEC EXP  </t>
  </si>
  <si>
    <t>MISC STEAM</t>
  </si>
  <si>
    <t>MAINT SUPV</t>
  </si>
  <si>
    <t>MAIN STRUC</t>
  </si>
  <si>
    <t>MAINT BOIL</t>
  </si>
  <si>
    <t xml:space="preserve">MAINT PLT </t>
  </si>
  <si>
    <t>MAIN M.S.P</t>
  </si>
  <si>
    <t>MAIN C.H.E</t>
  </si>
  <si>
    <t>SYS CONTRL</t>
  </si>
  <si>
    <t>HOL,VAC-GT</t>
  </si>
  <si>
    <t xml:space="preserve">OPER-SUPV </t>
  </si>
  <si>
    <t>L DISP-TRN</t>
  </si>
  <si>
    <t>STA EXP-TR</t>
  </si>
  <si>
    <t>LINE EXP-T</t>
  </si>
  <si>
    <t>MISC TRANS</t>
  </si>
  <si>
    <t xml:space="preserve">MAIN SUPV </t>
  </si>
  <si>
    <t>STA EQ-TRN</t>
  </si>
  <si>
    <t>M LINES-TR</t>
  </si>
  <si>
    <t>HOL,VAC-TR</t>
  </si>
  <si>
    <t xml:space="preserve">OPER SUPV </t>
  </si>
  <si>
    <t>L DISP-DIS</t>
  </si>
  <si>
    <t>STA EXP-DS</t>
  </si>
  <si>
    <t>O LINE EXP</t>
  </si>
  <si>
    <t>U LINE EXP</t>
  </si>
  <si>
    <t xml:space="preserve">ST LT&amp;SIG </t>
  </si>
  <si>
    <t xml:space="preserve">METER EXP </t>
  </si>
  <si>
    <t>CUST INSTL</t>
  </si>
  <si>
    <t>MISC DISTR</t>
  </si>
  <si>
    <t>VEHICLE EX</t>
  </si>
  <si>
    <t>MAINT SUPR</t>
  </si>
  <si>
    <t>STA EQ-DIS</t>
  </si>
  <si>
    <t>MNT-OH LNS</t>
  </si>
  <si>
    <t>MNT U LINE</t>
  </si>
  <si>
    <t>MAIN TRANS</t>
  </si>
  <si>
    <t>M ST LT&amp;SG</t>
  </si>
  <si>
    <t xml:space="preserve">METER MNT </t>
  </si>
  <si>
    <t>MNT MISC-D</t>
  </si>
  <si>
    <t>HOL,VAC-DS</t>
  </si>
  <si>
    <t xml:space="preserve">SUPV      </t>
  </si>
  <si>
    <t>METER READ</t>
  </si>
  <si>
    <t xml:space="preserve">CUST REC  </t>
  </si>
  <si>
    <t>HOL,SK,VAC</t>
  </si>
  <si>
    <t>ELEC RANGE</t>
  </si>
  <si>
    <t>ELEC-WTRHE</t>
  </si>
  <si>
    <t xml:space="preserve">ADMIN&amp;GEN </t>
  </si>
  <si>
    <t xml:space="preserve">OFF SUPP  </t>
  </si>
  <si>
    <t>INJ &amp; DAMG</t>
  </si>
  <si>
    <t xml:space="preserve">MISC GEN  </t>
  </si>
  <si>
    <t xml:space="preserve">MAINT GEN </t>
  </si>
  <si>
    <t xml:space="preserve">MAINT-A/O </t>
  </si>
  <si>
    <t>FERC</t>
  </si>
  <si>
    <t xml:space="preserve">Desc      </t>
  </si>
  <si>
    <t xml:space="preserve">Actual Dollars          </t>
  </si>
  <si>
    <t xml:space="preserve">   </t>
  </si>
  <si>
    <t xml:space="preserve">          </t>
  </si>
  <si>
    <t>69 kV Lines</t>
  </si>
  <si>
    <t>Account 350</t>
  </si>
  <si>
    <t>Account 354</t>
  </si>
  <si>
    <t>Account 355</t>
  </si>
  <si>
    <t>Account 356</t>
  </si>
  <si>
    <t>Total Miles of 69 kV Lines</t>
  </si>
  <si>
    <t>Radial 69 kV Lines</t>
  </si>
  <si>
    <t>Per Paul Reising's 7-factor test</t>
  </si>
  <si>
    <t>Grandview Tap</t>
  </si>
  <si>
    <t>Line 94</t>
  </si>
  <si>
    <t>Line 96</t>
  </si>
  <si>
    <t>Total Miles Radial Lines</t>
  </si>
  <si>
    <t>Ratio Radial Mile to Total Miles</t>
  </si>
  <si>
    <t>Allocation of Total 69 kV Line Plant in Service to Radial Lines</t>
  </si>
  <si>
    <t>Used on Page 4</t>
  </si>
  <si>
    <t>Schedule 11</t>
  </si>
  <si>
    <t>Month expensed</t>
  </si>
  <si>
    <t>Schedule 10</t>
  </si>
  <si>
    <t>On Hand</t>
  </si>
  <si>
    <t>Total Cost</t>
  </si>
  <si>
    <t>Last Cost</t>
  </si>
  <si>
    <t>Unit</t>
  </si>
  <si>
    <t>Staged</t>
  </si>
  <si>
    <t>112406</t>
  </si>
  <si>
    <t>CS</t>
  </si>
  <si>
    <t>EA</t>
  </si>
  <si>
    <t>RELAY, RECLOSING, TYPE BE1-79 (REPAIRABLE PART CONTACT TECH SERVICE A/O)</t>
  </si>
  <si>
    <t>C1-5-2-5</t>
  </si>
  <si>
    <t>PP</t>
  </si>
  <si>
    <t>112821</t>
  </si>
  <si>
    <t>RELAY, DUAL OVERCURRENT, SEL-501</t>
  </si>
  <si>
    <t>C1-11-15</t>
  </si>
  <si>
    <t>112822</t>
  </si>
  <si>
    <t>RELAY, PHASE &amp; GROUND DISTANCE, DIRECTIONAL OVERCURRENT, SEL-321-1</t>
  </si>
  <si>
    <t>C1-11-10</t>
  </si>
  <si>
    <t>112823</t>
  </si>
  <si>
    <t>RELAY, PHASE &amp; GROUND DISTANCE, DIRECTIONAL OVERCURRENT, SYNCHRONISM CHECK, RECLOSING, SEL-221F-2 (ORDER UPON REQUEST PER TECHNICAL SERVICES SUPERVISOR ONLY)</t>
  </si>
  <si>
    <t>C1-11-9</t>
  </si>
  <si>
    <t>115317</t>
  </si>
  <si>
    <t>ARM - DAVIT,STEEL- FOR WOOD POLE TANGENT STRUCTURES, ITT MEYER (ORDER UPON REQUEST)</t>
  </si>
  <si>
    <t>CY-YD-1-1</t>
  </si>
  <si>
    <t>TD</t>
  </si>
  <si>
    <t>115340</t>
  </si>
  <si>
    <t>AO</t>
  </si>
  <si>
    <t>BAND - POLE, 2 WAY, HUGHES BROS. #3107.5, (SHEAR BLOCK) (ORDER UPON REQUEST)</t>
  </si>
  <si>
    <t>A2-AVAIL</t>
  </si>
  <si>
    <t>115341</t>
  </si>
  <si>
    <t>BAND - POLE, 2 WAY, HEAVY DUTY_16,000# 10-12" HUGHES BROS. 3107.6, (SHEAR BLOCK) (ORDER UPON REQUEST)</t>
  </si>
  <si>
    <t>A1-8-2-2</t>
  </si>
  <si>
    <t>115342</t>
  </si>
  <si>
    <t>BAND - POLE, 2 WAY, HEAVY DUTY_16,000# 12-14" HUGHES BROS. 3107.7 (SHEAR BLOCK) (ORDER UPON REQUEST)</t>
  </si>
  <si>
    <t>115343</t>
  </si>
  <si>
    <t>SET</t>
  </si>
  <si>
    <t>BAND - POLE, 2 WAY, HEAVY DUTY_16,000# 14-16" HUGHES BROS. 3107.8 (SHEAR BLOCK) (ORDER UPON REQUEST)</t>
  </si>
  <si>
    <t>115366</t>
  </si>
  <si>
    <t>BOLT - D.A., 1 X 14 BB1014 HUGHES BROTHERS (ORDER UPON REQUEST)(15/BOX)</t>
  </si>
  <si>
    <t>C5-4-3-1</t>
  </si>
  <si>
    <t>115367</t>
  </si>
  <si>
    <t>BOLT - D.A., 1 X 16, BB1016 HUGHES BROTHERS (ORDER UPON REQUEST)(15/BOX)</t>
  </si>
  <si>
    <t>C5-AVAIL</t>
  </si>
  <si>
    <t>115368</t>
  </si>
  <si>
    <t>BOLT - D.A., 1 X 20, BB1020 HUGHES BROTHERS (ORDER UPON REQUEST)(10/BOX)</t>
  </si>
  <si>
    <t>A1-AVAIL</t>
  </si>
  <si>
    <t>115369</t>
  </si>
  <si>
    <t>BOLT - D.A., 1 X 22, BB1022 HUGHES BROTHERS (ORDER UPON REQUEST)(10/BOX)</t>
  </si>
  <si>
    <t>115370</t>
  </si>
  <si>
    <t>BOLT - D.A., 1 X 24, BB1024 HUGHES BROTHERS (ORDER UPON REQUEST)(10/BOX)</t>
  </si>
  <si>
    <t>C5-4-3-2</t>
  </si>
  <si>
    <t>115371</t>
  </si>
  <si>
    <t>BOLT - D.A., 1 X 26, BB1026 HUGHES BROTHERS (ORDER UPON REQUEST)(10/BOX)</t>
  </si>
  <si>
    <t>115394</t>
  </si>
  <si>
    <t>BOLT - MACHINE, 1 X 12 B1012 HUGHES BROTHERS (ORDER UPON REQUEST)(15/BOX)</t>
  </si>
  <si>
    <t>C5-3-6-4</t>
  </si>
  <si>
    <t>115395</t>
  </si>
  <si>
    <t>BOLT - MACHINE, 1 X 14 B1014 HUGHES BROTHERS (ORDER UPON REQUEST)(15/BOX)</t>
  </si>
  <si>
    <t>115396</t>
  </si>
  <si>
    <t>BOLT - MACHINE, 1 X 16 B1016-6HUGHES BROTHERS (ORDER UPON REQUEST)(10/BOX)</t>
  </si>
  <si>
    <t>115397</t>
  </si>
  <si>
    <t>BOLT - MACHINE, 1 X 18 B1018 HUGHES BROTHERS (ORDER UPON REQUEST)(10/BOX)</t>
  </si>
  <si>
    <t>115398</t>
  </si>
  <si>
    <t>BOLT - MACHINE, 1 X 20 B1020 HUGHES BROTHERS (ORDER UPON REQUEST)(10/BOX)</t>
  </si>
  <si>
    <t>115399</t>
  </si>
  <si>
    <t>BOLT - MACHINE, 1 X 22 B1022 HUGHES BROTHERS (ORDER UPON REQUEST)(10/BOX)</t>
  </si>
  <si>
    <t>C5-3-7-3</t>
  </si>
  <si>
    <t>115401</t>
  </si>
  <si>
    <t>BOLT - STUD BOLT W/4 SQ. NUTS,3/4" X 7" JOSLYN JIMS-523-4273, FOR USE ON POLE BAND ASSEMBLIES, OLD MPW 97-151 &amp; 152</t>
  </si>
  <si>
    <t>115410</t>
  </si>
  <si>
    <t>TUBE, POLYGLASS ROUND 5/8"X20', FOR GROUNDWIRE INSULATION ON TRANSMISSION POLES</t>
  </si>
  <si>
    <t>A2-7-END</t>
  </si>
  <si>
    <t>115454</t>
  </si>
  <si>
    <t>CLAMP, 3-BOLT, RANGE 5/16 - 1/2 STR.</t>
  </si>
  <si>
    <t>A1-10-1-3</t>
  </si>
  <si>
    <t>115472</t>
  </si>
  <si>
    <t>CLAMP, STRAIGHT STRAIN - DEADEND BETHEA HSD-58-S FOR 636.4 MCM ACSR 26/7</t>
  </si>
  <si>
    <t>A1-9-4-4</t>
  </si>
  <si>
    <t>115476</t>
  </si>
  <si>
    <t>CLAMP, SUSPENSION, ALUMINUM JOSLYN BT6208, BETHEA LS-8-5 FOR 636.0 MCM ACSR 26/7</t>
  </si>
  <si>
    <t>A1-10-2-1</t>
  </si>
  <si>
    <t>115477</t>
  </si>
  <si>
    <t>CLAMP, SUSPENSION, FOR BARE 954MCM BETHEA LS3-S</t>
  </si>
  <si>
    <t>A1-10-2-2</t>
  </si>
  <si>
    <t>115631</t>
  </si>
  <si>
    <t>DEAD END, COMPRESSION DEAD END_WITH JUMPER TERMINAL FARGO #82A79 FOR 7 NO. 9 ALUMOWELD</t>
  </si>
  <si>
    <t>A1-9-2-2</t>
  </si>
  <si>
    <t>115632</t>
  </si>
  <si>
    <t>DEAD END, COMPRESSION DEAD END_FOR 636 MCM ACSR CONSISTING OF FARGO 12105, 130739 AND 30105</t>
  </si>
  <si>
    <t>115633</t>
  </si>
  <si>
    <t>DEAD END, COMPRESSION, FOR 954_KCMIL 45/7 ACSR CONSISTING OF FARGO 12123 ALUMINUM BODY, 131431 STEEL BODY AND 30123 JUMPER TERMINAL</t>
  </si>
  <si>
    <t>115634</t>
  </si>
  <si>
    <t>DEAD END, COMPRESSION, FOR 1590 KCMIL 45/7 ACSR, CONSISTING OF FARGO 12157 ALUMINUM BODY, 132140 STEEL BODY AND 30157 JUMPER TERMINAL</t>
  </si>
  <si>
    <t>115737</t>
  </si>
  <si>
    <t>INSULATOR - STAND OFF 69KV - SILICON -  HORIZ. LINE POST, OHIO BRASS #80S069-0100, HI-LITE SERIES 175, COMPLETE WITH #TSC200 ALUMINUM CLAMP TOP CLAMP</t>
  </si>
  <si>
    <t>A2-4-2-4</t>
  </si>
  <si>
    <t>115738</t>
  </si>
  <si>
    <t>INSULATOR - STAND OFF - 69 KV - PORCLEIN- HORIZONTAL MOUNTING, CLAMP TYPE WITH INTEGRAL BASE &amp; GAIN LAPP 4766-70 (ORDER IN PAIRS)</t>
  </si>
  <si>
    <t>A2-4-2-3</t>
  </si>
  <si>
    <t>115739</t>
  </si>
  <si>
    <t>INSULATOR - STAND OFF - 161 KV_LINE POST JUMPER ASSEMBLY WOOD POLE, USE WITH #47114 CLAMP LAPP 76073A</t>
  </si>
  <si>
    <t>115740</t>
  </si>
  <si>
    <t>INSULATOR - STAND OFF - 161 KV_LINE POST JUMPER ASSEMBLY STEEL POLE, USE WITH #47114 CLAMP LAPP 76094</t>
  </si>
  <si>
    <t>A1-9-4-3</t>
  </si>
  <si>
    <t>115742</t>
  </si>
  <si>
    <t>INSULATOR - STATION POST - 161KV, 750 BIL, 5" BC, NEMA STANDARD TR291, ANSI #70 GRAY LAPP 51161</t>
  </si>
  <si>
    <t>A2-4-1-3</t>
  </si>
  <si>
    <t>115745</t>
  </si>
  <si>
    <t>INSULATOR - STAND OFF - 69 KV AND SOCKET 10", 20000# PORCELAIN DISC, LAPP 8200-70, FOR USE ON DEAD ENDS ON 161KV</t>
  </si>
  <si>
    <t>115749</t>
  </si>
  <si>
    <t>INSULATOR, PEDESTAL POST SWITCH AND BUS, 69KV STACKING TYPE-LAPP #315016-70 GRAY</t>
  </si>
  <si>
    <t>115761</t>
  </si>
  <si>
    <t>LINKS - DOUBLE EYE, JOSLYN BT3085, TWISTED 90 DEGREE 3-3/8 X 7/8 X 9/16 X 1-1/8, 30,000# STRENGTH</t>
  </si>
  <si>
    <t>115764</t>
  </si>
  <si>
    <t>LINKS - POLE BAND, CONNECTING,PAIRS HUGHES BROTHERS 3155, 3/8 X 3 X 9-1/2, (2) 1-1/16" HOLES USED ON HUGHES 2-WAY POLE BANDS (ORDER UPON REQUEST)</t>
  </si>
  <si>
    <t>115768</t>
  </si>
  <si>
    <t>LUG - COMPRESSION, 7,#9 ALUMOWELD, 2-HOLE BURNDY YNA7M9T (ORDER UPON REQUEST)</t>
  </si>
  <si>
    <t>A1-4-3-1</t>
  </si>
  <si>
    <t>115788</t>
  </si>
  <si>
    <t>LUG, COMPRESSION, 636 MCM, 26/7 ALUM., 2-HOLE HY-LUG</t>
  </si>
  <si>
    <t>A1-4-3-5</t>
  </si>
  <si>
    <t>115789</t>
  </si>
  <si>
    <t>LUG, COMPRESSION, 636 MCM, 26/7 ALUM., 4-HOLE</t>
  </si>
  <si>
    <t>A1-4-3-4</t>
  </si>
  <si>
    <t>115794</t>
  </si>
  <si>
    <t>LUG, COMPRESSION, 954 MCM, 45/7, 4-HOLE</t>
  </si>
  <si>
    <t>A1-4-3-6</t>
  </si>
  <si>
    <t>115835</t>
  </si>
  <si>
    <t>POLE - WOOD - 60 FT. CLASS 2 (INVENTORY COLOR CODE-ORANGE CIRCLE) (delete when zero)</t>
  </si>
  <si>
    <t>CY-YD 4-3</t>
  </si>
  <si>
    <t>115836</t>
  </si>
  <si>
    <t>POLE - WOOD - 60 FT. CLASS 1 (INVENTORY COLOR CODE-ORANGE CIRCLE) (AS NOTED IN SPECIFICATION DRAWING #ACS0001A DATED 02/13/06)</t>
  </si>
  <si>
    <t>CY-YD 1-1</t>
  </si>
  <si>
    <t>115837</t>
  </si>
  <si>
    <t>POLE, WOOD, 65', CLASS 2, (INVENTORY COLOR CODE-YELLOW CIRCLE) (delete when zero)</t>
  </si>
  <si>
    <t>115838</t>
  </si>
  <si>
    <t>POLE - WOOD - 65 FT. CLASS 1 (INVENTORY COLOR CODE-YELLOW CIRCLE) (AS NOTED IN SPECIFICATION DRAWING #ACS0001A DATED 02/13/06)</t>
  </si>
  <si>
    <t>115839</t>
  </si>
  <si>
    <t>POLE, WOOD, 70 FT CLASS 1 (INVENTORY COLOR CODE-GREEN CIRCLE)</t>
  </si>
  <si>
    <t>115840</t>
  </si>
  <si>
    <t>POLE - WOOD - 70 FT. CLASS H1 (INVENTORY COLOR CODE-GREEN CIRCLE) ORDER UPON REQUEST ONLY</t>
  </si>
  <si>
    <t>CY-AVAIL</t>
  </si>
  <si>
    <t>115841</t>
  </si>
  <si>
    <t>POLE, WOOD, 75 FT. CLASS 1 (INVENTORY COLOR CODE-WHITE CIRCLE)</t>
  </si>
  <si>
    <t>115842</t>
  </si>
  <si>
    <t>POLE - WOOD - 75 FT. CLASS H1 (INVENTORY COLOR CODE-WHITE CIRCLE) (ORDER UPON REQUEST)</t>
  </si>
  <si>
    <t>115843</t>
  </si>
  <si>
    <t>POLE - WOOD - 80 FT. CLASS 2 (INVENTORY COLOR CODE-BLUE CIRCLE) (delete when zero)</t>
  </si>
  <si>
    <t>115844</t>
  </si>
  <si>
    <t>POLE - WOOD - 80 FT. CLASS 1 (INVENTORY COLOR CODE-BLUE CIRCLE)</t>
  </si>
  <si>
    <t>115845</t>
  </si>
  <si>
    <t>POLE - WOOD - 85 FT. CLASS 1 (INVENTORY COLOR CODE-RED CIRCLE) (ORDER UPON REQUEST)</t>
  </si>
  <si>
    <t>115846</t>
  </si>
  <si>
    <t>POLE, WOOD, 85 FT., CLASS H1, (ORDER UPON REQUEST)</t>
  </si>
  <si>
    <t>115847</t>
  </si>
  <si>
    <t>POLE, WOOD, 90 FT, CLASS 1 (ORDER UPON REQUEST)</t>
  </si>
  <si>
    <t>CY-Y 1-1</t>
  </si>
  <si>
    <t>115848</t>
  </si>
  <si>
    <t>POLE, WOOD, 90 FT., CLASS H1, (ORDER UPON REQUEST)</t>
  </si>
  <si>
    <t>115849</t>
  </si>
  <si>
    <t>POLE, WOOD, 95 FT. CLASS H1, (ORDER UPON REQUEST)</t>
  </si>
  <si>
    <t>115850</t>
  </si>
  <si>
    <t>POLE, WOOD, 100 FT CLASS 0 (ORDER UPON REQUEST)</t>
  </si>
  <si>
    <t>115854</t>
  </si>
  <si>
    <t>ROD, ARMOR, PREFORMED 7 #9 ALUMOWELD AR2126</t>
  </si>
  <si>
    <t>A2-2-1-4K</t>
  </si>
  <si>
    <t>115859</t>
  </si>
  <si>
    <t>ROD, ARMOR, PREFORMED 636, MCM_26/7 ACSR AL AR0137, STANDARD PK 9 EA</t>
  </si>
  <si>
    <t>A2-2-1-4U</t>
  </si>
  <si>
    <t>115860</t>
  </si>
  <si>
    <t>ROD, ARMOR, PREFORMED 954 MCM ACSR, AR0143</t>
  </si>
  <si>
    <t>A2-2-1-4V</t>
  </si>
  <si>
    <t>115899</t>
  </si>
  <si>
    <t>SLEEVE, FULL TENSION, FOR 7 #9_ALUMOWELD, HYSPLICE</t>
  </si>
  <si>
    <t>A1-4-2-1</t>
  </si>
  <si>
    <t>115913</t>
  </si>
  <si>
    <t>SLEEVE, FULL TENSION, FOR 636.0 ACSR GROSBEAK, HYSPLICE (ALUMINUM OUTER SLEEVE)</t>
  </si>
  <si>
    <t>A1-4-2-5</t>
  </si>
  <si>
    <t>115914</t>
  </si>
  <si>
    <t>SLEEVE, FULL TENSION, FOR 636.0 ACSR GROSBEAK (STEEL INNERSLEEVE)</t>
  </si>
  <si>
    <t>A1-4-2-2</t>
  </si>
  <si>
    <t>115915</t>
  </si>
  <si>
    <t>SLEEVE, FULL TENSION, FOR 954 KCMIL 45/7 ACSR FARGO 10123 ALUMINUM SLEEVE &amp; FARGO 11313 STEEL SLEEVE</t>
  </si>
  <si>
    <t>A1-1-9-5</t>
  </si>
  <si>
    <t>115916</t>
  </si>
  <si>
    <t>SLEEVE, FULL TENSION, FOR 1590_KCMIL 45/7 ACSR FARGO 10157 ALUMINUM SLEEVE &amp; FARGO 11405 STEEL SLEEVE</t>
  </si>
  <si>
    <t>A1-1-9-4</t>
  </si>
  <si>
    <t>115936</t>
  </si>
  <si>
    <t>SLEEVE, JUMPER, FOR 636.0-26/7_ALUMINUM ACSR, HYSPLICE</t>
  </si>
  <si>
    <t>A1-3-8-4</t>
  </si>
  <si>
    <t>115941</t>
  </si>
  <si>
    <t>SLEEVE - REPAIR-FOR 636 MCM, PREFORMED LS-0148</t>
  </si>
  <si>
    <t>A2-2-1-4W</t>
  </si>
  <si>
    <t>115942</t>
  </si>
  <si>
    <t>SLEEVE, REPAIR, FOR 636.0-26/7_ACSR, HYSPLICE</t>
  </si>
  <si>
    <t>115943</t>
  </si>
  <si>
    <t>SLEEVE, REPAIR, FOR 954 MCM, PREFORMED LS-0152 OVERHEAD WIRE STRANDING 45/7</t>
  </si>
  <si>
    <t>A1-14-FL-A</t>
  </si>
  <si>
    <t>116034</t>
  </si>
  <si>
    <t>FT</t>
  </si>
  <si>
    <t>WIRE, ALUMINUM, 636 MCM, 26/7 STRAND, ACSR, GROSBEAK (CONTACT T&amp;D SUPERVISOR BEFORE REORDER)</t>
  </si>
  <si>
    <t>C5-18 17-3</t>
  </si>
  <si>
    <t>116037</t>
  </si>
  <si>
    <t>WIRE, ALUMINUM, 954 MCM, 45/7 STRAND, ACSR, RAIL</t>
  </si>
  <si>
    <t>C5-10 16-3</t>
  </si>
  <si>
    <t>116038</t>
  </si>
  <si>
    <t>WIRE, ALUMINUM, 1590 MCM, 45/7STRAND ACSR, LAPWING</t>
  </si>
  <si>
    <t>C5-4-9-3</t>
  </si>
  <si>
    <t>116054</t>
  </si>
  <si>
    <t>WIRE, MISC., ALUMOWELD, 7, NO.9 (FOOTAGE ON ONE CONTINUOUS REEL)</t>
  </si>
  <si>
    <t>AY-YD 6</t>
  </si>
  <si>
    <t>116057</t>
  </si>
  <si>
    <t>WIRE, MISC., GUY STRAND, 7/16", EXTRA STRENGTH, A COATING SPECIFICATION 363</t>
  </si>
  <si>
    <t>A2-3-1-3</t>
  </si>
  <si>
    <t>116063</t>
  </si>
  <si>
    <t>CABLE, 750 KCMIL, AL, 69KV, UNDERGROUND, KERITE PERMASHIELD WITH 125 MIL JACKET (CONTACT T &amp; D SUPV.)</t>
  </si>
  <si>
    <t>A2-2-1-2</t>
  </si>
  <si>
    <t>116064</t>
  </si>
  <si>
    <t>CABLE, 750 KCMIL, KV, 69 KV, UNDERGROUND OKONITE, OKOGUARD SHIELDED POWER, WITH 140 MIL JACKET, EPR, COPPER (CONTACT T &amp; D SUPV.)</t>
  </si>
  <si>
    <t>A1-13-1-EN</t>
  </si>
  <si>
    <t>116065</t>
  </si>
  <si>
    <t>SPL</t>
  </si>
  <si>
    <t>CABLE, 1000 KCMIL, 69 KV, COPPER, FOR LINE 97 OR LINE 96 BUSTIE (CONTACT T&amp;D SUPERVISOR BEFORE REORDER)</t>
  </si>
  <si>
    <t>C5-R2 20-3</t>
  </si>
  <si>
    <t>116198</t>
  </si>
  <si>
    <t>TRANSFORMER, POTENTIAL 69KV PRIMARY 115/67 V, SECONDARY, DUAL WINDING WITH 350/600:1:1 RATIO</t>
  </si>
  <si>
    <t>AY-YD 12</t>
  </si>
  <si>
    <t>116372</t>
  </si>
  <si>
    <t>RING, PISTON FOR ALLIS-CHALMERS 69KV OCBS</t>
  </si>
  <si>
    <t>A4-V2-9</t>
  </si>
  <si>
    <t>TS</t>
  </si>
  <si>
    <t>116402</t>
  </si>
  <si>
    <t>COIL, CLOSE, 125VDC CONTROL VALVE FOR G.E. 161KV OCB</t>
  </si>
  <si>
    <t>A4-V2-11</t>
  </si>
  <si>
    <t>116403</t>
  </si>
  <si>
    <t>COIL, TRIP, 125VDC FOR G.E. 161KV OCB</t>
  </si>
  <si>
    <t>116438</t>
  </si>
  <si>
    <t>SEAL, O-RING, PILOT VALVE SEATON G.E. 161KV OCB PNEUMATIC CONTROL VALVE</t>
  </si>
  <si>
    <t>116439</t>
  </si>
  <si>
    <t>RING, SHIM, FOR G.E. PNEUMATICCONTROL VALVE ON G.E. 161KV OCB</t>
  </si>
  <si>
    <t>116441</t>
  </si>
  <si>
    <t>QUADRING, FOR G.E. MA-13-4A PNEUMATIC CONTROL VALVE ON 161KVOCB</t>
  </si>
  <si>
    <t>116442</t>
  </si>
  <si>
    <t>SEAL, O-RING, MAIN CONTROL VALVE FLANGE FOR G.E. 161KV OCB PNEUMATIC OPERATING CONTROL VALVE</t>
  </si>
  <si>
    <t>116506</t>
  </si>
  <si>
    <t>SWITCH, LIVE PARTS FOR 1 PHASETYPE EV 115-161 KV 1200 AMP DWG #D-20080108 (ASSEMBLED)HORIZONTAL MOUNTING (LOCATED INSIDE SUBSTATION)</t>
  </si>
  <si>
    <t>A6-#9 SUB</t>
  </si>
  <si>
    <t>116507</t>
  </si>
  <si>
    <t>BUSHING, VER.1 TYPEO PLUS C"_YEAR 1988, STYLE 1611620UR L DIM. 50.25 KV 161 BIL KV 750 MAX L-G KV 146 AMPS 1600/2000 SERIAL 01-90040 161 BREAKERS (REPAIRABLE ORDER UPON REQUEST)</t>
  </si>
  <si>
    <t>A6-9SUB 2</t>
  </si>
  <si>
    <t>116515</t>
  </si>
  <si>
    <t>RELAY, AUXILLIARY GENERAL ELECTRIC STDP FOR G.E. BREAKER</t>
  </si>
  <si>
    <t>A4-V1-11</t>
  </si>
  <si>
    <t>116602</t>
  </si>
  <si>
    <t>SEAL, O-RING, PILOT ARMATURE ADAPTER INSERT, FOR G.E. 161KV OCB MA-13-4A PNEUMATIC OPER. CONTROL VALVE</t>
  </si>
  <si>
    <t>116608</t>
  </si>
  <si>
    <t>SWITCH, PRESSURE, 3 UNIT ASSY,_MCGRAW EDISON 69KV BREAKERS</t>
  </si>
  <si>
    <t>A4-V2-10</t>
  </si>
  <si>
    <t>116609</t>
  </si>
  <si>
    <t>COIL, TRIP, 125VDC, FOR MCGRAW-EDISON 69KV BREAKER</t>
  </si>
  <si>
    <t>116610</t>
  </si>
  <si>
    <t>COIL, 52-X OR Y RELAY, 230VAC,FOR 69KV MCGRAW EDISON BREAKERS</t>
  </si>
  <si>
    <t>116611</t>
  </si>
  <si>
    <t>COIL, CLOSING, SOLENOID FOR MCGRAW-EDISON 69KV OCB</t>
  </si>
  <si>
    <t>116612</t>
  </si>
  <si>
    <t>HOSE, PRESSURE LINE, 3/8" X 24-1/4" FROM VALVE BLOCK TO PRESSURE SWITCHES FOR MCGRAW-EDISON 69KV OCB</t>
  </si>
  <si>
    <t>116646</t>
  </si>
  <si>
    <t>BUSHING, LAPP INSULATOR 69KV BIL 350 400/1200 AMP, SERIAL 70-358 70-337 70-393 (69KV BREAKER) (OLD #B-88580)</t>
  </si>
  <si>
    <t>A7-PINESUB</t>
  </si>
  <si>
    <t>116647</t>
  </si>
  <si>
    <t>BUSHING, MCGRAW-EDISON, CLASS KV 161 MAX KV TO GND 102 BIL KV 750 L. 50.25 IN. YEAR 1980 S/N PA G63431 (AUTO TRANSFOR- MERS HIGH VOLTAGE) (OLD #502-NN-701)</t>
  </si>
  <si>
    <t>A6-9SUB15</t>
  </si>
  <si>
    <t>116648</t>
  </si>
  <si>
    <t>BUSHING, MCGRAW-EDISON 69KV MAX KV TO GRN 44 YEAR 1981 BIL 350 L.IN 37.5 AMPS 1200 S/N PA A65772 (L.V. AUTO TRANS- FORMERS)</t>
  </si>
  <si>
    <t>A1-PINEST</t>
  </si>
  <si>
    <t>116649</t>
  </si>
  <si>
    <t>TERMINATOR, CABLE PSC MODEL F MAX CONDUCTOR SIZE 1000 MCM RATED 69KV 1000 AMPS BIL 350 (69KV UNDERGROUND CABLE) (LOCATED INSIDE SUBSTATION)</t>
  </si>
  <si>
    <t>116660</t>
  </si>
  <si>
    <t>BUSHING, GENERAL ELECTRIC, TYPE U CLASS BT 69 YEAR 1980 AMPS 1200 L 33.5", MAX KV TO GRN 44 BIL 350, SERIAL 2126829 69KV PP4 AND WEST.</t>
  </si>
  <si>
    <t>A6-9SUB 8</t>
  </si>
  <si>
    <t>116672</t>
  </si>
  <si>
    <t>BUSHING, OHIO BRASS CONDENSER GK 50 CLASS 161KV BIL 750 MAX KV TO GND 146 YEAR 1980 TRANSF. 800/1600 OCB 2000 AMPS L. 50.25" SER.#229481-07653, GENERAL SERVICE #9</t>
  </si>
  <si>
    <t>A6-9SUB16</t>
  </si>
  <si>
    <t>116673</t>
  </si>
  <si>
    <t>BUSHING, 69KV CLASS BTY 69 TYPE U AMPS, 2000 L. 31", YEAR 1980 BIL 350 MAX KV TO GRD 44, SER 2127968, 69KV PP4 AND WEST.</t>
  </si>
  <si>
    <t>A6-9SUB11</t>
  </si>
  <si>
    <t>116681</t>
  </si>
  <si>
    <t>BELT, V.2450 GATES, FOR G.E. FK-439-14.4-1000, G.E. FK-439-14.4-1500-2, G.E. FK-161-5000-1, WESTINGHOUSE G0-4-A,10 BREAKERS</t>
  </si>
  <si>
    <t>A4-V4-3</t>
  </si>
  <si>
    <t>116692</t>
  </si>
  <si>
    <t>GASKET, TANK TYPE TD0-69 1200 AMPER 69KV, REF #29 FIGURE 2 INSTRUCTION BOOK BWX 6676-1, FOR ALLIS-CHALMERS BREAKERS</t>
  </si>
  <si>
    <t>A4-V4-6</t>
  </si>
  <si>
    <t>116693</t>
  </si>
  <si>
    <t>GASKET, MANHOLE COVER TYPE LB069 1200 AMPERS 69KV, REF #41 FIGURE 2 INSTRUCTION BOOK BWX 6728, FOR ALLIS-CHALMERS BREAKERS</t>
  </si>
  <si>
    <t>116697</t>
  </si>
  <si>
    <t>VALVE, CHECK, FOR 161KV BREAKER, G.E. REQ 397-12856, FIG #3, REF #4</t>
  </si>
  <si>
    <t>A4-V3-5</t>
  </si>
  <si>
    <t>116698</t>
  </si>
  <si>
    <t>RINGS, SET OF BACKUP FOR CHECK_VALVE 161KV, G.E. REQ #397- 12856, FIG #3, REF #0</t>
  </si>
  <si>
    <t>116699</t>
  </si>
  <si>
    <t>SPRING, PISTON FOR UNIT #9 161KV BREAKERS, FIG #25, REF #19</t>
  </si>
  <si>
    <t>116700</t>
  </si>
  <si>
    <t>VALVE, PISTON AND EXHAUST FOR UNIT #9 161KV BREAKERS FIG #25, REF #22</t>
  </si>
  <si>
    <t>116703</t>
  </si>
  <si>
    <t>COVER AND SPRING ASSEMBLY, FOR_VARIOUS SEAL-IN UNITS OF WESTINGHOUSE PROTECTIVE RELAYS</t>
  </si>
  <si>
    <t>A4-V1-4</t>
  </si>
  <si>
    <t>116712</t>
  </si>
  <si>
    <t>SCREW, UPPER BEARING, FOR CV2 PROTECTIVE RELAY</t>
  </si>
  <si>
    <t>116713</t>
  </si>
  <si>
    <t>SCREW, LOWER BEARING, FOR CV-2_RELAY</t>
  </si>
  <si>
    <t>116714</t>
  </si>
  <si>
    <t>BEARING, LOWER, FOR CV-2 RELAY</t>
  </si>
  <si>
    <t>116715</t>
  </si>
  <si>
    <t>RECTIFIER, 16A, 1000V, COM. CATH., DO-4 USED FOR SUBSTATION CLOSE CONTROL (BLOCKING)</t>
  </si>
  <si>
    <t>A4-V1-6</t>
  </si>
  <si>
    <t>116728</t>
  </si>
  <si>
    <t>COUNTER, RATCHET DRIVE, 5 FIGURES FLANGE CASE, VEEDER-ROOT MODEL NO. 746045-001 FOR 69KV ALLIS-CHALMERS BREAKERS</t>
  </si>
  <si>
    <t>A4-V2-3</t>
  </si>
  <si>
    <t>116750</t>
  </si>
  <si>
    <t>VALVE, SOLENOID OPERATED CONTROL, VOLTS 125 VDC, P/N 72-212-429-801, FOR ALLIS-CHALMERS 69KV OCB</t>
  </si>
  <si>
    <t>116761</t>
  </si>
  <si>
    <t>BUSHING, WESTINGHOUSE, AMPS 400/1200, SN DM-7381, CAT #6912C37, KEY 592, 69KV, YEAR 1970, ASAI", DIM 37.5, TYPE O, SOUTH SUB AUTO 69KV LOW VOLTAGE</t>
  </si>
  <si>
    <t>116784</t>
  </si>
  <si>
    <t>A2-4-2-2</t>
  </si>
  <si>
    <t>116794</t>
  </si>
  <si>
    <t>INTERFACE, PROTECTIVE RELAYING, TRANMIT DTT XMT UNIT E/W 2 CODE A&amp;Q</t>
  </si>
  <si>
    <t>A4-V9-6</t>
  </si>
  <si>
    <t>116795</t>
  </si>
  <si>
    <t>INTERFACE, PROTECTIVE RELAY, RECEIVE, DTT RCV UNIT E/W 2 CODE A&amp;Q</t>
  </si>
  <si>
    <t>116800</t>
  </si>
  <si>
    <t>SPRING, SPIRAL, FOR IRQ-8 RELAY</t>
  </si>
  <si>
    <t>116801</t>
  </si>
  <si>
    <t>COVER, WITH GASKET, FOR KRQ RELAY</t>
  </si>
  <si>
    <t>A4-V1-1</t>
  </si>
  <si>
    <t>116804</t>
  </si>
  <si>
    <t>COVER, WITH GASKET, FOR KD-10 RELAY (ALTERNATE MFGER P/N 1877786)</t>
  </si>
  <si>
    <t>116805</t>
  </si>
  <si>
    <t>CONTACT, MOVING, SPRING AND ADJUSTER FOR CVE-1 RELAY</t>
  </si>
  <si>
    <t>116809</t>
  </si>
  <si>
    <t>CHASSIS, FOCUS (PART OF HCB PILOT RELAYING SYSTEM) (ORDER UPON REQUEST)</t>
  </si>
  <si>
    <t>A4-V7-1</t>
  </si>
  <si>
    <t>116814</t>
  </si>
  <si>
    <t>RESISTOR, 6000 OHM, 25W, WIRE WOUND, ADJUSTABLE FOR KD-10 RELAY</t>
  </si>
  <si>
    <t>A4-V2-4</t>
  </si>
  <si>
    <t>116817</t>
  </si>
  <si>
    <t>RELAY, PHASE &amp; GROUND DISTANCE, DIRECTIONAL OVERCURRENT, SEL-321-1, CONNECTORIZED CONNECTIONS WITH HARNESSES</t>
  </si>
  <si>
    <t>A4-V9-2</t>
  </si>
  <si>
    <t>116819</t>
  </si>
  <si>
    <t>CONTACT, STATIONARY, FOR ALARMUNIT OF KA-4 CARRIER AUX. RELAY</t>
  </si>
  <si>
    <t>A4-V1-3</t>
  </si>
  <si>
    <t>122194</t>
  </si>
  <si>
    <t>WASHER, SQUARE, 4" X 4" X 1/2", WITH 1" HOLE, GALVANIZED, CHANCE P/N 6820</t>
  </si>
  <si>
    <t>A1-10-3-3</t>
  </si>
  <si>
    <t>122238</t>
  </si>
  <si>
    <t>NUT, M-F No. 1 LOCKNUT 1" SQUARE</t>
  </si>
  <si>
    <t>For the 12 months ended 12/31/13</t>
  </si>
  <si>
    <t>12/31/13</t>
  </si>
  <si>
    <t>invn_sku_cd</t>
  </si>
  <si>
    <t>invn_loc_cd</t>
  </si>
  <si>
    <t>invn_status</t>
  </si>
  <si>
    <t>On Order</t>
  </si>
  <si>
    <t>Committed</t>
  </si>
  <si>
    <t>Reorder Pt</t>
  </si>
  <si>
    <t>Standard Cost</t>
  </si>
  <si>
    <t>invn_cycle_cd</t>
  </si>
  <si>
    <t>sku_desc</t>
  </si>
  <si>
    <t>invn_default_bin</t>
  </si>
  <si>
    <t>sku_exp_gl_cd</t>
  </si>
  <si>
    <t>ARRESTER, 69KV STATION CLASS, NEMA SPACED 4-HOLE PAD ON TOP, 10 IN BOLT CIRCLE ON BOTTOM, 48KV MCOV</t>
  </si>
  <si>
    <t>TRANSMISSION PLANT 12/31/13</t>
  </si>
  <si>
    <t>Jan - Dec 2013</t>
  </si>
  <si>
    <t>2013 WAGES - Included in "Operating Expenses" on the Statement of Revenues, Expenses, and Changes in Net Assets</t>
  </si>
  <si>
    <t>2013</t>
  </si>
  <si>
    <t>Muscatine Power and Water</t>
  </si>
  <si>
    <t>Attachment O divisor</t>
  </si>
  <si>
    <t>Report the CP of your load in the Pricing Zone by Pricing Zone for Each Month in KWs</t>
  </si>
  <si>
    <t>Jan</t>
  </si>
  <si>
    <t>Feb</t>
  </si>
  <si>
    <t>Mar</t>
  </si>
  <si>
    <t>Apr</t>
  </si>
  <si>
    <t>Jun</t>
  </si>
  <si>
    <t>Jul</t>
  </si>
  <si>
    <t>Aug</t>
  </si>
  <si>
    <t>Sep</t>
  </si>
  <si>
    <t>Oct</t>
  </si>
  <si>
    <t>Nov</t>
  </si>
  <si>
    <t>Dec</t>
  </si>
  <si>
    <t>Sub total</t>
  </si>
  <si>
    <t>Average</t>
  </si>
  <si>
    <t>should be reported on Attachment O, page 1, line 8</t>
  </si>
  <si>
    <t xml:space="preserve"> the GFA #, the GFA load, and the GFA transmission revenues.</t>
  </si>
  <si>
    <t>GFA #</t>
  </si>
  <si>
    <t>GFA Load</t>
  </si>
  <si>
    <t>GFA Trans Rev</t>
  </si>
  <si>
    <r>
      <t xml:space="preserve">Do the above numbers include any GFA related load?  </t>
    </r>
    <r>
      <rPr>
        <sz val="12"/>
        <color rgb="FFFF0000"/>
        <rFont val="Arial MT"/>
      </rPr>
      <t>No</t>
    </r>
    <r>
      <rPr>
        <sz val="12"/>
        <rFont val="Arial MT"/>
      </rPr>
      <t xml:space="preserve">  If yes, provide the following by month for each GFA:</t>
    </r>
  </si>
  <si>
    <t xml:space="preserve">Attachment O, page 2, line 25 </t>
  </si>
  <si>
    <t>Land Held For Future Use</t>
  </si>
  <si>
    <t>Production</t>
  </si>
  <si>
    <t>should be reported on Attachment O, page 2, line 25</t>
  </si>
  <si>
    <t xml:space="preserve">Distribution </t>
  </si>
  <si>
    <t>Other</t>
  </si>
  <si>
    <t>Should tie to a financial statement line item - if not please</t>
  </si>
  <si>
    <t>indicate what line of the audited financials reflects Land Held For Future Use</t>
  </si>
  <si>
    <t xml:space="preserve">and indicate what other items are included in that financial statement line item </t>
  </si>
  <si>
    <t>by providing a brief but descriptive explanation</t>
  </si>
  <si>
    <r>
      <rPr>
        <b/>
        <sz val="11"/>
        <color theme="1"/>
        <rFont val="Calibri"/>
        <family val="2"/>
        <scheme val="minor"/>
      </rPr>
      <t>Below -</t>
    </r>
    <r>
      <rPr>
        <sz val="12"/>
        <rFont val="Arial MT"/>
      </rPr>
      <t xml:space="preserve"> Provide a brief but descriptive list of the Transmission land held for future use</t>
    </r>
  </si>
  <si>
    <t>and the amounts related to each item of Transmission land held for future use</t>
  </si>
  <si>
    <t>Plant Summary</t>
  </si>
  <si>
    <t>Not Applicable</t>
  </si>
  <si>
    <t>Attachment O, page 2, line 28</t>
  </si>
  <si>
    <t>Pre Payment Description</t>
  </si>
  <si>
    <t>Insurance</t>
  </si>
  <si>
    <t>Maintenance Contracts</t>
  </si>
  <si>
    <t>Tech Svc temporary stores Issues-EJ000668</t>
  </si>
  <si>
    <t>Travel</t>
  </si>
  <si>
    <t>Down payment on heat exchanger</t>
  </si>
  <si>
    <t>Miscellaneous dues/assessments</t>
  </si>
  <si>
    <t>Total Pre Payments</t>
  </si>
  <si>
    <t>Attachment O, page 2, line 28 and EIA 412, Schedule 2, line 20</t>
  </si>
  <si>
    <t>indicate what line of the audited financials reflectes Pre Payments</t>
  </si>
  <si>
    <t>Attachment O, page 2, line 27</t>
  </si>
  <si>
    <t>Materials and Supplies</t>
  </si>
  <si>
    <t>should be reported on Attachment O, page 2, line 27</t>
  </si>
  <si>
    <t>Limestone</t>
  </si>
  <si>
    <t>Gasoline/diesel fuel</t>
  </si>
  <si>
    <t>Less allowance for obsolescence</t>
  </si>
  <si>
    <t>indicate what line of the audited financials reflectes M&amp;S</t>
  </si>
  <si>
    <r>
      <rPr>
        <b/>
        <sz val="11"/>
        <color theme="1"/>
        <rFont val="Calibri"/>
        <family val="2"/>
        <scheme val="minor"/>
      </rPr>
      <t xml:space="preserve">Below </t>
    </r>
    <r>
      <rPr>
        <sz val="12"/>
        <rFont val="Arial MT"/>
      </rPr>
      <t xml:space="preserve">- Provide a brief but descriptive list of the Transmission related Materials and Supplies </t>
    </r>
  </si>
  <si>
    <t>and the amounts related to each item of Transmission related Materials and Supplies</t>
  </si>
  <si>
    <t>Net Plant in Service</t>
  </si>
  <si>
    <t>CS, SS, TS, VM type stores parts</t>
  </si>
  <si>
    <t>For the Year ended 12/31/13</t>
  </si>
  <si>
    <t>Transmission O&amp;M Expenses</t>
  </si>
  <si>
    <t>Operation</t>
  </si>
  <si>
    <t>560 – Operation Supervision and Engineering</t>
  </si>
  <si>
    <t>561 – Load Dispatching</t>
  </si>
  <si>
    <t>561.1 – Load Dispatch – Reliability</t>
  </si>
  <si>
    <t>Attachment O, page 4, line 7</t>
  </si>
  <si>
    <t>561.2 – Load Dispatch – Monitor and Operate Transmission System</t>
  </si>
  <si>
    <t>561.3 – Load Dispatch – Transmission Service and Scheduling</t>
  </si>
  <si>
    <t>561.4 – Scheduling, System Control and Dispatch Services</t>
  </si>
  <si>
    <t>Attachment O, page 3, line 1a</t>
  </si>
  <si>
    <t>561.5 – Reliability, Planning and Standards Development</t>
  </si>
  <si>
    <t>561.6 – Transmission Service Studies</t>
  </si>
  <si>
    <t>561.7 – Generation Interconnection Studies</t>
  </si>
  <si>
    <t>561.8 – Reliability, Planning and Standards Development Service</t>
  </si>
  <si>
    <t>562 – Station Expenses</t>
  </si>
  <si>
    <t>563 – Overhead Lines Expenses</t>
  </si>
  <si>
    <t>564 – Underground Lines Expenses</t>
  </si>
  <si>
    <t>565 – Transmission of Electricity by Others</t>
  </si>
  <si>
    <t>Attachment O, page 3, line 2</t>
  </si>
  <si>
    <t>566 – Miscellaneous Transmission Expenses</t>
  </si>
  <si>
    <t>567 – Rents</t>
  </si>
  <si>
    <t>Maintenance</t>
  </si>
  <si>
    <t>568 – Maintenance Supervision and Engineering</t>
  </si>
  <si>
    <t>569 – Maintenance of Structures</t>
  </si>
  <si>
    <t>569.1 – Maintenance of Computer Hardware</t>
  </si>
  <si>
    <t>569.2 – Maintenance of Computer Software</t>
  </si>
  <si>
    <t>569.3 – Maintenance of Communication Equipment</t>
  </si>
  <si>
    <t>569.4 – Maintenance of Miscellaneous Regional Transmission Plant</t>
  </si>
  <si>
    <t>570 – Maintenance of Station Equipment</t>
  </si>
  <si>
    <t>571 – Maintenance of Overhead Lines</t>
  </si>
  <si>
    <t>572 – Maintenance of Underground Lines</t>
  </si>
  <si>
    <t>573 – Maintenance of Miscellaneous Transmission Plant</t>
  </si>
  <si>
    <t>Total Transmission O&amp;M Expense</t>
  </si>
  <si>
    <t>Attachment O, page 3, line 1 and EIA 412, Schd 7, line 8</t>
  </si>
  <si>
    <t>Please provide the following information:</t>
  </si>
  <si>
    <t>If you report zero for accounts 561.4 &amp; 561.8 - please provide a brief written statement indicating that you do not have</t>
  </si>
  <si>
    <t>any of these expenses.</t>
  </si>
  <si>
    <t>If you report zero for account 565 - please provide a brief written statement indicating that you do not have</t>
  </si>
  <si>
    <t>Attachment O, page 3, line 4</t>
  </si>
  <si>
    <t>Account</t>
  </si>
  <si>
    <t>FERC fees recorded to expense during the year</t>
  </si>
  <si>
    <t>Charged</t>
  </si>
  <si>
    <t>FERC fees payable to FERC</t>
  </si>
  <si>
    <t>FERC fees paid to MISO via Schedule 10-FERC</t>
  </si>
  <si>
    <t>Other FERC fees paid</t>
  </si>
  <si>
    <r>
      <t xml:space="preserve">What line of the audited financial statements includes the Transmission O&amp;M Expense?  </t>
    </r>
    <r>
      <rPr>
        <sz val="11"/>
        <color rgb="FFFF0000"/>
        <rFont val="Calibri"/>
        <family val="2"/>
        <scheme val="minor"/>
      </rPr>
      <t>Transmission O&amp;M expenses are included in the lines "Other operating expenses" and "Maintenance" in the Statement of Revenues, Expenses, and Changes in Net Position.</t>
    </r>
  </si>
  <si>
    <r>
      <t xml:space="preserve">any of these expenses.  </t>
    </r>
    <r>
      <rPr>
        <sz val="11"/>
        <color rgb="FFFF0000"/>
        <rFont val="Calibri"/>
        <family val="2"/>
        <scheme val="minor"/>
      </rPr>
      <t>MPW has no expenses in 561.8 for 2013.</t>
    </r>
  </si>
  <si>
    <r>
      <t xml:space="preserve">If you have account 565 expenses - provide brief but descriptive detail of the 565 expenses  </t>
    </r>
    <r>
      <rPr>
        <sz val="11"/>
        <color rgb="FFFF0000"/>
        <rFont val="Calibri"/>
        <family val="2"/>
        <scheme val="minor"/>
      </rPr>
      <t>MISO Schedule 26 &amp; 26A charges for MVP's are the only expense included in FERC 565 for 2013.</t>
    </r>
  </si>
  <si>
    <t>Customer Accts &amp; Admin and General Expenses</t>
  </si>
  <si>
    <t>Customer Accounts Expenses</t>
  </si>
  <si>
    <t>901 – Supervision</t>
  </si>
  <si>
    <t>902 – Meter Reading Expenses</t>
  </si>
  <si>
    <t>903 – Customer Records and Collection Expenses</t>
  </si>
  <si>
    <t>904 – Uncollectible Accounts</t>
  </si>
  <si>
    <t>Total Customer Accounts Expense</t>
  </si>
  <si>
    <t>EIA 412, Sch 7, line 10</t>
  </si>
  <si>
    <t>Customer Service and Informational Expenses</t>
  </si>
  <si>
    <t>907 – Supervision</t>
  </si>
  <si>
    <t>908 – Customer Assistance Expenses</t>
  </si>
  <si>
    <t>909 – Informational and Instructional Expenses</t>
  </si>
  <si>
    <t>Total Customer Service and Informational Expenses</t>
  </si>
  <si>
    <t>EIA 412, Sch 7, line 11</t>
  </si>
  <si>
    <t>Sales Expenses</t>
  </si>
  <si>
    <t>911 – Supervision</t>
  </si>
  <si>
    <t>912 – Demonstrating and Selling Expenses</t>
  </si>
  <si>
    <t>913 – Advertising Expenses</t>
  </si>
  <si>
    <t>916 – Miscellaneous Sales Expenses</t>
  </si>
  <si>
    <t>Administrative and General Expenses</t>
  </si>
  <si>
    <t>920 – Administrative and General Salaries</t>
  </si>
  <si>
    <t>921 – Office Supplies and Expenses</t>
  </si>
  <si>
    <t>922 – Administrative Expenses Transferred Credit</t>
  </si>
  <si>
    <t>923 – Outside Services Employed</t>
  </si>
  <si>
    <t>924 – Property Insurance</t>
  </si>
  <si>
    <t>925 – Injuries and Damages</t>
  </si>
  <si>
    <t>927 – Franchise Requirements</t>
  </si>
  <si>
    <t>928 – Regulatory Commission Expenses</t>
  </si>
  <si>
    <t>930.1 – General Advertising Expenses</t>
  </si>
  <si>
    <t>930.2 – Miscellaneous General Expenses</t>
  </si>
  <si>
    <t>931 – Rents</t>
  </si>
  <si>
    <t>MPW Internal Acct 575 - Vacation, holiday, and sick leave</t>
  </si>
  <si>
    <t>MPW Internal Acct 577 - Property tax</t>
  </si>
  <si>
    <t xml:space="preserve">905 – Miscellaneous Customer Accounts Expenses </t>
  </si>
  <si>
    <t>MPW Internal Acct 906 Vacation, holiday, sick leave</t>
  </si>
  <si>
    <t>EIA 412, Sch 7, line 12</t>
  </si>
  <si>
    <t>MPW Internal Acct 936 - Vacation, holiday, and sick leave</t>
  </si>
  <si>
    <t>MPW Internal Acct 934 - Maint of A/O Center</t>
  </si>
  <si>
    <t xml:space="preserve">MPW Internal Acct 932 - Maint of General Plant </t>
  </si>
  <si>
    <r>
      <t xml:space="preserve">What line of the audited financial statements includes the A&amp;G Expense?  </t>
    </r>
    <r>
      <rPr>
        <sz val="11"/>
        <color rgb="FFFF0000"/>
        <rFont val="Calibri"/>
        <family val="2"/>
        <scheme val="minor"/>
      </rPr>
      <t>A&amp;G expenses are included in the lines "Other operating expenses" and "Maintenance" in the Statement of Revenues, Expenses, and Changes in Net Position.</t>
    </r>
  </si>
  <si>
    <r>
      <t xml:space="preserve">What line of the audited financial statements includes the Customer Account, Customer Service, and Sales Expense?  </t>
    </r>
    <r>
      <rPr>
        <sz val="11"/>
        <color rgb="FFFF0000"/>
        <rFont val="Calibri"/>
        <family val="2"/>
        <scheme val="minor"/>
      </rPr>
      <t>"Other operating expenses" in the Statement of Revenues, Expenses, and Changes in Net Position.</t>
    </r>
  </si>
  <si>
    <r>
      <t xml:space="preserve">Provide a brief but descriptive list of the items and associated amounts reflected in that line of the financial statements </t>
    </r>
    <r>
      <rPr>
        <sz val="11"/>
        <color rgb="FFFF0000"/>
        <rFont val="Calibri"/>
        <family val="2"/>
        <scheme val="minor"/>
      </rPr>
      <t xml:space="preserve"> See account descriptions above</t>
    </r>
  </si>
  <si>
    <t>Attach O, page 3, line 3 and EAI 412, Sch 7, line 13 less payroll FICA taxes of $1,212,915</t>
  </si>
  <si>
    <t>926 – Employee Pension and Benefits, excluding payroll FICA tax of $1,212,915</t>
  </si>
  <si>
    <r>
      <t>910 – Miscellaneous Customer Service and Informational Expenses -</t>
    </r>
    <r>
      <rPr>
        <sz val="12"/>
        <color rgb="FFFF0000"/>
        <rFont val="Times New Roman"/>
        <family val="1"/>
      </rPr>
      <t xml:space="preserve"> </t>
    </r>
    <r>
      <rPr>
        <sz val="12"/>
        <rFont val="Times New Roman"/>
        <family val="1"/>
      </rPr>
      <t>Includes Customer Rebates</t>
    </r>
  </si>
  <si>
    <r>
      <t xml:space="preserve">929 – Duplicate Charges Credit - </t>
    </r>
    <r>
      <rPr>
        <sz val="12"/>
        <rFont val="Times New Roman"/>
        <family val="1"/>
      </rPr>
      <t>Fringe Benefits Charged to Construction</t>
    </r>
  </si>
  <si>
    <t>Attachment O, page 3, lines 5 and 5a</t>
  </si>
  <si>
    <t>EPRI Costs</t>
  </si>
  <si>
    <t>recorded in Usof A account ________, relfected in I/S in _______ exp</t>
  </si>
  <si>
    <r>
      <t xml:space="preserve">Regulatory Commission Expense (provide a brief but descriptive list of charges)  </t>
    </r>
    <r>
      <rPr>
        <b/>
        <u/>
        <sz val="11"/>
        <color theme="1"/>
        <rFont val="Calibri"/>
        <family val="2"/>
        <scheme val="minor"/>
      </rPr>
      <t>Indicate by yellow highlight if Transmission Related</t>
    </r>
  </si>
  <si>
    <t>Rate case - docket XX</t>
  </si>
  <si>
    <t>recorded in UsofA account ________, relfected in I/S in ________ exp</t>
  </si>
  <si>
    <t>Fuel adjustment clause docket XX</t>
  </si>
  <si>
    <t>recorded in USofA account ________, relfected in I/S in _________ exp</t>
  </si>
  <si>
    <t>Non Safety Advertising (provide a brief but descriptive list of charges</t>
  </si>
  <si>
    <t>Xxxxxxxx</t>
  </si>
  <si>
    <t>recorded in USofA account ________, relfected in I/S in ________ exp</t>
  </si>
  <si>
    <r>
      <t>If a zero is reported</t>
    </r>
    <r>
      <rPr>
        <b/>
        <u/>
        <sz val="11"/>
        <color theme="1"/>
        <rFont val="Calibri"/>
        <family val="2"/>
        <scheme val="minor"/>
      </rPr>
      <t xml:space="preserve"> for any category above</t>
    </r>
    <r>
      <rPr>
        <b/>
        <sz val="11"/>
        <color theme="1"/>
        <rFont val="Calibri"/>
        <family val="2"/>
        <scheme val="minor"/>
      </rPr>
      <t>, please provide a brief explanation as to why.</t>
    </r>
  </si>
  <si>
    <t>Taxes Other Than Income Taxes</t>
  </si>
  <si>
    <t>Payroll</t>
  </si>
  <si>
    <t>Attachment O, page 3, line 13</t>
  </si>
  <si>
    <t>Highway &amp; Vehicle</t>
  </si>
  <si>
    <t>Attachment O, page 3, line 14</t>
  </si>
  <si>
    <t>Attachment O, page 3, line 16</t>
  </si>
  <si>
    <t>Gross</t>
  </si>
  <si>
    <t>Attachment O, page 3, line 17</t>
  </si>
  <si>
    <t>Other - please explain</t>
  </si>
  <si>
    <t>Attachment O, page 3, line 18</t>
  </si>
  <si>
    <t>Fed &amp; State income Tax</t>
  </si>
  <si>
    <t>Not reported on Attach O</t>
  </si>
  <si>
    <t>Should tie to a line item on the audited</t>
  </si>
  <si>
    <t xml:space="preserve">  financial statements -   provide explanation and</t>
  </si>
  <si>
    <t xml:space="preserve">reconciliation if it doesn't.  Also indicate what line of the </t>
  </si>
  <si>
    <t>audited financials includes the above amounts.</t>
  </si>
  <si>
    <t>FICA payroll taxes are included in "Other operating expenses" in the Statement of Revenues, Expenses, and Changes in Net Position.</t>
  </si>
  <si>
    <t>expense allocation instead of included here where expenses are allocated based on the gross plant allocation.</t>
  </si>
  <si>
    <r>
      <t xml:space="preserve">Property </t>
    </r>
    <r>
      <rPr>
        <sz val="11"/>
        <color rgb="FFFF0000"/>
        <rFont val="Calibri"/>
        <family val="2"/>
        <scheme val="minor"/>
      </rPr>
      <t>*</t>
    </r>
  </si>
  <si>
    <t>*Transmission property taxes are included in Transmission on Attach O, page 3, line 1, and are allocated based on the transmission</t>
  </si>
  <si>
    <t>Attachment O, page 4, line 12 - 15</t>
  </si>
  <si>
    <t>Report on Attachment O, page 4, line 12</t>
  </si>
  <si>
    <t>Transmisssion</t>
  </si>
  <si>
    <t>Report on Attachment O, page 4, line 13</t>
  </si>
  <si>
    <t>Distribution</t>
  </si>
  <si>
    <t>Report on Attachment O, page 4, line 14</t>
  </si>
  <si>
    <t>Other _1/</t>
  </si>
  <si>
    <t>Report on Attachment O, page 4, line 15</t>
  </si>
  <si>
    <t xml:space="preserve">If not, please provide an explantion and a  work paper </t>
  </si>
  <si>
    <t>_1/  Other is to include salaries charged to administer customer accounts 901 - 916 as defined by the</t>
  </si>
  <si>
    <t>USofA</t>
  </si>
  <si>
    <r>
      <t xml:space="preserve">Does this tie to a line item on the audited f/s?  </t>
    </r>
    <r>
      <rPr>
        <sz val="11"/>
        <color rgb="FFFF0000"/>
        <rFont val="Calibri"/>
        <family val="2"/>
        <scheme val="minor"/>
      </rPr>
      <t>No; labor expense is not separated from other operation and maintenance account expenses.</t>
    </r>
  </si>
  <si>
    <r>
      <t xml:space="preserve">reconciling to the audited financial statements  </t>
    </r>
    <r>
      <rPr>
        <sz val="11"/>
        <color rgb="FFFF0000"/>
        <rFont val="Calibri"/>
        <family val="2"/>
        <scheme val="minor"/>
      </rPr>
      <t>See below</t>
    </r>
  </si>
  <si>
    <t>Debt Detail - Electric only</t>
  </si>
  <si>
    <t>Principal Balance</t>
  </si>
  <si>
    <t>Interest</t>
  </si>
  <si>
    <t>at 12/31/</t>
  </si>
  <si>
    <t>Debt 1 - Description</t>
  </si>
  <si>
    <t>Total Principal and Total Interest should</t>
  </si>
  <si>
    <t>tie to lines on the audited financial statements.</t>
  </si>
  <si>
    <t xml:space="preserve">If they don't, provide an explanation and </t>
  </si>
  <si>
    <t>a work paper reconciling the debt principal</t>
  </si>
  <si>
    <t xml:space="preserve">and interest to the appropriate lines of the </t>
  </si>
  <si>
    <t>audited financial statements.</t>
  </si>
  <si>
    <t>Principal &amp; Interest Grand Total</t>
  </si>
  <si>
    <t>Account 454 (Rent from Electric Property)</t>
  </si>
  <si>
    <t>Attachment O, page 4, line 30</t>
  </si>
  <si>
    <t>Property Description</t>
  </si>
  <si>
    <t>XXXXX</t>
  </si>
  <si>
    <t>Total Rent Income</t>
  </si>
  <si>
    <t>Includes income related only to transmission facilities,</t>
  </si>
  <si>
    <t>such as pole attachments, rentals and special use.</t>
  </si>
  <si>
    <t xml:space="preserve">
</t>
  </si>
  <si>
    <t>Account 456.1 (Other Electric Revenues)</t>
  </si>
  <si>
    <t>Account 456.1</t>
  </si>
  <si>
    <t>Revenue</t>
  </si>
  <si>
    <t>MISO Schedule 7 &amp; 8</t>
  </si>
  <si>
    <t>MISO Schedule 9</t>
  </si>
  <si>
    <t>MISO Schedule 1</t>
  </si>
  <si>
    <t>MISO Schedule 2</t>
  </si>
  <si>
    <t>MISO Schedule 24</t>
  </si>
  <si>
    <t>MISO Schedule 26 (NUC)</t>
  </si>
  <si>
    <t>MISO Schedule 26-A (MVP)</t>
  </si>
  <si>
    <t>Other - MAPPCOR</t>
  </si>
  <si>
    <t>Other (provide description / explanation below)</t>
  </si>
  <si>
    <t>Total Revenue</t>
  </si>
  <si>
    <t>Attachment O, pg. 4, Line 31</t>
  </si>
  <si>
    <t xml:space="preserve">  b. Transmission charges for all transmission transactions included in Divisor on Page 1</t>
  </si>
  <si>
    <t>Attachment O, pg. 4, Line 32</t>
  </si>
  <si>
    <t>Attachment O, pg. 4, Line 32a</t>
  </si>
  <si>
    <t>Attachment O, pg. 4, Line 32b</t>
  </si>
  <si>
    <t>Total of (a)-(b)-(c)-(d)</t>
  </si>
  <si>
    <t>Attachment O, pg .4, Line 33</t>
  </si>
  <si>
    <t>As of 12/31/13</t>
  </si>
  <si>
    <t xml:space="preserve">Less FERC fees </t>
  </si>
  <si>
    <t>in Schedule 10</t>
  </si>
  <si>
    <r>
      <t xml:space="preserve">Confirm that the above does not contain any capitalized wages.  </t>
    </r>
    <r>
      <rPr>
        <sz val="11"/>
        <color rgb="FFFF0000"/>
        <rFont val="Calibri"/>
        <family val="2"/>
        <scheme val="minor"/>
      </rPr>
      <t>Confirmed</t>
    </r>
  </si>
  <si>
    <r>
      <t xml:space="preserve">Confirm that the above does not contain any any A&amp;G related wages.  </t>
    </r>
    <r>
      <rPr>
        <sz val="11"/>
        <color rgb="FFFF0000"/>
        <rFont val="Calibri"/>
        <family val="2"/>
        <scheme val="minor"/>
      </rPr>
      <t>Confirmed (see below)</t>
    </r>
  </si>
  <si>
    <t xml:space="preserve">Muscatine Power and Water is not a FERC regulated company </t>
  </si>
  <si>
    <t xml:space="preserve"> and therefore only recorded FERC Fees paid to MISO during the year.</t>
  </si>
  <si>
    <t>Attach O pg 3 line 1a</t>
  </si>
  <si>
    <t xml:space="preserve">                                   Muscatine Power and Water - Electric Utility</t>
  </si>
  <si>
    <t>Summary of Expenses</t>
  </si>
  <si>
    <t>Generation</t>
  </si>
  <si>
    <t>Operation Supervision</t>
  </si>
  <si>
    <t>Steam Expense:</t>
  </si>
  <si>
    <t xml:space="preserve">    Boiler</t>
  </si>
  <si>
    <t xml:space="preserve">    Pollution Control</t>
  </si>
  <si>
    <t>Electric Expense</t>
  </si>
  <si>
    <t>Miscellaneous Steam Power Expense</t>
  </si>
  <si>
    <t>Maintenance:</t>
  </si>
  <si>
    <t xml:space="preserve">    Supervision</t>
  </si>
  <si>
    <t xml:space="preserve">    Structures</t>
  </si>
  <si>
    <t xml:space="preserve">    Boiler Plant:</t>
  </si>
  <si>
    <t xml:space="preserve">      Boiler</t>
  </si>
  <si>
    <t xml:space="preserve">      Pollution Control</t>
  </si>
  <si>
    <t xml:space="preserve">    Electric Plant</t>
  </si>
  <si>
    <t xml:space="preserve">    System Control</t>
  </si>
  <si>
    <t xml:space="preserve">    Miscellaneous Steam Plant</t>
  </si>
  <si>
    <t xml:space="preserve">    Coal Handling Equipment</t>
  </si>
  <si>
    <t>System Control and Load Dispatch</t>
  </si>
  <si>
    <t>Vacation, Holiday, Sick Leave</t>
  </si>
  <si>
    <t>Load Dispatching</t>
  </si>
  <si>
    <t>Station Expense</t>
  </si>
  <si>
    <t>Overhead Line Expense</t>
  </si>
  <si>
    <t>Transmission of Electricity by Others</t>
  </si>
  <si>
    <t>Miscellaneous Transmission Expense</t>
  </si>
  <si>
    <t xml:space="preserve">    Station Equipment</t>
  </si>
  <si>
    <t xml:space="preserve">    Overhead Lines</t>
  </si>
  <si>
    <t>Tax on Rural Property</t>
  </si>
  <si>
    <t>Vehicle Expense</t>
  </si>
  <si>
    <t>Underground Line Expense</t>
  </si>
  <si>
    <t>Street Lighting</t>
  </si>
  <si>
    <t>Signal Expense</t>
  </si>
  <si>
    <t>Meter Expense</t>
  </si>
  <si>
    <t>Consumer Installation Expense</t>
  </si>
  <si>
    <t>Miscellaneous Distribution Expense</t>
  </si>
  <si>
    <t xml:space="preserve">    Underground Lines</t>
  </si>
  <si>
    <t xml:space="preserve">    Line Transformers</t>
  </si>
  <si>
    <t xml:space="preserve">    Street Lighting</t>
  </si>
  <si>
    <t xml:space="preserve">    Signal System</t>
  </si>
  <si>
    <t xml:space="preserve">    Meters</t>
  </si>
  <si>
    <t xml:space="preserve">    Miscellaneous Distribution Plant</t>
  </si>
  <si>
    <t>Customer Service Expense</t>
  </si>
  <si>
    <t>Customer Information Expense</t>
  </si>
  <si>
    <t>Energy Efficiency Rebates</t>
  </si>
  <si>
    <t>Electric Ranges/Dryers Maintenance</t>
  </si>
  <si>
    <t>Electric Water Heaters Maintenance</t>
  </si>
  <si>
    <t>Consumer Accounts</t>
  </si>
  <si>
    <t>Supervision</t>
  </si>
  <si>
    <t>Meter Reading Expense</t>
  </si>
  <si>
    <t>Consumer Records and Collection</t>
  </si>
  <si>
    <t>Uncollectible Accounts Expense</t>
  </si>
  <si>
    <t>Administrative and General</t>
  </si>
  <si>
    <t>Administrative and General Salaries</t>
  </si>
  <si>
    <t>Office Supplies and Expenses</t>
  </si>
  <si>
    <t>Outside Services Employed</t>
  </si>
  <si>
    <t>Property Insurance</t>
  </si>
  <si>
    <t>Casualty Ins, Injuries &amp; Damages</t>
  </si>
  <si>
    <t>Employee Pensions and Benefits</t>
  </si>
  <si>
    <t>Fringe Benefits Charged to Constr.</t>
  </si>
  <si>
    <t>Regulatory Commission</t>
  </si>
  <si>
    <t>Miscellaneous General Expense</t>
  </si>
  <si>
    <t>Maintenance of General Plant</t>
  </si>
  <si>
    <t>Maintenance of A/O Center</t>
  </si>
  <si>
    <t>Other operating expenses</t>
  </si>
  <si>
    <t>TOTALS</t>
  </si>
  <si>
    <r>
      <t xml:space="preserve">Provide a brief but descriptive list of the items and associated amounts reflected in that line of the financial statements  </t>
    </r>
    <r>
      <rPr>
        <sz val="11"/>
        <color rgb="FFFF0000"/>
        <rFont val="Calibri"/>
        <family val="2"/>
        <scheme val="minor"/>
      </rPr>
      <t>Labor, materials expenses.  (See Summary of O&amp;M Expenses tab)</t>
    </r>
  </si>
  <si>
    <r>
      <t xml:space="preserve">Provide a brief but descriptive list of the items and associated amounts reflected in that line of the financial statements  </t>
    </r>
    <r>
      <rPr>
        <sz val="11"/>
        <color rgb="FFFF0000"/>
        <rFont val="Calibri"/>
        <family val="2"/>
        <scheme val="minor"/>
      </rPr>
      <t>Labor, materials, MPW portion of MISO's MVP's are in FERC 565 (See Summary of O&amp;M Expenses tab)</t>
    </r>
  </si>
  <si>
    <t>Calendar Year-to-Date - December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</si>
</sst>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General_)"/>
    <numFmt numFmtId="175" formatCode="_(&quot;$&quot;* #,##0_);_(&quot;$&quot;* \(#,##0\);_(&quot;$&quot;* &quot;-&quot;??_);_(@_)"/>
    <numFmt numFmtId="176" formatCode="mm/dd/yy;@"/>
    <numFmt numFmtId="177" formatCode="0.0"/>
    <numFmt numFmtId="178" formatCode="_(* #,##0_);_(* \(#,##0\);_(* &quot;---&quot;_);_(@_)"/>
  </numFmts>
  <fonts count="73">
    <font>
      <sz val="12"/>
      <name val="Arial MT"/>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color indexed="10"/>
      <name val="Times New Roman"/>
      <family val="1"/>
    </font>
    <font>
      <sz val="12"/>
      <color indexed="17"/>
      <name val="Times New Roman"/>
      <family val="1"/>
    </font>
    <font>
      <b/>
      <sz val="12"/>
      <name val="Times New Roman"/>
      <family val="1"/>
    </font>
    <font>
      <b/>
      <sz val="12"/>
      <color indexed="17"/>
      <name val="Times New Roman"/>
      <family val="1"/>
    </font>
    <font>
      <u/>
      <sz val="12"/>
      <color indexed="17"/>
      <name val="Times New Roman"/>
      <family val="1"/>
    </font>
    <font>
      <b/>
      <sz val="12"/>
      <color indexed="48"/>
      <name val="Times New Roman"/>
      <family val="1"/>
    </font>
    <font>
      <b/>
      <sz val="12"/>
      <color indexed="10"/>
      <name val="Times New Roman"/>
      <family val="1"/>
    </font>
    <font>
      <sz val="12"/>
      <color rgb="FFFF0000"/>
      <name val="Times New Roman"/>
      <family val="1"/>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u/>
      <sz val="10"/>
      <name val="Arial"/>
      <family val="2"/>
    </font>
    <font>
      <sz val="10"/>
      <color indexed="8"/>
      <name val="Arial"/>
      <family val="2"/>
    </font>
    <font>
      <b/>
      <sz val="10"/>
      <name val="Arial"/>
      <family val="2"/>
    </font>
    <font>
      <b/>
      <sz val="11"/>
      <name val="Arial"/>
      <family val="2"/>
    </font>
    <font>
      <u/>
      <sz val="12"/>
      <name val="Arial MT"/>
    </font>
    <font>
      <b/>
      <sz val="12"/>
      <color indexed="8"/>
      <name val="Calibri"/>
      <family val="2"/>
    </font>
    <font>
      <b/>
      <sz val="12"/>
      <name val="Arial MT"/>
    </font>
    <font>
      <sz val="10"/>
      <color theme="1"/>
      <name val="Arial"/>
      <family val="2"/>
    </font>
    <font>
      <sz val="10"/>
      <name val="Arial"/>
      <family val="2"/>
    </font>
    <font>
      <b/>
      <sz val="10"/>
      <color indexed="22"/>
      <name val="Arial"/>
      <family val="2"/>
    </font>
    <font>
      <sz val="10"/>
      <color indexed="22"/>
      <name val="Arial"/>
      <family val="2"/>
    </font>
    <font>
      <sz val="12"/>
      <name val="Arial MT"/>
    </font>
    <font>
      <sz val="12"/>
      <name val="Helv"/>
    </font>
    <font>
      <b/>
      <sz val="12"/>
      <color theme="4" tint="-0.249977111117893"/>
      <name val="Helv"/>
    </font>
    <font>
      <b/>
      <sz val="12"/>
      <name val="Helv"/>
    </font>
    <font>
      <b/>
      <sz val="18"/>
      <color theme="1"/>
      <name val="Times New Roman"/>
      <family val="1"/>
    </font>
    <font>
      <b/>
      <u/>
      <sz val="11"/>
      <color theme="1"/>
      <name val="Calibri"/>
      <family val="2"/>
      <scheme val="minor"/>
    </font>
    <font>
      <sz val="12"/>
      <color rgb="FFFF0000"/>
      <name val="Arial MT"/>
    </font>
    <font>
      <b/>
      <sz val="14"/>
      <color theme="1"/>
      <name val="Times New Roman"/>
      <family val="1"/>
    </font>
    <font>
      <u val="singleAccounting"/>
      <sz val="11"/>
      <color theme="1"/>
      <name val="Calibri"/>
      <family val="2"/>
      <scheme val="minor"/>
    </font>
    <font>
      <b/>
      <sz val="12"/>
      <name val="Helvetica"/>
      <family val="2"/>
    </font>
    <font>
      <u val="doubleAccounting"/>
      <sz val="12"/>
      <name val="Arial MT"/>
    </font>
    <font>
      <u val="double"/>
      <sz val="12"/>
      <name val="Arial MT"/>
    </font>
    <font>
      <b/>
      <sz val="16"/>
      <color theme="1"/>
      <name val="Calibri"/>
      <family val="2"/>
      <scheme val="minor"/>
    </font>
    <font>
      <b/>
      <sz val="16"/>
      <color theme="1"/>
      <name val="Times New Roman"/>
      <family val="1"/>
    </font>
    <font>
      <b/>
      <sz val="12"/>
      <name val="Arial"/>
      <family val="2"/>
    </font>
    <font>
      <sz val="12"/>
      <color theme="1"/>
      <name val="Times New Roman"/>
      <family val="1"/>
    </font>
    <font>
      <b/>
      <sz val="12"/>
      <color theme="1"/>
      <name val="Times New Roman"/>
      <family val="1"/>
    </font>
    <font>
      <b/>
      <u/>
      <sz val="12"/>
      <color theme="1"/>
      <name val="Times New Roman"/>
      <family val="1"/>
    </font>
    <font>
      <b/>
      <sz val="14"/>
      <color theme="1"/>
      <name val="Calibri"/>
      <family val="2"/>
      <scheme val="minor"/>
    </font>
    <font>
      <sz val="9"/>
      <name val="Arial"/>
      <family val="2"/>
    </font>
    <font>
      <sz val="10"/>
      <color indexed="12"/>
      <name val="Arial"/>
      <family val="2"/>
    </font>
    <font>
      <u val="singleAccounting"/>
      <sz val="10"/>
      <color indexed="12"/>
      <name val="Arial"/>
      <family val="2"/>
    </font>
    <font>
      <u val="singleAccounting"/>
      <sz val="10"/>
      <name val="Arial"/>
      <family val="2"/>
    </font>
    <font>
      <u/>
      <sz val="11"/>
      <color theme="1"/>
      <name val="Calibri"/>
      <family val="2"/>
      <scheme val="minor"/>
    </font>
    <font>
      <sz val="10"/>
      <color rgb="FFFF0000"/>
      <name val="Arial"/>
      <family val="2"/>
    </font>
    <font>
      <b/>
      <sz val="10"/>
      <color indexed="8"/>
      <name val="Times New Roman"/>
      <family val="1"/>
    </font>
    <font>
      <b/>
      <sz val="10"/>
      <color indexed="8"/>
      <name val="Courier"/>
      <family val="3"/>
    </font>
    <font>
      <sz val="10"/>
      <color indexed="8"/>
      <name val="Times New Roman"/>
      <family val="1"/>
    </font>
    <font>
      <b/>
      <u/>
      <sz val="10"/>
      <color indexed="8"/>
      <name val="Times New Roman"/>
      <family val="1"/>
    </font>
    <font>
      <sz val="10"/>
      <color indexed="8"/>
      <name val="Courier"/>
      <family val="3"/>
    </font>
    <font>
      <u/>
      <sz val="10"/>
      <color indexed="8"/>
      <name val="Times New Roman"/>
      <family val="1"/>
    </font>
    <font>
      <u val="double"/>
      <sz val="10"/>
      <color indexed="8"/>
      <name val="Times New Roman"/>
      <family val="1"/>
    </font>
  </fonts>
  <fills count="42">
    <fill>
      <patternFill patternType="none"/>
    </fill>
    <fill>
      <patternFill patternType="gray125"/>
    </fill>
    <fill>
      <patternFill patternType="solid">
        <fgColor indexed="4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indexed="22"/>
        <bgColor indexed="64"/>
      </patternFill>
    </fill>
    <fill>
      <patternFill patternType="solid">
        <fgColor indexed="13"/>
        <bgColor indexed="64"/>
      </patternFill>
    </fill>
    <fill>
      <patternFill patternType="solid">
        <fgColor theme="3" tint="0.79998168889431442"/>
        <bgColor indexed="64"/>
      </patternFill>
    </fill>
  </fills>
  <borders count="23">
    <border>
      <left/>
      <right/>
      <top/>
      <bottom/>
      <diagonal/>
    </border>
    <border>
      <left/>
      <right/>
      <top/>
      <bottom style="medium">
        <color indexed="64"/>
      </bottom>
      <diagonal/>
    </border>
    <border>
      <left/>
      <right/>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8"/>
      </bottom>
      <diagonal/>
    </border>
  </borders>
  <cellStyleXfs count="87">
    <xf numFmtId="172" fontId="0" fillId="0" borderId="0" applyProtection="0"/>
    <xf numFmtId="0" fontId="13" fillId="0" borderId="0" applyNumberFormat="0" applyFill="0" applyBorder="0" applyAlignment="0" applyProtection="0"/>
    <xf numFmtId="0" fontId="14" fillId="0" borderId="11" applyNumberFormat="0" applyFill="0" applyAlignment="0" applyProtection="0"/>
    <xf numFmtId="0" fontId="15" fillId="0" borderId="12" applyNumberFormat="0" applyFill="0" applyAlignment="0" applyProtection="0"/>
    <xf numFmtId="0" fontId="16" fillId="0" borderId="13"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14" applyNumberFormat="0" applyAlignment="0" applyProtection="0"/>
    <xf numFmtId="0" fontId="21" fillId="7" borderId="15" applyNumberFormat="0" applyAlignment="0" applyProtection="0"/>
    <xf numFmtId="0" fontId="22" fillId="7" borderId="14" applyNumberFormat="0" applyAlignment="0" applyProtection="0"/>
    <xf numFmtId="0" fontId="23" fillId="0" borderId="16" applyNumberFormat="0" applyFill="0" applyAlignment="0" applyProtection="0"/>
    <xf numFmtId="0" fontId="24" fillId="8" borderId="17"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9" applyNumberFormat="0" applyFill="0" applyAlignment="0" applyProtection="0"/>
    <xf numFmtId="0" fontId="2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28" fillId="33" borderId="0" applyNumberFormat="0" applyBorder="0" applyAlignment="0" applyProtection="0"/>
    <xf numFmtId="43" fontId="31" fillId="0" borderId="0" applyFont="0" applyFill="0" applyBorder="0" applyAlignment="0" applyProtection="0"/>
    <xf numFmtId="43" fontId="29" fillId="0" borderId="0" applyFont="0" applyFill="0" applyBorder="0" applyAlignment="0" applyProtection="0"/>
    <xf numFmtId="44" fontId="29" fillId="0" borderId="0" applyFont="0" applyFill="0" applyBorder="0" applyAlignment="0" applyProtection="0"/>
    <xf numFmtId="0" fontId="29" fillId="0" borderId="0"/>
    <xf numFmtId="0" fontId="37" fillId="0" borderId="0"/>
    <xf numFmtId="0" fontId="29" fillId="0" borderId="0"/>
    <xf numFmtId="0" fontId="29" fillId="0" borderId="0"/>
    <xf numFmtId="0" fontId="29" fillId="0" borderId="0"/>
    <xf numFmtId="0" fontId="29" fillId="0" borderId="0"/>
    <xf numFmtId="0" fontId="3" fillId="0" borderId="0"/>
    <xf numFmtId="0" fontId="29" fillId="0" borderId="0"/>
    <xf numFmtId="0" fontId="3" fillId="0" borderId="0"/>
    <xf numFmtId="0" fontId="3" fillId="9" borderId="18" applyNumberFormat="0" applyFont="0" applyAlignment="0" applyProtection="0"/>
    <xf numFmtId="0" fontId="3" fillId="9" borderId="18" applyNumberFormat="0" applyFont="0" applyAlignment="0" applyProtection="0"/>
    <xf numFmtId="9" fontId="31" fillId="0" borderId="0" applyFont="0" applyFill="0" applyBorder="0" applyAlignment="0" applyProtection="0"/>
    <xf numFmtId="0" fontId="38" fillId="0" borderId="0"/>
    <xf numFmtId="43" fontId="41" fillId="0" borderId="0" applyFont="0" applyFill="0" applyBorder="0" applyAlignment="0" applyProtection="0"/>
    <xf numFmtId="44" fontId="41" fillId="0" borderId="0" applyFont="0" applyFill="0" applyBorder="0" applyAlignment="0" applyProtection="0"/>
    <xf numFmtId="174" fontId="42"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0" fontId="29" fillId="0" borderId="0"/>
    <xf numFmtId="0" fontId="29" fillId="0" borderId="0"/>
    <xf numFmtId="44" fontId="29" fillId="0" borderId="0" applyFont="0" applyFill="0" applyBorder="0" applyAlignment="0" applyProtection="0"/>
    <xf numFmtId="43" fontId="29" fillId="0" borderId="0" applyFont="0" applyFill="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172" fontId="41" fillId="0" borderId="0" applyProtection="0"/>
    <xf numFmtId="43" fontId="31" fillId="0" borderId="0" applyFont="0" applyFill="0" applyBorder="0" applyAlignment="0" applyProtection="0"/>
    <xf numFmtId="0" fontId="37" fillId="0" borderId="0"/>
    <xf numFmtId="0" fontId="2" fillId="0" borderId="0"/>
    <xf numFmtId="0" fontId="2" fillId="0" borderId="0"/>
    <xf numFmtId="0" fontId="2" fillId="9" borderId="18" applyNumberFormat="0" applyFont="0" applyAlignment="0" applyProtection="0"/>
    <xf numFmtId="0" fontId="2" fillId="9" borderId="18" applyNumberFormat="0" applyFont="0" applyAlignment="0" applyProtection="0"/>
    <xf numFmtId="0" fontId="29" fillId="0" borderId="0"/>
  </cellStyleXfs>
  <cellXfs count="419">
    <xf numFmtId="172" fontId="0" fillId="0" borderId="0" xfId="0" applyAlignment="1"/>
    <xf numFmtId="0" fontId="4" fillId="0" borderId="0" xfId="0" applyNumberFormat="1" applyFont="1" applyAlignment="1" applyProtection="1">
      <alignment horizontal="center"/>
      <protection locked="0"/>
    </xf>
    <xf numFmtId="0" fontId="4" fillId="0" borderId="0" xfId="0" applyNumberFormat="1" applyFont="1" applyAlignment="1" applyProtection="1">
      <protection locked="0"/>
    </xf>
    <xf numFmtId="172" fontId="4" fillId="0" borderId="0" xfId="0" applyFont="1" applyAlignment="1"/>
    <xf numFmtId="0" fontId="4" fillId="0" borderId="0" xfId="0" applyNumberFormat="1" applyFont="1" applyAlignment="1"/>
    <xf numFmtId="3" fontId="4" fillId="0" borderId="0" xfId="0" applyNumberFormat="1" applyFont="1" applyAlignment="1"/>
    <xf numFmtId="3" fontId="4" fillId="0" borderId="0" xfId="0" applyNumberFormat="1" applyFont="1" applyBorder="1" applyAlignment="1"/>
    <xf numFmtId="164" fontId="4" fillId="0" borderId="0" xfId="0" applyNumberFormat="1" applyFont="1" applyAlignment="1">
      <alignment horizontal="center"/>
    </xf>
    <xf numFmtId="3" fontId="4" fillId="0" borderId="0" xfId="0" applyNumberFormat="1" applyFont="1" applyFill="1" applyAlignment="1"/>
    <xf numFmtId="3" fontId="4" fillId="0" borderId="0" xfId="0" applyNumberFormat="1" applyFont="1" applyFill="1" applyAlignment="1">
      <alignment horizontal="right"/>
    </xf>
    <xf numFmtId="0" fontId="4" fillId="0" borderId="0" xfId="0" applyNumberFormat="1" applyFont="1" applyAlignment="1" applyProtection="1">
      <alignment horizontal="left"/>
      <protection locked="0"/>
    </xf>
    <xf numFmtId="0" fontId="4" fillId="0" borderId="0" xfId="0" applyNumberFormat="1" applyFont="1" applyProtection="1">
      <protection locked="0"/>
    </xf>
    <xf numFmtId="0" fontId="4" fillId="0" borderId="0" xfId="0" applyNumberFormat="1" applyFont="1"/>
    <xf numFmtId="0" fontId="4" fillId="0" borderId="0" xfId="0" applyNumberFormat="1" applyFont="1" applyAlignment="1">
      <alignment horizontal="right"/>
    </xf>
    <xf numFmtId="0" fontId="4" fillId="0" borderId="0" xfId="0" applyNumberFormat="1" applyFont="1" applyAlignment="1">
      <alignment horizontal="center"/>
    </xf>
    <xf numFmtId="0" fontId="4" fillId="2" borderId="0" xfId="0" applyNumberFormat="1" applyFont="1" applyFill="1"/>
    <xf numFmtId="0" fontId="4" fillId="2" borderId="0" xfId="0" applyNumberFormat="1" applyFont="1" applyFill="1" applyAlignment="1" applyProtection="1">
      <alignment horizontal="right"/>
      <protection locked="0"/>
    </xf>
    <xf numFmtId="49" fontId="4" fillId="2" borderId="0" xfId="0" applyNumberFormat="1" applyFont="1" applyFill="1"/>
    <xf numFmtId="49" fontId="4" fillId="0" borderId="0" xfId="0" applyNumberFormat="1" applyFont="1"/>
    <xf numFmtId="0" fontId="4" fillId="0" borderId="1" xfId="0" applyNumberFormat="1" applyFont="1" applyBorder="1" applyAlignment="1" applyProtection="1">
      <alignment horizontal="center"/>
      <protection locked="0"/>
    </xf>
    <xf numFmtId="3" fontId="4" fillId="0" borderId="0" xfId="0" applyNumberFormat="1" applyFont="1"/>
    <xf numFmtId="42" fontId="4" fillId="0" borderId="0" xfId="0" applyNumberFormat="1" applyFont="1"/>
    <xf numFmtId="0" fontId="4" fillId="0" borderId="1" xfId="0" applyNumberFormat="1" applyFont="1" applyBorder="1" applyAlignment="1" applyProtection="1">
      <alignment horizontal="centerContinuous"/>
      <protection locked="0"/>
    </xf>
    <xf numFmtId="166" fontId="4" fillId="0" borderId="0" xfId="0" applyNumberFormat="1" applyFont="1" applyAlignment="1"/>
    <xf numFmtId="3" fontId="4" fillId="2" borderId="0" xfId="0" applyNumberFormat="1" applyFont="1" applyFill="1"/>
    <xf numFmtId="0" fontId="6" fillId="0" borderId="0" xfId="0" applyNumberFormat="1" applyFont="1"/>
    <xf numFmtId="3" fontId="4" fillId="0" borderId="1" xfId="0" applyNumberFormat="1" applyFont="1" applyBorder="1" applyAlignment="1"/>
    <xf numFmtId="3" fontId="4" fillId="0" borderId="0" xfId="0" applyNumberFormat="1" applyFont="1" applyAlignment="1">
      <alignment horizontal="fill"/>
    </xf>
    <xf numFmtId="42" fontId="4" fillId="0" borderId="2" xfId="0" applyNumberFormat="1" applyFont="1" applyBorder="1" applyAlignment="1" applyProtection="1">
      <alignment horizontal="right"/>
      <protection locked="0"/>
    </xf>
    <xf numFmtId="172" fontId="6" fillId="0" borderId="0" xfId="0" applyFont="1" applyAlignment="1"/>
    <xf numFmtId="3" fontId="4" fillId="0" borderId="0" xfId="0" applyNumberFormat="1" applyFont="1" applyFill="1" applyBorder="1"/>
    <xf numFmtId="3" fontId="4" fillId="2" borderId="0" xfId="0" applyNumberFormat="1" applyFont="1" applyFill="1" applyBorder="1"/>
    <xf numFmtId="3" fontId="4" fillId="2" borderId="1" xfId="0" applyNumberFormat="1" applyFont="1" applyFill="1" applyBorder="1"/>
    <xf numFmtId="168" fontId="4" fillId="0" borderId="0" xfId="0" applyNumberFormat="1" applyFont="1"/>
    <xf numFmtId="168" fontId="4" fillId="0" borderId="0" xfId="0" applyNumberFormat="1" applyFont="1" applyAlignment="1">
      <alignment horizontal="center"/>
    </xf>
    <xf numFmtId="172" fontId="4" fillId="0" borderId="0" xfId="0" applyFont="1" applyAlignment="1">
      <alignment horizontal="center"/>
    </xf>
    <xf numFmtId="171" fontId="4" fillId="0" borderId="0" xfId="0" applyNumberFormat="1" applyFont="1" applyAlignment="1"/>
    <xf numFmtId="171" fontId="4" fillId="2" borderId="0" xfId="0" applyNumberFormat="1" applyFont="1" applyFill="1" applyProtection="1">
      <protection locked="0"/>
    </xf>
    <xf numFmtId="171" fontId="4" fillId="0" borderId="0" xfId="0" applyNumberFormat="1" applyFont="1" applyProtection="1">
      <protection locked="0"/>
    </xf>
    <xf numFmtId="0" fontId="4" fillId="0" borderId="0" xfId="0" applyNumberFormat="1" applyFont="1" applyAlignment="1">
      <alignment horizontal="left"/>
    </xf>
    <xf numFmtId="49" fontId="4" fillId="0" borderId="0" xfId="0" applyNumberFormat="1" applyFont="1" applyAlignment="1">
      <alignment horizontal="left"/>
    </xf>
    <xf numFmtId="49" fontId="4" fillId="0" borderId="0" xfId="0" applyNumberFormat="1" applyFont="1" applyAlignment="1">
      <alignment horizontal="center"/>
    </xf>
    <xf numFmtId="3" fontId="7" fillId="0" borderId="0" xfId="0" applyNumberFormat="1" applyFont="1" applyAlignment="1">
      <alignment horizontal="center"/>
    </xf>
    <xf numFmtId="0" fontId="7" fillId="0" borderId="0" xfId="0" applyNumberFormat="1" applyFont="1" applyAlignment="1" applyProtection="1">
      <alignment horizontal="center"/>
      <protection locked="0"/>
    </xf>
    <xf numFmtId="172" fontId="7" fillId="0" borderId="0" xfId="0" applyFont="1" applyAlignment="1">
      <alignment horizontal="center"/>
    </xf>
    <xf numFmtId="3" fontId="7" fillId="0" borderId="0" xfId="0" applyNumberFormat="1" applyFont="1" applyAlignment="1"/>
    <xf numFmtId="0" fontId="7" fillId="0" borderId="0" xfId="0" applyNumberFormat="1" applyFont="1" applyAlignment="1"/>
    <xf numFmtId="3" fontId="4" fillId="2" borderId="0" xfId="0" applyNumberFormat="1" applyFont="1" applyFill="1" applyBorder="1" applyAlignment="1"/>
    <xf numFmtId="165" fontId="4" fillId="0" borderId="0" xfId="0" applyNumberFormat="1" applyFont="1" applyAlignment="1"/>
    <xf numFmtId="3" fontId="4" fillId="2" borderId="1" xfId="0" applyNumberFormat="1" applyFont="1" applyFill="1" applyBorder="1" applyAlignment="1"/>
    <xf numFmtId="3" fontId="4" fillId="2" borderId="0" xfId="0" applyNumberFormat="1" applyFont="1" applyFill="1" applyAlignment="1"/>
    <xf numFmtId="0" fontId="4" fillId="0" borderId="0" xfId="0" applyNumberFormat="1" applyFont="1" applyAlignment="1">
      <alignment horizontal="fill"/>
    </xf>
    <xf numFmtId="165" fontId="4" fillId="0" borderId="0" xfId="0" applyNumberFormat="1" applyFont="1" applyAlignment="1">
      <alignment horizontal="right"/>
    </xf>
    <xf numFmtId="3" fontId="4" fillId="0" borderId="0" xfId="0" applyNumberFormat="1" applyFont="1" applyAlignment="1">
      <alignment horizontal="center"/>
    </xf>
    <xf numFmtId="172" fontId="4" fillId="0" borderId="1" xfId="0" applyFont="1" applyBorder="1" applyAlignment="1"/>
    <xf numFmtId="3" fontId="4" fillId="0" borderId="2" xfId="0" applyNumberFormat="1" applyFont="1" applyBorder="1" applyAlignment="1"/>
    <xf numFmtId="3" fontId="4" fillId="0" borderId="0" xfId="0" applyNumberFormat="1" applyFont="1" applyAlignment="1">
      <alignment horizontal="right"/>
    </xf>
    <xf numFmtId="0" fontId="4" fillId="0" borderId="0" xfId="0" applyNumberFormat="1" applyFont="1" applyFill="1" applyAlignment="1" applyProtection="1">
      <alignment horizontal="center"/>
      <protection locked="0"/>
    </xf>
    <xf numFmtId="0" fontId="4" fillId="0" borderId="0" xfId="0" applyNumberFormat="1" applyFont="1" applyFill="1" applyAlignment="1"/>
    <xf numFmtId="172" fontId="4" fillId="0" borderId="0" xfId="0" applyFont="1" applyFill="1" applyAlignment="1"/>
    <xf numFmtId="3" fontId="4" fillId="0" borderId="0" xfId="0" applyNumberFormat="1" applyFont="1" applyAlignment="1">
      <alignment horizontal="left"/>
    </xf>
    <xf numFmtId="166" fontId="4" fillId="0" borderId="0" xfId="0" applyNumberFormat="1" applyFont="1" applyAlignment="1">
      <alignment horizontal="right"/>
    </xf>
    <xf numFmtId="10" fontId="4" fillId="0" borderId="0" xfId="0" applyNumberFormat="1" applyFont="1" applyAlignment="1">
      <alignment horizontal="left"/>
    </xf>
    <xf numFmtId="166" fontId="4" fillId="0" borderId="0" xfId="0" applyNumberFormat="1" applyFont="1" applyAlignment="1">
      <alignment horizontal="center"/>
    </xf>
    <xf numFmtId="164" fontId="4" fillId="0" borderId="0" xfId="0" applyNumberFormat="1" applyFont="1" applyAlignment="1">
      <alignment horizontal="left"/>
    </xf>
    <xf numFmtId="10" fontId="4" fillId="0" borderId="0" xfId="0" applyNumberFormat="1" applyFont="1" applyFill="1" applyAlignment="1">
      <alignment horizontal="right"/>
    </xf>
    <xf numFmtId="169" fontId="4" fillId="0" borderId="0" xfId="0" applyNumberFormat="1" applyFont="1" applyFill="1" applyAlignment="1">
      <alignment horizontal="right"/>
    </xf>
    <xf numFmtId="164" fontId="4" fillId="0" borderId="0" xfId="0" applyNumberFormat="1" applyFont="1" applyAlignment="1" applyProtection="1">
      <alignment horizontal="left"/>
      <protection locked="0"/>
    </xf>
    <xf numFmtId="167" fontId="4" fillId="0" borderId="0" xfId="0" applyNumberFormat="1" applyFont="1" applyAlignment="1"/>
    <xf numFmtId="0" fontId="5" fillId="0" borderId="0" xfId="0" applyNumberFormat="1" applyFont="1" applyAlignment="1" applyProtection="1">
      <alignment horizontal="center"/>
      <protection locked="0"/>
    </xf>
    <xf numFmtId="172" fontId="5" fillId="0" borderId="0" xfId="0" applyFont="1" applyAlignment="1"/>
    <xf numFmtId="3" fontId="5" fillId="0" borderId="0" xfId="0" applyNumberFormat="1" applyFont="1" applyAlignment="1"/>
    <xf numFmtId="0" fontId="5" fillId="0" borderId="0" xfId="0" applyNumberFormat="1" applyFont="1"/>
    <xf numFmtId="0" fontId="5" fillId="0" borderId="0" xfId="0" applyNumberFormat="1" applyFont="1" applyAlignment="1">
      <alignment horizontal="center"/>
    </xf>
    <xf numFmtId="172" fontId="4" fillId="0" borderId="0" xfId="0" applyFont="1" applyAlignment="1">
      <alignment horizontal="right"/>
    </xf>
    <xf numFmtId="0" fontId="8" fillId="0" borderId="0" xfId="0" applyNumberFormat="1" applyFont="1"/>
    <xf numFmtId="0" fontId="4" fillId="0" borderId="1" xfId="0" applyNumberFormat="1" applyFont="1" applyBorder="1" applyProtection="1">
      <protection locked="0"/>
    </xf>
    <xf numFmtId="0" fontId="4" fillId="0" borderId="1" xfId="0" applyNumberFormat="1" applyFont="1" applyBorder="1"/>
    <xf numFmtId="49" fontId="4" fillId="0" borderId="0" xfId="0" applyNumberFormat="1" applyFont="1" applyAlignment="1"/>
    <xf numFmtId="172" fontId="4" fillId="0" borderId="0" xfId="0" applyFont="1" applyBorder="1" applyAlignment="1"/>
    <xf numFmtId="0" fontId="4" fillId="0" borderId="0" xfId="0" applyNumberFormat="1" applyFont="1" applyBorder="1" applyAlignment="1"/>
    <xf numFmtId="172" fontId="4" fillId="0" borderId="3" xfId="0" applyFont="1" applyBorder="1" applyAlignment="1"/>
    <xf numFmtId="3" fontId="6" fillId="0" borderId="0" xfId="0" applyNumberFormat="1" applyFont="1" applyBorder="1" applyAlignment="1"/>
    <xf numFmtId="165" fontId="4" fillId="0" borderId="0" xfId="0" applyNumberFormat="1" applyFont="1"/>
    <xf numFmtId="172" fontId="9" fillId="0" borderId="0" xfId="0" applyFont="1" applyBorder="1"/>
    <xf numFmtId="172" fontId="6" fillId="0" borderId="0" xfId="0" applyFont="1" applyBorder="1"/>
    <xf numFmtId="166" fontId="4" fillId="0" borderId="0" xfId="0" applyNumberFormat="1" applyFont="1"/>
    <xf numFmtId="3" fontId="4" fillId="0" borderId="1" xfId="0" applyNumberFormat="1" applyFont="1" applyBorder="1" applyAlignment="1">
      <alignment horizontal="center"/>
    </xf>
    <xf numFmtId="172" fontId="6" fillId="0" borderId="0" xfId="0" applyFont="1" applyBorder="1" applyAlignment="1"/>
    <xf numFmtId="4" fontId="4" fillId="0" borderId="0" xfId="0" applyNumberFormat="1" applyFont="1" applyAlignment="1"/>
    <xf numFmtId="172" fontId="6" fillId="0" borderId="4" xfId="0" applyFont="1" applyBorder="1" applyAlignment="1"/>
    <xf numFmtId="172" fontId="4" fillId="0" borderId="4" xfId="0" applyFont="1" applyBorder="1" applyAlignment="1"/>
    <xf numFmtId="172" fontId="4" fillId="0" borderId="5" xfId="0" applyFont="1" applyBorder="1" applyAlignment="1"/>
    <xf numFmtId="3" fontId="4" fillId="0" borderId="0" xfId="0" applyNumberFormat="1" applyFont="1" applyBorder="1" applyAlignment="1">
      <alignment horizontal="center"/>
    </xf>
    <xf numFmtId="166" fontId="4" fillId="0" borderId="0" xfId="0" applyNumberFormat="1" applyFont="1" applyAlignment="1" applyProtection="1">
      <alignment horizontal="center"/>
      <protection locked="0"/>
    </xf>
    <xf numFmtId="0" fontId="4" fillId="0" borderId="1" xfId="0" applyNumberFormat="1" applyFont="1" applyBorder="1" applyAlignment="1"/>
    <xf numFmtId="170" fontId="4" fillId="2" borderId="0" xfId="0" applyNumberFormat="1" applyFont="1" applyFill="1" applyAlignment="1"/>
    <xf numFmtId="9" fontId="4" fillId="0" borderId="0" xfId="0" applyNumberFormat="1" applyFont="1" applyAlignment="1"/>
    <xf numFmtId="169" fontId="4" fillId="0" borderId="0" xfId="0" applyNumberFormat="1" applyFont="1" applyAlignment="1"/>
    <xf numFmtId="10" fontId="4" fillId="0" borderId="0" xfId="0" applyNumberFormat="1" applyFont="1" applyAlignment="1"/>
    <xf numFmtId="169" fontId="4" fillId="0" borderId="1" xfId="0" applyNumberFormat="1" applyFont="1" applyBorder="1" applyAlignment="1"/>
    <xf numFmtId="3" fontId="4" fillId="0" borderId="0" xfId="0" quotePrefix="1" applyNumberFormat="1" applyFont="1" applyAlignment="1"/>
    <xf numFmtId="10" fontId="4" fillId="2" borderId="0" xfId="0" applyNumberFormat="1" applyFont="1" applyFill="1" applyAlignment="1"/>
    <xf numFmtId="0" fontId="5" fillId="0" borderId="0" xfId="0" applyNumberFormat="1" applyFont="1" applyProtection="1">
      <protection locked="0"/>
    </xf>
    <xf numFmtId="172" fontId="4" fillId="0" borderId="0" xfId="0" applyFont="1" applyFill="1" applyAlignment="1" applyProtection="1"/>
    <xf numFmtId="170" fontId="4" fillId="0" borderId="0" xfId="0" applyNumberFormat="1" applyFont="1" applyFill="1" applyBorder="1" applyProtection="1"/>
    <xf numFmtId="170" fontId="4" fillId="2" borderId="0" xfId="0" applyNumberFormat="1" applyFont="1" applyFill="1" applyBorder="1" applyProtection="1"/>
    <xf numFmtId="3" fontId="6" fillId="0" borderId="0" xfId="0" applyNumberFormat="1" applyFont="1" applyAlignment="1">
      <alignment horizontal="left"/>
    </xf>
    <xf numFmtId="170" fontId="4" fillId="2" borderId="0" xfId="0" applyNumberFormat="1" applyFont="1" applyFill="1" applyBorder="1" applyAlignment="1" applyProtection="1">
      <protection locked="0"/>
    </xf>
    <xf numFmtId="0" fontId="4" fillId="0" borderId="0" xfId="0" applyNumberFormat="1" applyFont="1" applyBorder="1" applyAlignment="1" applyProtection="1">
      <protection locked="0"/>
    </xf>
    <xf numFmtId="0" fontId="4" fillId="0" borderId="0" xfId="0" applyNumberFormat="1" applyFont="1" applyBorder="1" applyProtection="1">
      <protection locked="0"/>
    </xf>
    <xf numFmtId="0" fontId="5" fillId="0" borderId="0" xfId="0" applyNumberFormat="1" applyFont="1" applyAlignment="1" applyProtection="1">
      <protection locked="0"/>
    </xf>
    <xf numFmtId="170" fontId="4" fillId="0" borderId="0" xfId="0" applyNumberFormat="1" applyFont="1" applyFill="1" applyBorder="1" applyAlignment="1" applyProtection="1"/>
    <xf numFmtId="0" fontId="5" fillId="0" borderId="0" xfId="0" applyNumberFormat="1" applyFont="1" applyAlignment="1"/>
    <xf numFmtId="172" fontId="4" fillId="0" borderId="0" xfId="0" applyNumberFormat="1" applyFont="1" applyAlignment="1" applyProtection="1">
      <protection locked="0"/>
    </xf>
    <xf numFmtId="3" fontId="4" fillId="0" borderId="0" xfId="0" applyNumberFormat="1" applyFont="1" applyProtection="1">
      <protection locked="0"/>
    </xf>
    <xf numFmtId="170" fontId="4" fillId="0" borderId="0" xfId="0" applyNumberFormat="1" applyFont="1" applyAlignment="1" applyProtection="1">
      <alignment horizontal="right"/>
      <protection locked="0"/>
    </xf>
    <xf numFmtId="170" fontId="4" fillId="0" borderId="0" xfId="0" applyNumberFormat="1" applyFont="1" applyProtection="1">
      <protection locked="0"/>
    </xf>
    <xf numFmtId="3" fontId="4" fillId="0" borderId="0" xfId="0" applyNumberFormat="1" applyFont="1" applyFill="1" applyAlignment="1" applyProtection="1"/>
    <xf numFmtId="0" fontId="6" fillId="0" borderId="0" xfId="0" applyNumberFormat="1" applyFont="1" applyFill="1" applyAlignment="1" applyProtection="1">
      <alignment horizontal="left"/>
      <protection locked="0"/>
    </xf>
    <xf numFmtId="172" fontId="4" fillId="2" borderId="0" xfId="0" applyFont="1" applyFill="1" applyAlignment="1"/>
    <xf numFmtId="0" fontId="4" fillId="2" borderId="0" xfId="0" applyNumberFormat="1" applyFont="1" applyFill="1" applyProtection="1">
      <protection locked="0"/>
    </xf>
    <xf numFmtId="0" fontId="4" fillId="0" borderId="0" xfId="0" applyNumberFormat="1" applyFont="1" applyAlignment="1" applyProtection="1">
      <alignment horizontal="left" indent="8"/>
      <protection locked="0"/>
    </xf>
    <xf numFmtId="9" fontId="4" fillId="0" borderId="1" xfId="0" applyNumberFormat="1" applyFont="1" applyBorder="1" applyAlignment="1"/>
    <xf numFmtId="171" fontId="4" fillId="0" borderId="0" xfId="0" applyNumberFormat="1" applyFont="1" applyBorder="1" applyProtection="1">
      <protection locked="0"/>
    </xf>
    <xf numFmtId="0" fontId="4" fillId="0" borderId="0" xfId="0" applyNumberFormat="1" applyFont="1" applyBorder="1"/>
    <xf numFmtId="0" fontId="4" fillId="0" borderId="6" xfId="0" applyNumberFormat="1" applyFont="1" applyBorder="1" applyAlignment="1">
      <alignment horizontal="center"/>
    </xf>
    <xf numFmtId="0" fontId="4" fillId="0" borderId="0" xfId="0" applyNumberFormat="1" applyFont="1" applyBorder="1" applyAlignment="1">
      <alignment horizontal="center"/>
    </xf>
    <xf numFmtId="0" fontId="4" fillId="0" borderId="3" xfId="0" applyNumberFormat="1" applyFont="1" applyBorder="1" applyAlignment="1">
      <alignment horizontal="center"/>
    </xf>
    <xf numFmtId="170" fontId="4" fillId="0" borderId="0" xfId="0" applyNumberFormat="1" applyFont="1" applyBorder="1" applyAlignment="1"/>
    <xf numFmtId="0" fontId="4" fillId="0" borderId="0" xfId="0" applyNumberFormat="1" applyFont="1" applyAlignment="1" applyProtection="1">
      <alignment horizontal="center" vertical="top" wrapText="1"/>
      <protection locked="0"/>
    </xf>
    <xf numFmtId="0" fontId="4" fillId="0" borderId="0" xfId="0" applyNumberFormat="1" applyFont="1" applyAlignment="1" applyProtection="1">
      <alignment vertical="top" wrapText="1"/>
      <protection locked="0"/>
    </xf>
    <xf numFmtId="3" fontId="4" fillId="0" borderId="0" xfId="0" applyNumberFormat="1" applyFont="1" applyAlignment="1">
      <alignment vertical="top" wrapText="1"/>
    </xf>
    <xf numFmtId="0" fontId="4" fillId="0" borderId="0" xfId="0" applyNumberFormat="1" applyFont="1" applyFill="1" applyAlignment="1" applyProtection="1">
      <alignment vertical="top" wrapText="1"/>
      <protection locked="0"/>
    </xf>
    <xf numFmtId="10" fontId="4" fillId="2" borderId="0" xfId="0" applyNumberFormat="1" applyFont="1" applyFill="1" applyAlignment="1" applyProtection="1">
      <alignment vertical="top" wrapText="1"/>
      <protection locked="0"/>
    </xf>
    <xf numFmtId="0" fontId="4" fillId="0" borderId="0" xfId="0" applyNumberFormat="1" applyFont="1" applyFill="1" applyAlignment="1">
      <alignment vertical="top" wrapText="1"/>
    </xf>
    <xf numFmtId="172" fontId="4" fillId="0" borderId="0" xfId="0" applyFont="1" applyAlignment="1">
      <alignment horizontal="center" vertical="top" wrapText="1"/>
    </xf>
    <xf numFmtId="172" fontId="4" fillId="0" borderId="0" xfId="0" applyFont="1" applyFill="1" applyAlignment="1">
      <alignment horizontal="center" vertical="top" wrapText="1"/>
    </xf>
    <xf numFmtId="0" fontId="5" fillId="0" borderId="0" xfId="0" applyNumberFormat="1" applyFont="1" applyFill="1" applyAlignment="1">
      <alignment vertical="top" wrapText="1"/>
    </xf>
    <xf numFmtId="172" fontId="5" fillId="0" borderId="0" xfId="0" applyFont="1" applyAlignment="1">
      <alignment horizontal="center" vertical="top" wrapText="1"/>
    </xf>
    <xf numFmtId="0" fontId="5" fillId="0" borderId="0" xfId="0" applyNumberFormat="1" applyFont="1" applyAlignment="1" applyProtection="1">
      <alignment vertical="top" wrapText="1"/>
      <protection locked="0"/>
    </xf>
    <xf numFmtId="0" fontId="4" fillId="0" borderId="0" xfId="0" applyNumberFormat="1" applyFont="1" applyFill="1" applyAlignment="1" applyProtection="1">
      <alignment horizontal="left" vertical="top" wrapText="1" indent="8"/>
      <protection locked="0"/>
    </xf>
    <xf numFmtId="170" fontId="4" fillId="2" borderId="1" xfId="0" applyNumberFormat="1" applyFont="1" applyFill="1" applyBorder="1" applyAlignment="1" applyProtection="1">
      <protection locked="0"/>
    </xf>
    <xf numFmtId="0" fontId="4" fillId="0" borderId="0" xfId="0" applyNumberFormat="1" applyFont="1" applyFill="1"/>
    <xf numFmtId="9" fontId="4" fillId="0" borderId="0" xfId="0" applyNumberFormat="1" applyFont="1" applyFill="1" applyAlignment="1"/>
    <xf numFmtId="0" fontId="4" fillId="2" borderId="1" xfId="0" applyNumberFormat="1" applyFont="1" applyFill="1" applyBorder="1" applyAlignment="1"/>
    <xf numFmtId="170" fontId="4" fillId="2" borderId="6" xfId="0" applyNumberFormat="1" applyFont="1" applyFill="1" applyBorder="1" applyAlignment="1"/>
    <xf numFmtId="170" fontId="4" fillId="2" borderId="7" xfId="0" applyNumberFormat="1" applyFont="1" applyFill="1" applyBorder="1" applyAlignment="1"/>
    <xf numFmtId="170" fontId="4" fillId="0" borderId="6" xfId="0" applyNumberFormat="1" applyFont="1" applyBorder="1" applyAlignment="1"/>
    <xf numFmtId="170" fontId="4" fillId="0" borderId="6" xfId="0" applyNumberFormat="1" applyFont="1" applyFill="1" applyBorder="1" applyAlignment="1"/>
    <xf numFmtId="170" fontId="4" fillId="0" borderId="7" xfId="0" applyNumberFormat="1" applyFont="1" applyBorder="1" applyAlignment="1"/>
    <xf numFmtId="172" fontId="10" fillId="0" borderId="0" xfId="0" applyFont="1" applyAlignment="1"/>
    <xf numFmtId="3" fontId="4" fillId="0" borderId="2" xfId="0" applyNumberFormat="1" applyFont="1" applyFill="1" applyBorder="1" applyAlignment="1"/>
    <xf numFmtId="0" fontId="4" fillId="0" borderId="0" xfId="0" applyNumberFormat="1" applyFont="1" applyFill="1" applyAlignment="1">
      <alignment horizontal="fill"/>
    </xf>
    <xf numFmtId="3" fontId="11" fillId="0" borderId="0" xfId="0" applyNumberFormat="1" applyFont="1" applyAlignment="1"/>
    <xf numFmtId="0" fontId="4" fillId="2" borderId="0" xfId="0" applyNumberFormat="1" applyFont="1" applyFill="1" applyBorder="1" applyAlignment="1"/>
    <xf numFmtId="0" fontId="4" fillId="0" borderId="0" xfId="0" applyNumberFormat="1" applyFont="1" applyFill="1" applyAlignment="1">
      <alignment horizontal="left" vertical="top"/>
    </xf>
    <xf numFmtId="0" fontId="4" fillId="0" borderId="0" xfId="0" applyNumberFormat="1" applyFont="1" applyFill="1" applyAlignment="1">
      <alignment vertical="top"/>
    </xf>
    <xf numFmtId="0" fontId="4" fillId="0" borderId="0" xfId="0" applyNumberFormat="1" applyFont="1" applyFill="1" applyBorder="1" applyAlignment="1" applyProtection="1">
      <protection locked="0"/>
    </xf>
    <xf numFmtId="0" fontId="4" fillId="0" borderId="0" xfId="0" applyNumberFormat="1" applyFont="1" applyFill="1" applyBorder="1" applyProtection="1">
      <protection locked="0"/>
    </xf>
    <xf numFmtId="0" fontId="4" fillId="0" borderId="1" xfId="0" applyNumberFormat="1" applyFont="1" applyFill="1" applyBorder="1" applyAlignment="1" applyProtection="1">
      <protection locked="0"/>
    </xf>
    <xf numFmtId="0" fontId="4" fillId="0" borderId="1" xfId="0" applyNumberFormat="1" applyFont="1" applyFill="1" applyBorder="1" applyProtection="1">
      <protection locked="0"/>
    </xf>
    <xf numFmtId="1" fontId="0" fillId="0" borderId="0" xfId="0" applyNumberFormat="1" applyAlignment="1">
      <alignment horizontal="left"/>
    </xf>
    <xf numFmtId="172" fontId="0" fillId="0" borderId="0" xfId="0"/>
    <xf numFmtId="172" fontId="0" fillId="0" borderId="0" xfId="0" applyFill="1" applyAlignment="1"/>
    <xf numFmtId="172" fontId="0" fillId="0" borderId="0" xfId="0" applyAlignment="1">
      <alignment horizontal="center"/>
    </xf>
    <xf numFmtId="172" fontId="0" fillId="0" borderId="0" xfId="0" applyAlignment="1"/>
    <xf numFmtId="0" fontId="0" fillId="0" borderId="0" xfId="0" applyNumberFormat="1"/>
    <xf numFmtId="172" fontId="0" fillId="0" borderId="0" xfId="0" applyAlignment="1"/>
    <xf numFmtId="0" fontId="37" fillId="0" borderId="0" xfId="45"/>
    <xf numFmtId="173" fontId="31" fillId="0" borderId="0" xfId="41" applyNumberFormat="1" applyFont="1"/>
    <xf numFmtId="10" fontId="31" fillId="0" borderId="0" xfId="55" applyNumberFormat="1" applyFont="1"/>
    <xf numFmtId="0" fontId="37" fillId="0" borderId="0" xfId="45" applyAlignment="1">
      <alignment wrapText="1"/>
    </xf>
    <xf numFmtId="173" fontId="31" fillId="0" borderId="9" xfId="41" applyNumberFormat="1" applyFont="1" applyBorder="1"/>
    <xf numFmtId="0" fontId="33" fillId="0" borderId="0" xfId="44" applyFont="1"/>
    <xf numFmtId="172" fontId="0" fillId="34" borderId="0" xfId="0" applyFill="1" applyAlignment="1"/>
    <xf numFmtId="0" fontId="37" fillId="34" borderId="0" xfId="45" applyFill="1"/>
    <xf numFmtId="0" fontId="37" fillId="34" borderId="9" xfId="45" applyFill="1" applyBorder="1"/>
    <xf numFmtId="172" fontId="0" fillId="0" borderId="0" xfId="0" applyAlignment="1"/>
    <xf numFmtId="172" fontId="34" fillId="0" borderId="0" xfId="0" applyFont="1" applyAlignment="1"/>
    <xf numFmtId="49" fontId="36" fillId="0" borderId="0" xfId="0" applyNumberFormat="1" applyFont="1" applyAlignment="1"/>
    <xf numFmtId="172" fontId="32" fillId="0" borderId="0" xfId="0" applyFont="1" applyAlignment="1">
      <alignment horizontal="left"/>
    </xf>
    <xf numFmtId="39" fontId="32" fillId="0" borderId="0" xfId="0" applyNumberFormat="1" applyFont="1"/>
    <xf numFmtId="39" fontId="32" fillId="0" borderId="0" xfId="0" applyNumberFormat="1" applyFont="1" applyFill="1"/>
    <xf numFmtId="172" fontId="39" fillId="39" borderId="0" xfId="0" applyFont="1" applyFill="1"/>
    <xf numFmtId="172" fontId="32" fillId="0" borderId="0" xfId="0" applyFont="1" applyAlignment="1">
      <alignment horizontal="center"/>
    </xf>
    <xf numFmtId="172" fontId="32" fillId="0" borderId="0" xfId="0" applyFont="1"/>
    <xf numFmtId="172" fontId="0" fillId="0" borderId="0" xfId="0" applyAlignment="1">
      <alignment horizontal="left"/>
    </xf>
    <xf numFmtId="39" fontId="0" fillId="0" borderId="0" xfId="0" applyNumberFormat="1"/>
    <xf numFmtId="39" fontId="0" fillId="0" borderId="0" xfId="0" applyNumberFormat="1" applyFill="1"/>
    <xf numFmtId="172" fontId="40" fillId="39" borderId="0" xfId="0" applyFont="1" applyFill="1"/>
    <xf numFmtId="39" fontId="0" fillId="0" borderId="0" xfId="0" applyNumberFormat="1" applyAlignment="1">
      <alignment horizontal="right"/>
    </xf>
    <xf numFmtId="39" fontId="0" fillId="0" borderId="0" xfId="0" applyNumberFormat="1" applyFill="1" applyAlignment="1">
      <alignment horizontal="right"/>
    </xf>
    <xf numFmtId="172" fontId="30" fillId="0" borderId="0" xfId="0" applyFont="1" applyAlignment="1">
      <alignment horizontal="left"/>
    </xf>
    <xf numFmtId="172" fontId="30" fillId="0" borderId="0" xfId="0" applyFont="1"/>
    <xf numFmtId="39" fontId="30" fillId="0" borderId="0" xfId="0" quotePrefix="1" applyNumberFormat="1" applyFont="1" applyAlignment="1">
      <alignment horizontal="right"/>
    </xf>
    <xf numFmtId="39" fontId="30" fillId="0" borderId="0" xfId="0" applyNumberFormat="1" applyFont="1" applyFill="1" applyAlignment="1">
      <alignment horizontal="right"/>
    </xf>
    <xf numFmtId="39" fontId="30" fillId="0" borderId="0" xfId="0" quotePrefix="1" applyNumberFormat="1" applyFont="1" applyFill="1" applyAlignment="1">
      <alignment horizontal="right"/>
    </xf>
    <xf numFmtId="172" fontId="30" fillId="0" borderId="0" xfId="0" applyFont="1" applyAlignment="1">
      <alignment horizontal="center"/>
    </xf>
    <xf numFmtId="39" fontId="30" fillId="0" borderId="0" xfId="0" applyNumberFormat="1" applyFont="1" applyAlignment="1">
      <alignment horizontal="right"/>
    </xf>
    <xf numFmtId="10" fontId="0" fillId="0" borderId="0" xfId="0" applyNumberFormat="1"/>
    <xf numFmtId="2" fontId="0" fillId="0" borderId="0" xfId="0" applyNumberFormat="1"/>
    <xf numFmtId="174" fontId="44" fillId="0" borderId="0" xfId="59" applyFont="1" applyAlignment="1">
      <alignment horizontal="center"/>
    </xf>
    <xf numFmtId="172" fontId="45" fillId="0" borderId="0" xfId="0" applyFont="1"/>
    <xf numFmtId="172" fontId="27" fillId="0" borderId="0" xfId="0" applyFont="1"/>
    <xf numFmtId="173" fontId="0" fillId="0" borderId="0" xfId="57" applyNumberFormat="1" applyFont="1"/>
    <xf numFmtId="172" fontId="0" fillId="0" borderId="0" xfId="0" applyAlignment="1">
      <alignment horizontal="left" indent="1"/>
    </xf>
    <xf numFmtId="173" fontId="0" fillId="35" borderId="20" xfId="57" applyNumberFormat="1" applyFont="1" applyFill="1" applyBorder="1"/>
    <xf numFmtId="172" fontId="46" fillId="0" borderId="0" xfId="0" applyFont="1" applyAlignment="1">
      <alignment horizontal="center"/>
    </xf>
    <xf numFmtId="172" fontId="47" fillId="0" borderId="0" xfId="0" applyFont="1"/>
    <xf numFmtId="172" fontId="48" fillId="0" borderId="0" xfId="0" applyFont="1"/>
    <xf numFmtId="175" fontId="0" fillId="0" borderId="0" xfId="58" applyNumberFormat="1" applyFont="1"/>
    <xf numFmtId="173" fontId="49" fillId="0" borderId="0" xfId="57" applyNumberFormat="1" applyFont="1"/>
    <xf numFmtId="175" fontId="0" fillId="0" borderId="0" xfId="0" applyNumberFormat="1"/>
    <xf numFmtId="0" fontId="50" fillId="0" borderId="0" xfId="44" applyFont="1" applyBorder="1" applyAlignment="1">
      <alignment vertical="center"/>
    </xf>
    <xf numFmtId="49" fontId="0" fillId="0" borderId="0" xfId="0" applyNumberFormat="1" applyAlignment="1">
      <alignment horizontal="center"/>
    </xf>
    <xf numFmtId="173" fontId="0" fillId="0" borderId="0" xfId="57" applyNumberFormat="1" applyFont="1" applyFill="1" applyBorder="1"/>
    <xf numFmtId="175" fontId="0" fillId="35" borderId="20" xfId="0" applyNumberFormat="1" applyFill="1" applyBorder="1"/>
    <xf numFmtId="172" fontId="0" fillId="35" borderId="0" xfId="0" applyFill="1"/>
    <xf numFmtId="173" fontId="0" fillId="0" borderId="4" xfId="57" applyNumberFormat="1" applyFont="1" applyBorder="1"/>
    <xf numFmtId="175" fontId="51" fillId="0" borderId="4" xfId="58" applyNumberFormat="1" applyFont="1" applyBorder="1"/>
    <xf numFmtId="176" fontId="30" fillId="0" borderId="0" xfId="0" quotePrefix="1" applyNumberFormat="1" applyFont="1" applyAlignment="1">
      <alignment horizontal="right"/>
    </xf>
    <xf numFmtId="39" fontId="34" fillId="0" borderId="0" xfId="0" applyNumberFormat="1" applyFont="1"/>
    <xf numFmtId="39" fontId="34" fillId="0" borderId="0" xfId="0" applyNumberFormat="1" applyFont="1" applyFill="1"/>
    <xf numFmtId="172" fontId="52" fillId="0" borderId="0" xfId="0" applyNumberFormat="1" applyFont="1"/>
    <xf numFmtId="172" fontId="52" fillId="0" borderId="0" xfId="0" applyNumberFormat="1" applyFont="1" applyFill="1"/>
    <xf numFmtId="7" fontId="52" fillId="0" borderId="0" xfId="0" applyNumberFormat="1" applyFont="1"/>
    <xf numFmtId="172" fontId="0" fillId="0" borderId="0" xfId="0" applyFont="1" applyAlignment="1">
      <alignment horizontal="center"/>
    </xf>
    <xf numFmtId="3" fontId="2" fillId="0" borderId="0" xfId="61" applyNumberFormat="1" applyFont="1"/>
    <xf numFmtId="3" fontId="64" fillId="0" borderId="0" xfId="61" applyNumberFormat="1" applyFont="1"/>
    <xf numFmtId="3" fontId="49" fillId="0" borderId="0" xfId="61" applyNumberFormat="1" applyFont="1"/>
    <xf numFmtId="3" fontId="2" fillId="35" borderId="0" xfId="61" applyNumberFormat="1" applyFont="1" applyFill="1" applyBorder="1"/>
    <xf numFmtId="175" fontId="2" fillId="0" borderId="0" xfId="61" applyNumberFormat="1" applyFont="1"/>
    <xf numFmtId="175" fontId="2" fillId="35" borderId="20" xfId="62" applyNumberFormat="1" applyFont="1" applyFill="1" applyBorder="1"/>
    <xf numFmtId="37" fontId="2" fillId="0" borderId="0" xfId="61" applyNumberFormat="1" applyFont="1"/>
    <xf numFmtId="3" fontId="2" fillId="35" borderId="0" xfId="61" applyNumberFormat="1" applyFont="1" applyFill="1"/>
    <xf numFmtId="0" fontId="2" fillId="0" borderId="0" xfId="60"/>
    <xf numFmtId="0" fontId="2" fillId="0" borderId="0" xfId="60" applyAlignment="1">
      <alignment horizontal="left" indent="1"/>
    </xf>
    <xf numFmtId="0" fontId="27" fillId="0" borderId="0" xfId="60" applyFont="1"/>
    <xf numFmtId="0" fontId="57" fillId="0" borderId="0" xfId="60" applyFont="1"/>
    <xf numFmtId="0" fontId="56" fillId="0" borderId="0" xfId="60" applyFont="1" applyAlignment="1">
      <alignment horizontal="left" indent="2"/>
    </xf>
    <xf numFmtId="0" fontId="56" fillId="0" borderId="0" xfId="60" applyFont="1" applyAlignment="1">
      <alignment horizontal="left" indent="1"/>
    </xf>
    <xf numFmtId="0" fontId="2" fillId="0" borderId="0" xfId="60" applyAlignment="1"/>
    <xf numFmtId="44" fontId="2" fillId="0" borderId="0" xfId="62" applyFont="1"/>
    <xf numFmtId="0" fontId="58" fillId="0" borderId="0" xfId="60" applyFont="1" applyAlignment="1">
      <alignment horizontal="center"/>
    </xf>
    <xf numFmtId="0" fontId="2" fillId="0" borderId="0" xfId="60" applyFont="1" applyAlignment="1">
      <alignment horizontal="left" indent="2"/>
    </xf>
    <xf numFmtId="0" fontId="2" fillId="0" borderId="0" xfId="60" applyFont="1" applyAlignment="1">
      <alignment horizontal="left" indent="1"/>
    </xf>
    <xf numFmtId="4" fontId="2" fillId="0" borderId="0" xfId="60" applyNumberFormat="1"/>
    <xf numFmtId="170" fontId="0" fillId="0" borderId="0" xfId="0" applyNumberFormat="1" applyAlignment="1"/>
    <xf numFmtId="170" fontId="2" fillId="35" borderId="20" xfId="60" applyNumberFormat="1" applyFill="1" applyBorder="1"/>
    <xf numFmtId="170" fontId="2" fillId="0" borderId="0" xfId="60" applyNumberFormat="1"/>
    <xf numFmtId="170" fontId="46" fillId="0" borderId="0" xfId="60" applyNumberFormat="1" applyFont="1" applyAlignment="1">
      <alignment horizontal="center"/>
    </xf>
    <xf numFmtId="0" fontId="2" fillId="0" borderId="0" xfId="60"/>
    <xf numFmtId="173" fontId="2" fillId="0" borderId="0" xfId="61" applyNumberFormat="1" applyFont="1"/>
    <xf numFmtId="0" fontId="2" fillId="0" borderId="0" xfId="60" applyAlignment="1">
      <alignment horizontal="left" indent="1"/>
    </xf>
    <xf numFmtId="0" fontId="27" fillId="0" borderId="0" xfId="60" applyFont="1"/>
    <xf numFmtId="0" fontId="46" fillId="0" borderId="0" xfId="60" applyFont="1" applyAlignment="1">
      <alignment horizontal="center"/>
    </xf>
    <xf numFmtId="175" fontId="2" fillId="0" borderId="0" xfId="62" applyNumberFormat="1" applyFont="1"/>
    <xf numFmtId="175" fontId="2" fillId="0" borderId="0" xfId="60" applyNumberFormat="1"/>
    <xf numFmtId="173" fontId="49" fillId="0" borderId="0" xfId="61" applyNumberFormat="1" applyFont="1"/>
    <xf numFmtId="0" fontId="54" fillId="0" borderId="0" xfId="60" applyFont="1"/>
    <xf numFmtId="0" fontId="27" fillId="0" borderId="0" xfId="60" applyFont="1" applyAlignment="1">
      <alignment horizontal="center"/>
    </xf>
    <xf numFmtId="37" fontId="2" fillId="0" borderId="4" xfId="61" applyNumberFormat="1" applyFont="1" applyBorder="1"/>
    <xf numFmtId="0" fontId="65" fillId="0" borderId="0" xfId="63" applyFont="1" applyBorder="1"/>
    <xf numFmtId="0" fontId="25" fillId="0" borderId="0" xfId="60" applyFont="1" applyFill="1"/>
    <xf numFmtId="0" fontId="2" fillId="0" borderId="0" xfId="60"/>
    <xf numFmtId="0" fontId="27" fillId="0" borderId="0" xfId="60" applyFont="1"/>
    <xf numFmtId="0" fontId="46" fillId="0" borderId="0" xfId="60" applyFont="1" applyAlignment="1">
      <alignment horizontal="center"/>
    </xf>
    <xf numFmtId="0" fontId="2" fillId="0" borderId="0" xfId="60" applyFont="1"/>
    <xf numFmtId="0" fontId="57" fillId="0" borderId="0" xfId="60" applyFont="1" applyAlignment="1">
      <alignment horizontal="left" indent="1"/>
    </xf>
    <xf numFmtId="0" fontId="57" fillId="0" borderId="0" xfId="60" applyFont="1"/>
    <xf numFmtId="0" fontId="56" fillId="0" borderId="0" xfId="60" applyFont="1" applyAlignment="1">
      <alignment horizontal="left" indent="2"/>
    </xf>
    <xf numFmtId="0" fontId="2" fillId="0" borderId="0" xfId="60" applyAlignment="1"/>
    <xf numFmtId="44" fontId="2" fillId="0" borderId="0" xfId="62" applyFont="1"/>
    <xf numFmtId="43" fontId="2" fillId="0" borderId="0" xfId="61" applyFont="1"/>
    <xf numFmtId="43" fontId="49" fillId="0" borderId="0" xfId="61" applyFont="1"/>
    <xf numFmtId="0" fontId="58" fillId="0" borderId="0" xfId="60" applyFont="1" applyAlignment="1">
      <alignment horizontal="center"/>
    </xf>
    <xf numFmtId="0" fontId="59" fillId="0" borderId="0" xfId="60" applyFont="1"/>
    <xf numFmtId="0" fontId="2" fillId="0" borderId="0" xfId="60"/>
    <xf numFmtId="175" fontId="2" fillId="0" borderId="0" xfId="62" applyNumberFormat="1" applyFont="1"/>
    <xf numFmtId="173" fontId="49" fillId="0" borderId="0" xfId="61" applyNumberFormat="1" applyFont="1"/>
    <xf numFmtId="0" fontId="56" fillId="0" borderId="0" xfId="60" applyFont="1" applyAlignment="1">
      <alignment horizontal="left" indent="2"/>
    </xf>
    <xf numFmtId="0" fontId="2" fillId="0" borderId="0" xfId="60" applyAlignment="1"/>
    <xf numFmtId="172" fontId="0" fillId="0" borderId="0" xfId="0" applyAlignment="1"/>
    <xf numFmtId="172" fontId="47" fillId="0" borderId="0" xfId="0" applyFont="1" applyAlignment="1"/>
    <xf numFmtId="0" fontId="2" fillId="0" borderId="0" xfId="60"/>
    <xf numFmtId="173" fontId="2" fillId="0" borderId="0" xfId="61" applyNumberFormat="1" applyFont="1"/>
    <xf numFmtId="0" fontId="2" fillId="0" borderId="0" xfId="60" applyAlignment="1">
      <alignment horizontal="left" indent="1"/>
    </xf>
    <xf numFmtId="0" fontId="27" fillId="0" borderId="0" xfId="60" applyFont="1"/>
    <xf numFmtId="175" fontId="2" fillId="0" borderId="0" xfId="62" applyNumberFormat="1" applyFont="1"/>
    <xf numFmtId="173" fontId="2" fillId="0" borderId="0" xfId="60" applyNumberFormat="1"/>
    <xf numFmtId="173" fontId="2" fillId="0" borderId="4" xfId="61" applyNumberFormat="1" applyFont="1" applyBorder="1"/>
    <xf numFmtId="0" fontId="54" fillId="0" borderId="0" xfId="60" applyFont="1"/>
    <xf numFmtId="0" fontId="2" fillId="0" borderId="0" xfId="60"/>
    <xf numFmtId="175" fontId="2" fillId="0" borderId="0" xfId="62" applyNumberFormat="1" applyFont="1"/>
    <xf numFmtId="173" fontId="2" fillId="35" borderId="0" xfId="61" applyNumberFormat="1" applyFont="1" applyFill="1"/>
    <xf numFmtId="175" fontId="2" fillId="35" borderId="0" xfId="62" applyNumberFormat="1" applyFont="1" applyFill="1"/>
    <xf numFmtId="173" fontId="2" fillId="0" borderId="4" xfId="61" applyNumberFormat="1" applyFont="1" applyBorder="1"/>
    <xf numFmtId="173" fontId="2" fillId="35" borderId="0" xfId="61" applyNumberFormat="1" applyFont="1" applyFill="1" applyBorder="1"/>
    <xf numFmtId="0" fontId="53" fillId="0" borderId="0" xfId="60" applyFont="1"/>
    <xf numFmtId="0" fontId="2" fillId="0" borderId="0" xfId="60"/>
    <xf numFmtId="0" fontId="2" fillId="0" borderId="0" xfId="60" applyAlignment="1">
      <alignment horizontal="left" indent="1"/>
    </xf>
    <xf numFmtId="175" fontId="2" fillId="0" borderId="0" xfId="62" applyNumberFormat="1" applyFont="1"/>
    <xf numFmtId="0" fontId="53" fillId="0" borderId="0" xfId="60" applyFont="1"/>
    <xf numFmtId="0" fontId="2" fillId="0" borderId="0" xfId="60" applyFont="1"/>
    <xf numFmtId="0" fontId="2" fillId="0" borderId="0" xfId="60" applyAlignment="1">
      <alignment horizontal="left" indent="2"/>
    </xf>
    <xf numFmtId="0" fontId="2" fillId="0" borderId="0" xfId="60" applyFont="1" applyFill="1"/>
    <xf numFmtId="173" fontId="2" fillId="0" borderId="0" xfId="61" applyNumberFormat="1" applyFont="1" applyFill="1" applyBorder="1"/>
    <xf numFmtId="175" fontId="2" fillId="0" borderId="0" xfId="62" applyNumberFormat="1" applyFont="1" applyFill="1" applyBorder="1"/>
    <xf numFmtId="173" fontId="49" fillId="0" borderId="0" xfId="61" applyNumberFormat="1" applyFont="1" applyFill="1" applyBorder="1"/>
    <xf numFmtId="1" fontId="0" fillId="0" borderId="0" xfId="0" applyNumberFormat="1" applyAlignment="1">
      <alignment horizontal="left"/>
    </xf>
    <xf numFmtId="1" fontId="35" fillId="0" borderId="0" xfId="0" applyNumberFormat="1" applyFont="1" applyAlignment="1">
      <alignment horizontal="left"/>
    </xf>
    <xf numFmtId="172" fontId="0" fillId="38" borderId="0" xfId="0" applyFill="1" applyAlignment="1"/>
    <xf numFmtId="172" fontId="0" fillId="37" borderId="0" xfId="0" applyFill="1" applyAlignment="1"/>
    <xf numFmtId="172" fontId="0" fillId="0" borderId="0" xfId="0" applyAlignment="1">
      <alignment horizontal="centerContinuous"/>
    </xf>
    <xf numFmtId="172" fontId="0" fillId="35" borderId="0" xfId="0" applyFill="1" applyAlignment="1"/>
    <xf numFmtId="172" fontId="0" fillId="36" borderId="0" xfId="0" applyFill="1" applyAlignment="1"/>
    <xf numFmtId="0" fontId="0" fillId="0" borderId="0" xfId="0" applyNumberFormat="1"/>
    <xf numFmtId="49" fontId="36" fillId="0" borderId="0" xfId="0" applyNumberFormat="1" applyFont="1" applyAlignment="1"/>
    <xf numFmtId="0" fontId="2" fillId="0" borderId="0" xfId="60"/>
    <xf numFmtId="0" fontId="29" fillId="0" borderId="0" xfId="63"/>
    <xf numFmtId="0" fontId="55" fillId="0" borderId="0" xfId="63" applyFont="1" applyBorder="1" applyAlignment="1">
      <alignment vertical="center"/>
    </xf>
    <xf numFmtId="43" fontId="32" fillId="0" borderId="0" xfId="63" applyNumberFormat="1" applyFont="1" applyBorder="1" applyAlignment="1">
      <alignment horizontal="center"/>
    </xf>
    <xf numFmtId="0" fontId="32" fillId="0" borderId="0" xfId="63" applyFont="1" applyBorder="1" applyAlignment="1">
      <alignment horizontal="center"/>
    </xf>
    <xf numFmtId="0" fontId="29" fillId="0" borderId="0" xfId="63" applyBorder="1"/>
    <xf numFmtId="0" fontId="60" fillId="40" borderId="0" xfId="63" applyFont="1" applyFill="1" applyBorder="1" applyAlignment="1">
      <alignment horizontal="left"/>
    </xf>
    <xf numFmtId="44" fontId="61" fillId="40" borderId="0" xfId="65" applyFont="1" applyFill="1" applyBorder="1"/>
    <xf numFmtId="0" fontId="29" fillId="0" borderId="0" xfId="63" applyBorder="1" applyAlignment="1">
      <alignment horizontal="right"/>
    </xf>
    <xf numFmtId="43" fontId="61" fillId="40" borderId="0" xfId="66" applyNumberFormat="1" applyFont="1" applyFill="1" applyBorder="1"/>
    <xf numFmtId="0" fontId="29" fillId="0" borderId="0" xfId="63" applyFont="1" applyBorder="1" applyAlignment="1">
      <alignment horizontal="right"/>
    </xf>
    <xf numFmtId="44" fontId="29" fillId="0" borderId="0" xfId="65" applyFont="1" applyBorder="1"/>
    <xf numFmtId="43" fontId="29" fillId="0" borderId="0" xfId="63" applyNumberFormat="1" applyFont="1" applyBorder="1"/>
    <xf numFmtId="0" fontId="60" fillId="0" borderId="0" xfId="63" applyFont="1" applyFill="1" applyBorder="1" applyAlignment="1">
      <alignment horizontal="left"/>
    </xf>
    <xf numFmtId="44" fontId="29" fillId="40" borderId="0" xfId="65" applyFont="1" applyFill="1" applyBorder="1"/>
    <xf numFmtId="44" fontId="29" fillId="40" borderId="0" xfId="65" applyFill="1" applyBorder="1"/>
    <xf numFmtId="43" fontId="29" fillId="40" borderId="0" xfId="66" applyNumberFormat="1" applyFont="1" applyFill="1" applyBorder="1"/>
    <xf numFmtId="43" fontId="29" fillId="40" borderId="0" xfId="66" applyNumberFormat="1" applyFill="1" applyBorder="1"/>
    <xf numFmtId="0" fontId="29" fillId="0" borderId="0" xfId="63" applyAlignment="1">
      <alignment horizontal="right"/>
    </xf>
    <xf numFmtId="43" fontId="62" fillId="40" borderId="0" xfId="66" applyNumberFormat="1" applyFont="1" applyFill="1" applyBorder="1"/>
    <xf numFmtId="43" fontId="63" fillId="40" borderId="0" xfId="66" applyNumberFormat="1" applyFont="1" applyFill="1" applyBorder="1"/>
    <xf numFmtId="0" fontId="29" fillId="0" borderId="0" xfId="63" applyAlignment="1">
      <alignment horizontal="left" indent="1"/>
    </xf>
    <xf numFmtId="0" fontId="61" fillId="0" borderId="0" xfId="64" applyFont="1" applyFill="1" applyBorder="1" applyAlignment="1">
      <alignment horizontal="left" vertical="center" indent="2"/>
    </xf>
    <xf numFmtId="0" fontId="29" fillId="0" borderId="0" xfId="63" applyFill="1"/>
    <xf numFmtId="0" fontId="29" fillId="0" borderId="0" xfId="63" applyNumberFormat="1"/>
    <xf numFmtId="0" fontId="2" fillId="0" borderId="0" xfId="60"/>
    <xf numFmtId="173" fontId="2" fillId="0" borderId="0" xfId="61" applyNumberFormat="1" applyFont="1"/>
    <xf numFmtId="0" fontId="27" fillId="0" borderId="0" xfId="60" applyFont="1"/>
    <xf numFmtId="0" fontId="46" fillId="0" borderId="0" xfId="60" applyFont="1" applyAlignment="1">
      <alignment horizontal="center"/>
    </xf>
    <xf numFmtId="175" fontId="2" fillId="0" borderId="0" xfId="62" applyNumberFormat="1" applyFont="1"/>
    <xf numFmtId="0" fontId="48" fillId="0" borderId="0" xfId="60" applyFont="1"/>
    <xf numFmtId="173" fontId="2" fillId="0" borderId="0" xfId="61" applyNumberFormat="1" applyFont="1" applyFill="1" applyBorder="1"/>
    <xf numFmtId="175" fontId="2" fillId="35" borderId="20" xfId="60" applyNumberFormat="1" applyFill="1" applyBorder="1"/>
    <xf numFmtId="0" fontId="2" fillId="0" borderId="0" xfId="60" applyAlignment="1">
      <alignment wrapText="1"/>
    </xf>
    <xf numFmtId="0" fontId="46" fillId="0" borderId="0" xfId="60" applyFont="1" applyAlignment="1">
      <alignment horizontal="left"/>
    </xf>
    <xf numFmtId="172" fontId="34" fillId="0" borderId="0" xfId="0" applyFont="1" applyAlignment="1">
      <alignment horizontal="center"/>
    </xf>
    <xf numFmtId="0" fontId="2" fillId="0" borderId="0" xfId="60"/>
    <xf numFmtId="0" fontId="2" fillId="0" borderId="0" xfId="60" applyAlignment="1"/>
    <xf numFmtId="0" fontId="2" fillId="0" borderId="0" xfId="60" quotePrefix="1" applyAlignment="1"/>
    <xf numFmtId="0" fontId="36" fillId="0" borderId="0" xfId="60" quotePrefix="1" applyFont="1" applyAlignment="1"/>
    <xf numFmtId="0" fontId="36" fillId="0" borderId="4" xfId="60" quotePrefix="1" applyFont="1" applyBorder="1" applyAlignment="1">
      <alignment horizontal="center"/>
    </xf>
    <xf numFmtId="44" fontId="2" fillId="35" borderId="0" xfId="62" applyFont="1" applyFill="1" applyAlignment="1"/>
    <xf numFmtId="3" fontId="2" fillId="0" borderId="0" xfId="60" applyNumberFormat="1" applyAlignment="1"/>
    <xf numFmtId="44" fontId="2" fillId="0" borderId="21" xfId="62" applyFont="1" applyBorder="1" applyAlignment="1"/>
    <xf numFmtId="44" fontId="2" fillId="0" borderId="0" xfId="62" applyFont="1" applyBorder="1" applyAlignment="1"/>
    <xf numFmtId="44" fontId="2" fillId="0" borderId="0" xfId="62" applyFont="1" applyAlignment="1"/>
    <xf numFmtId="0" fontId="4" fillId="0" borderId="0" xfId="60" applyNumberFormat="1" applyFont="1" applyAlignment="1" applyProtection="1">
      <alignment horizontal="center"/>
      <protection locked="0"/>
    </xf>
    <xf numFmtId="0" fontId="4" fillId="0" borderId="0" xfId="60" applyNumberFormat="1" applyFont="1" applyAlignment="1" applyProtection="1">
      <protection locked="0"/>
    </xf>
    <xf numFmtId="0" fontId="4" fillId="0" borderId="0" xfId="60" applyNumberFormat="1" applyFont="1" applyBorder="1" applyAlignment="1" applyProtection="1">
      <protection locked="0"/>
    </xf>
    <xf numFmtId="0" fontId="4" fillId="0" borderId="0" xfId="60" applyNumberFormat="1" applyFont="1" applyFill="1" applyAlignment="1" applyProtection="1">
      <alignment horizontal="center"/>
      <protection locked="0"/>
    </xf>
    <xf numFmtId="0" fontId="4" fillId="0" borderId="0" xfId="60" applyNumberFormat="1" applyFont="1" applyFill="1" applyBorder="1" applyAlignment="1" applyProtection="1">
      <protection locked="0"/>
    </xf>
    <xf numFmtId="44" fontId="2" fillId="0" borderId="9" xfId="62" applyFont="1" applyBorder="1" applyAlignment="1"/>
    <xf numFmtId="0" fontId="2" fillId="41" borderId="0" xfId="60" applyFill="1" applyAlignment="1"/>
    <xf numFmtId="44" fontId="2" fillId="41" borderId="0" xfId="62" applyFont="1" applyFill="1" applyAlignment="1"/>
    <xf numFmtId="0" fontId="2" fillId="0" borderId="0" xfId="60" applyAlignment="1">
      <alignment horizontal="centerContinuous"/>
    </xf>
    <xf numFmtId="174" fontId="43" fillId="0" borderId="0" xfId="59" applyFont="1" applyFill="1" applyAlignment="1">
      <alignment horizontal="centerContinuous"/>
    </xf>
    <xf numFmtId="174" fontId="44" fillId="0" borderId="0" xfId="59" applyFont="1" applyAlignment="1">
      <alignment horizontal="centerContinuous"/>
    </xf>
    <xf numFmtId="0" fontId="1" fillId="0" borderId="0" xfId="60" applyFont="1"/>
    <xf numFmtId="0" fontId="1" fillId="0" borderId="0" xfId="60" applyFont="1" applyAlignment="1">
      <alignment horizontal="left" indent="1"/>
    </xf>
    <xf numFmtId="0" fontId="66" fillId="0" borderId="0" xfId="0" applyNumberFormat="1" applyFont="1" applyFill="1" applyBorder="1" applyAlignment="1" applyProtection="1">
      <alignment horizontal="centerContinuous"/>
    </xf>
    <xf numFmtId="0" fontId="67" fillId="0" borderId="0" xfId="0" applyNumberFormat="1" applyFont="1" applyFill="1" applyBorder="1" applyAlignment="1" applyProtection="1">
      <alignment horizontal="centerContinuous"/>
    </xf>
    <xf numFmtId="0" fontId="68" fillId="0" borderId="0" xfId="0" applyNumberFormat="1" applyFont="1" applyFill="1" applyBorder="1" applyAlignment="1" applyProtection="1">
      <alignment horizontal="centerContinuous"/>
    </xf>
    <xf numFmtId="0" fontId="31" fillId="0" borderId="0" xfId="0" applyNumberFormat="1" applyFont="1" applyFill="1" applyBorder="1" applyAlignment="1" applyProtection="1"/>
    <xf numFmtId="0" fontId="66" fillId="0" borderId="0" xfId="0" applyNumberFormat="1" applyFont="1" applyFill="1" applyBorder="1" applyAlignment="1" applyProtection="1">
      <alignment horizontal="centerContinuous"/>
      <protection locked="0"/>
    </xf>
    <xf numFmtId="0" fontId="66" fillId="0" borderId="0" xfId="0" applyNumberFormat="1" applyFont="1" applyFill="1" applyBorder="1" applyAlignment="1" applyProtection="1"/>
    <xf numFmtId="0" fontId="68" fillId="0" borderId="0" xfId="0" applyNumberFormat="1" applyFont="1" applyFill="1" applyBorder="1" applyAlignment="1" applyProtection="1"/>
    <xf numFmtId="0" fontId="69" fillId="0" borderId="0" xfId="0" applyNumberFormat="1" applyFont="1" applyFill="1" applyBorder="1" applyAlignment="1" applyProtection="1">
      <alignment horizontal="left"/>
    </xf>
    <xf numFmtId="0" fontId="68" fillId="0" borderId="0" xfId="0" applyNumberFormat="1" applyFont="1" applyFill="1" applyBorder="1" applyAlignment="1" applyProtection="1">
      <alignment horizontal="left"/>
    </xf>
    <xf numFmtId="37" fontId="68" fillId="0" borderId="0" xfId="0" applyNumberFormat="1" applyFont="1" applyFill="1" applyBorder="1" applyAlignment="1" applyProtection="1">
      <protection locked="0"/>
    </xf>
    <xf numFmtId="5" fontId="68" fillId="0" borderId="0" xfId="0" applyNumberFormat="1" applyFont="1" applyFill="1" applyBorder="1" applyAlignment="1" applyProtection="1"/>
    <xf numFmtId="3" fontId="68" fillId="0" borderId="0" xfId="0" applyNumberFormat="1" applyFont="1" applyFill="1" applyBorder="1" applyAlignment="1" applyProtection="1"/>
    <xf numFmtId="37" fontId="68" fillId="0" borderId="0" xfId="0" applyNumberFormat="1" applyFont="1" applyFill="1" applyBorder="1" applyAlignment="1" applyProtection="1"/>
    <xf numFmtId="37" fontId="31" fillId="0" borderId="0" xfId="0" applyNumberFormat="1" applyFont="1" applyFill="1" applyBorder="1" applyAlignment="1" applyProtection="1"/>
    <xf numFmtId="37" fontId="68" fillId="0" borderId="0" xfId="0" applyNumberFormat="1" applyFont="1" applyFill="1" applyBorder="1" applyAlignment="1" applyProtection="1">
      <alignment horizontal="right"/>
      <protection locked="0"/>
    </xf>
    <xf numFmtId="5" fontId="31" fillId="0" borderId="0" xfId="0" applyNumberFormat="1" applyFont="1"/>
    <xf numFmtId="37" fontId="70" fillId="0" borderId="0" xfId="0" applyNumberFormat="1" applyFont="1" applyFill="1" applyBorder="1" applyAlignment="1" applyProtection="1"/>
    <xf numFmtId="37" fontId="68" fillId="0" borderId="22" xfId="0" applyNumberFormat="1" applyFont="1" applyFill="1" applyBorder="1" applyAlignment="1" applyProtection="1">
      <protection locked="0"/>
    </xf>
    <xf numFmtId="0" fontId="70" fillId="0" borderId="0" xfId="0" applyNumberFormat="1" applyFont="1" applyFill="1" applyBorder="1" applyAlignment="1" applyProtection="1"/>
    <xf numFmtId="37" fontId="68" fillId="0" borderId="0" xfId="0" applyNumberFormat="1" applyFont="1" applyFill="1" applyBorder="1" applyAlignment="1" applyProtection="1">
      <alignment horizontal="center"/>
    </xf>
    <xf numFmtId="0" fontId="68" fillId="0" borderId="0" xfId="0" applyNumberFormat="1" applyFont="1" applyFill="1" applyBorder="1" applyAlignment="1" applyProtection="1">
      <alignment horizontal="center"/>
    </xf>
    <xf numFmtId="177" fontId="68" fillId="0" borderId="0" xfId="0" applyNumberFormat="1" applyFont="1" applyFill="1" applyBorder="1" applyAlignment="1" applyProtection="1"/>
    <xf numFmtId="0" fontId="66" fillId="0" borderId="0" xfId="0" applyNumberFormat="1" applyFont="1" applyFill="1" applyBorder="1" applyAlignment="1" applyProtection="1">
      <protection locked="0"/>
    </xf>
    <xf numFmtId="3" fontId="66" fillId="0" borderId="0" xfId="0" applyNumberFormat="1" applyFont="1" applyFill="1" applyBorder="1" applyAlignment="1" applyProtection="1">
      <protection locked="0"/>
    </xf>
    <xf numFmtId="5" fontId="68" fillId="0" borderId="0" xfId="0" applyNumberFormat="1" applyFont="1" applyFill="1" applyBorder="1" applyAlignment="1" applyProtection="1">
      <protection locked="0"/>
    </xf>
    <xf numFmtId="178" fontId="68" fillId="0" borderId="0" xfId="0" quotePrefix="1" applyNumberFormat="1" applyFont="1" applyFill="1" applyBorder="1" applyAlignment="1" applyProtection="1">
      <alignment horizontal="right"/>
      <protection locked="0"/>
    </xf>
    <xf numFmtId="178" fontId="68" fillId="0" borderId="0" xfId="0" applyNumberFormat="1" applyFont="1" applyFill="1" applyBorder="1" applyAlignment="1" applyProtection="1">
      <protection locked="0"/>
    </xf>
    <xf numFmtId="3" fontId="66" fillId="0" borderId="0" xfId="0" applyNumberFormat="1" applyFont="1" applyFill="1" applyBorder="1" applyAlignment="1" applyProtection="1"/>
    <xf numFmtId="37" fontId="71" fillId="0" borderId="0" xfId="0" applyNumberFormat="1" applyFont="1" applyFill="1" applyBorder="1" applyAlignment="1" applyProtection="1">
      <protection locked="0"/>
    </xf>
    <xf numFmtId="5" fontId="72" fillId="0" borderId="0" xfId="58" applyNumberFormat="1" applyFont="1" applyFill="1" applyBorder="1" applyAlignment="1" applyProtection="1">
      <protection locked="0"/>
    </xf>
    <xf numFmtId="0" fontId="4" fillId="0" borderId="8" xfId="0" applyNumberFormat="1" applyFont="1" applyBorder="1" applyAlignment="1">
      <alignment horizontal="center"/>
    </xf>
    <xf numFmtId="0" fontId="4" fillId="0" borderId="9" xfId="0" applyNumberFormat="1" applyFont="1" applyBorder="1" applyAlignment="1">
      <alignment horizontal="center"/>
    </xf>
    <xf numFmtId="0" fontId="4" fillId="0" borderId="10" xfId="0" applyNumberFormat="1" applyFont="1" applyBorder="1" applyAlignment="1">
      <alignment horizontal="center"/>
    </xf>
    <xf numFmtId="0" fontId="4" fillId="0" borderId="0" xfId="0" applyNumberFormat="1" applyFont="1" applyAlignment="1" applyProtection="1">
      <alignment vertical="top" wrapText="1"/>
      <protection locked="0"/>
    </xf>
    <xf numFmtId="3" fontId="4" fillId="0" borderId="0" xfId="0" applyNumberFormat="1" applyFont="1" applyAlignment="1">
      <alignment horizontal="right"/>
    </xf>
    <xf numFmtId="0" fontId="4" fillId="0" borderId="0" xfId="0" applyNumberFormat="1" applyFont="1" applyFill="1" applyAlignment="1" applyProtection="1">
      <alignment vertical="top" wrapText="1"/>
      <protection locked="0"/>
    </xf>
    <xf numFmtId="0" fontId="4" fillId="0" borderId="0" xfId="0" applyNumberFormat="1" applyFont="1" applyFill="1" applyAlignment="1">
      <alignment vertical="top" wrapText="1"/>
    </xf>
    <xf numFmtId="174" fontId="43" fillId="0" borderId="0" xfId="59" applyFont="1" applyFill="1" applyAlignment="1">
      <alignment horizontal="center"/>
    </xf>
    <xf numFmtId="174" fontId="44" fillId="0" borderId="0" xfId="59" applyFont="1" applyFill="1" applyAlignment="1">
      <alignment horizontal="center"/>
    </xf>
    <xf numFmtId="174" fontId="44" fillId="0" borderId="0" xfId="59" applyFont="1" applyAlignment="1">
      <alignment horizontal="center"/>
    </xf>
    <xf numFmtId="0" fontId="2" fillId="0" borderId="0" xfId="60" applyAlignment="1">
      <alignment horizontal="left"/>
    </xf>
  </cellXfs>
  <cellStyles count="87">
    <cellStyle name="20% - Accent1" xfId="18" builtinId="30" customBuiltin="1"/>
    <cellStyle name="20% - Accent1 2" xfId="67"/>
    <cellStyle name="20% - Accent2" xfId="22" builtinId="34" customBuiltin="1"/>
    <cellStyle name="20% - Accent2 2" xfId="69"/>
    <cellStyle name="20% - Accent3" xfId="26" builtinId="38" customBuiltin="1"/>
    <cellStyle name="20% - Accent3 2" xfId="71"/>
    <cellStyle name="20% - Accent4" xfId="30" builtinId="42" customBuiltin="1"/>
    <cellStyle name="20% - Accent4 2" xfId="73"/>
    <cellStyle name="20% - Accent5" xfId="34" builtinId="46" customBuiltin="1"/>
    <cellStyle name="20% - Accent5 2" xfId="75"/>
    <cellStyle name="20% - Accent6" xfId="38" builtinId="50" customBuiltin="1"/>
    <cellStyle name="20% - Accent6 2" xfId="77"/>
    <cellStyle name="40% - Accent1" xfId="19" builtinId="31" customBuiltin="1"/>
    <cellStyle name="40% - Accent1 2" xfId="68"/>
    <cellStyle name="40% - Accent2" xfId="23" builtinId="35" customBuiltin="1"/>
    <cellStyle name="40% - Accent2 2" xfId="70"/>
    <cellStyle name="40% - Accent3" xfId="27" builtinId="39" customBuiltin="1"/>
    <cellStyle name="40% - Accent3 2" xfId="72"/>
    <cellStyle name="40% - Accent4" xfId="31" builtinId="43" customBuiltin="1"/>
    <cellStyle name="40% - Accent4 2" xfId="74"/>
    <cellStyle name="40% - Accent5" xfId="35" builtinId="47" customBuiltin="1"/>
    <cellStyle name="40% - Accent5 2" xfId="76"/>
    <cellStyle name="40% - Accent6" xfId="39" builtinId="51" customBuiltin="1"/>
    <cellStyle name="40% - Accent6 2" xfId="7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57" builtinId="3"/>
    <cellStyle name="Comma 2" xfId="41"/>
    <cellStyle name="Comma 2 2" xfId="80"/>
    <cellStyle name="Comma 2 3" xfId="66"/>
    <cellStyle name="Comma 3" xfId="42"/>
    <cellStyle name="Comma 4" xfId="61"/>
    <cellStyle name="Currency" xfId="58" builtinId="4"/>
    <cellStyle name="Currency 2" xfId="43"/>
    <cellStyle name="Currency 3" xfId="65"/>
    <cellStyle name="Currency 4" xfId="62"/>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10" xfId="79"/>
    <cellStyle name="Normal 11" xfId="60"/>
    <cellStyle name="Normal 2" xfId="44"/>
    <cellStyle name="Normal 3" xfId="45"/>
    <cellStyle name="Normal 3 2" xfId="81"/>
    <cellStyle name="Normal 3 3" xfId="64"/>
    <cellStyle name="Normal 4" xfId="46"/>
    <cellStyle name="Normal 4 2" xfId="47"/>
    <cellStyle name="Normal 5" xfId="56"/>
    <cellStyle name="Normal 5 2" xfId="86"/>
    <cellStyle name="Normal 6" xfId="48"/>
    <cellStyle name="Normal 6 2" xfId="49"/>
    <cellStyle name="Normal 7" xfId="50"/>
    <cellStyle name="Normal 7 2" xfId="82"/>
    <cellStyle name="Normal 8" xfId="51"/>
    <cellStyle name="Normal 9" xfId="52"/>
    <cellStyle name="Normal 9 2" xfId="83"/>
    <cellStyle name="Normal_Debt Service" xfId="59"/>
    <cellStyle name="Normal_Elk River 2006 work papers 2" xfId="63"/>
    <cellStyle name="Note 2" xfId="53"/>
    <cellStyle name="Note 2 2" xfId="84"/>
    <cellStyle name="Note 3" xfId="54"/>
    <cellStyle name="Note 3 2" xfId="85"/>
    <cellStyle name="Output" xfId="10" builtinId="21" customBuiltin="1"/>
    <cellStyle name="Percent 2" xfId="55"/>
    <cellStyle name="Title" xfId="1" builtinId="15" customBuiltin="1"/>
    <cellStyle name="Total" xfId="16" builtinId="25" customBuiltin="1"/>
    <cellStyle name="Warning Text" xfId="14"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6"/>
  <sheetViews>
    <sheetView tabSelected="1" zoomScale="70" zoomScaleNormal="70" zoomScaleSheetLayoutView="75" workbookViewId="0"/>
  </sheetViews>
  <sheetFormatPr defaultColWidth="8.90625" defaultRowHeight="15.6"/>
  <cols>
    <col min="1" max="1" width="6" style="3" customWidth="1"/>
    <col min="2" max="2" width="28.453125" style="3" customWidth="1"/>
    <col min="3" max="3" width="32.54296875" style="3" customWidth="1"/>
    <col min="4" max="4" width="11.90625" style="3" customWidth="1"/>
    <col min="5" max="5" width="4.90625" style="3" customWidth="1"/>
    <col min="6" max="6" width="4.6328125" style="3" customWidth="1"/>
    <col min="7" max="7" width="8" style="3" customWidth="1"/>
    <col min="8" max="8" width="3.90625" style="3" customWidth="1"/>
    <col min="9" max="9" width="10.90625" style="3" customWidth="1"/>
    <col min="10" max="10" width="2.08984375" style="3" customWidth="1"/>
    <col min="11" max="11" width="9.1796875" style="3" customWidth="1"/>
    <col min="12" max="13" width="8.90625" style="3"/>
    <col min="14" max="14" width="16.81640625" style="3" customWidth="1"/>
    <col min="15" max="16384" width="8.90625" style="3"/>
  </cols>
  <sheetData>
    <row r="1" spans="1:16">
      <c r="B1" s="2"/>
      <c r="C1" s="2"/>
      <c r="D1" s="10"/>
      <c r="E1" s="2"/>
      <c r="F1" s="2"/>
      <c r="G1" s="2"/>
      <c r="H1" s="11"/>
      <c r="I1" s="12"/>
      <c r="K1" s="13" t="s">
        <v>184</v>
      </c>
      <c r="L1" s="12"/>
      <c r="N1" s="12"/>
      <c r="O1" s="12"/>
      <c r="P1" s="12"/>
    </row>
    <row r="2" spans="1:16">
      <c r="B2" s="2"/>
      <c r="C2" s="2"/>
      <c r="D2" s="10"/>
      <c r="E2" s="2"/>
      <c r="F2" s="2"/>
      <c r="G2" s="2"/>
      <c r="H2" s="11"/>
      <c r="I2" s="11"/>
      <c r="J2" s="12"/>
      <c r="K2" s="14"/>
      <c r="L2" s="12"/>
      <c r="N2" s="12"/>
      <c r="O2" s="12"/>
      <c r="P2" s="12"/>
    </row>
    <row r="3" spans="1:16">
      <c r="B3" s="2" t="s">
        <v>0</v>
      </c>
      <c r="C3" s="2"/>
      <c r="D3" s="10" t="s">
        <v>1</v>
      </c>
      <c r="E3" s="2"/>
      <c r="F3" s="2"/>
      <c r="G3" s="2"/>
      <c r="H3" s="121"/>
      <c r="I3" s="120"/>
      <c r="J3" s="15"/>
      <c r="K3" s="16" t="s">
        <v>865</v>
      </c>
      <c r="L3" s="12"/>
      <c r="N3" s="12"/>
      <c r="O3" s="12"/>
      <c r="P3" s="12"/>
    </row>
    <row r="4" spans="1:16">
      <c r="B4" s="2"/>
      <c r="C4" s="5" t="s">
        <v>2</v>
      </c>
      <c r="D4" s="5" t="s">
        <v>3</v>
      </c>
      <c r="E4" s="5"/>
      <c r="F4" s="5"/>
      <c r="G4" s="5"/>
      <c r="H4" s="11"/>
      <c r="I4" s="11"/>
      <c r="J4" s="12"/>
      <c r="K4" s="12"/>
      <c r="L4" s="12"/>
      <c r="N4" s="12"/>
      <c r="O4" s="12"/>
      <c r="P4" s="12"/>
    </row>
    <row r="5" spans="1:16">
      <c r="B5" s="12"/>
      <c r="C5" s="12"/>
      <c r="D5" s="12"/>
      <c r="E5" s="12"/>
      <c r="F5" s="12"/>
      <c r="G5" s="12"/>
      <c r="H5" s="12"/>
      <c r="I5" s="12"/>
      <c r="J5" s="12"/>
      <c r="K5" s="12"/>
      <c r="L5" s="12"/>
      <c r="N5" s="12"/>
      <c r="O5" s="12"/>
      <c r="P5" s="12"/>
    </row>
    <row r="6" spans="1:16">
      <c r="A6" s="1"/>
      <c r="B6" s="12"/>
      <c r="C6" s="12"/>
      <c r="D6" s="17" t="s">
        <v>319</v>
      </c>
      <c r="E6" s="15"/>
      <c r="F6" s="17"/>
      <c r="G6" s="17"/>
      <c r="H6" s="12"/>
      <c r="I6" s="12"/>
      <c r="J6" s="12"/>
      <c r="K6" s="12"/>
      <c r="L6" s="12"/>
      <c r="N6" s="12"/>
      <c r="O6" s="12"/>
      <c r="P6" s="12"/>
    </row>
    <row r="7" spans="1:16">
      <c r="A7" s="1"/>
      <c r="B7" s="12"/>
      <c r="C7" s="12"/>
      <c r="D7" s="18"/>
      <c r="E7" s="12"/>
      <c r="F7" s="12"/>
      <c r="G7" s="12"/>
      <c r="H7" s="12"/>
      <c r="I7" s="12"/>
      <c r="J7" s="12"/>
      <c r="K7" s="12"/>
      <c r="L7" s="12"/>
      <c r="N7" s="12"/>
      <c r="O7" s="12"/>
      <c r="P7" s="12"/>
    </row>
    <row r="8" spans="1:16">
      <c r="A8" s="1" t="s">
        <v>4</v>
      </c>
      <c r="B8" s="12"/>
      <c r="C8" s="12"/>
      <c r="D8" s="18"/>
      <c r="E8" s="12"/>
      <c r="F8" s="12"/>
      <c r="G8" s="12"/>
      <c r="H8" s="12"/>
      <c r="I8" s="1" t="s">
        <v>5</v>
      </c>
      <c r="J8" s="12"/>
      <c r="K8" s="12"/>
      <c r="L8" s="12"/>
      <c r="N8" s="12"/>
      <c r="O8" s="12"/>
      <c r="P8" s="12"/>
    </row>
    <row r="9" spans="1:16" ht="16.2" thickBot="1">
      <c r="A9" s="19" t="s">
        <v>6</v>
      </c>
      <c r="B9" s="12"/>
      <c r="C9" s="12"/>
      <c r="D9" s="12"/>
      <c r="E9" s="12"/>
      <c r="F9" s="12"/>
      <c r="G9" s="12"/>
      <c r="H9" s="12"/>
      <c r="I9" s="19" t="s">
        <v>7</v>
      </c>
      <c r="J9" s="12"/>
      <c r="K9" s="12"/>
      <c r="L9" s="12"/>
      <c r="N9" s="12"/>
      <c r="O9" s="12"/>
      <c r="P9" s="12"/>
    </row>
    <row r="10" spans="1:16">
      <c r="A10" s="1">
        <v>1</v>
      </c>
      <c r="B10" s="12" t="s">
        <v>267</v>
      </c>
      <c r="C10" s="12"/>
      <c r="D10" s="20"/>
      <c r="E10" s="12"/>
      <c r="F10" s="12"/>
      <c r="G10" s="12"/>
      <c r="H10" s="12"/>
      <c r="I10" s="21">
        <f>+I196</f>
        <v>1849130.6323884022</v>
      </c>
      <c r="J10" s="12"/>
      <c r="K10" s="12"/>
      <c r="L10" s="12"/>
      <c r="N10" s="12"/>
      <c r="O10" s="12"/>
      <c r="P10" s="12"/>
    </row>
    <row r="11" spans="1:16">
      <c r="A11" s="1"/>
      <c r="B11" s="12"/>
      <c r="C11" s="12"/>
      <c r="D11" s="12"/>
      <c r="E11" s="12"/>
      <c r="F11" s="12"/>
      <c r="G11" s="12"/>
      <c r="H11" s="12"/>
      <c r="I11" s="20"/>
      <c r="J11" s="12"/>
      <c r="K11" s="12"/>
      <c r="L11" s="12"/>
      <c r="N11" s="12"/>
      <c r="O11" s="12"/>
      <c r="P11" s="12"/>
    </row>
    <row r="12" spans="1:16" ht="16.2" thickBot="1">
      <c r="A12" s="1" t="s">
        <v>2</v>
      </c>
      <c r="B12" s="4" t="s">
        <v>8</v>
      </c>
      <c r="C12" s="5" t="s">
        <v>175</v>
      </c>
      <c r="D12" s="19" t="s">
        <v>9</v>
      </c>
      <c r="E12" s="5"/>
      <c r="F12" s="22" t="s">
        <v>10</v>
      </c>
      <c r="G12" s="22"/>
      <c r="H12" s="12"/>
      <c r="I12" s="20"/>
      <c r="J12" s="12"/>
      <c r="K12" s="12"/>
      <c r="L12" s="12"/>
      <c r="N12" s="12"/>
      <c r="O12" s="12"/>
      <c r="P12" s="12"/>
    </row>
    <row r="13" spans="1:16">
      <c r="A13" s="1">
        <v>2</v>
      </c>
      <c r="B13" s="4" t="s">
        <v>11</v>
      </c>
      <c r="C13" s="5" t="s">
        <v>168</v>
      </c>
      <c r="D13" s="5">
        <f>I256</f>
        <v>0</v>
      </c>
      <c r="E13" s="5"/>
      <c r="F13" s="5" t="s">
        <v>12</v>
      </c>
      <c r="G13" s="23">
        <f>I215</f>
        <v>0.9950859592374105</v>
      </c>
      <c r="H13" s="5"/>
      <c r="I13" s="5">
        <f>+G13*D13</f>
        <v>0</v>
      </c>
      <c r="J13" s="12"/>
      <c r="K13" s="12"/>
      <c r="L13" s="12"/>
      <c r="N13" s="12"/>
      <c r="O13" s="12"/>
      <c r="P13" s="12"/>
    </row>
    <row r="14" spans="1:16">
      <c r="A14" s="1">
        <v>3</v>
      </c>
      <c r="B14" s="4" t="s">
        <v>207</v>
      </c>
      <c r="C14" s="5" t="s">
        <v>169</v>
      </c>
      <c r="D14" s="5">
        <f>I263</f>
        <v>37572.97</v>
      </c>
      <c r="E14" s="5"/>
      <c r="F14" s="5" t="str">
        <f>+F13</f>
        <v>TP</v>
      </c>
      <c r="G14" s="23">
        <f>+G13</f>
        <v>0.9950859592374105</v>
      </c>
      <c r="H14" s="5"/>
      <c r="I14" s="5">
        <f>+G14*D14</f>
        <v>37388.334893848449</v>
      </c>
      <c r="J14" s="12"/>
      <c r="K14" s="12"/>
      <c r="N14" s="12"/>
      <c r="O14" s="12"/>
      <c r="P14" s="12"/>
    </row>
    <row r="15" spans="1:16">
      <c r="A15" s="1">
        <v>4</v>
      </c>
      <c r="B15" s="4" t="s">
        <v>13</v>
      </c>
      <c r="C15" s="5"/>
      <c r="D15" s="24">
        <v>0</v>
      </c>
      <c r="E15" s="5"/>
      <c r="F15" s="5" t="s">
        <v>12</v>
      </c>
      <c r="G15" s="23">
        <f>+G13</f>
        <v>0.9950859592374105</v>
      </c>
      <c r="H15" s="5"/>
      <c r="I15" s="5">
        <f>+G15*D15</f>
        <v>0</v>
      </c>
      <c r="J15" s="12"/>
      <c r="K15" s="12"/>
      <c r="L15" s="25" t="s">
        <v>189</v>
      </c>
      <c r="N15" s="12"/>
      <c r="O15" s="12"/>
      <c r="P15" s="12"/>
    </row>
    <row r="16" spans="1:16" ht="16.2" thickBot="1">
      <c r="A16" s="1">
        <v>5</v>
      </c>
      <c r="B16" s="4" t="s">
        <v>14</v>
      </c>
      <c r="C16" s="5"/>
      <c r="D16" s="24">
        <v>0</v>
      </c>
      <c r="E16" s="5"/>
      <c r="F16" s="5" t="s">
        <v>12</v>
      </c>
      <c r="G16" s="23">
        <f>+G13</f>
        <v>0.9950859592374105</v>
      </c>
      <c r="H16" s="5"/>
      <c r="I16" s="26">
        <f>+G16*D16</f>
        <v>0</v>
      </c>
      <c r="J16" s="12"/>
      <c r="K16" s="12"/>
      <c r="L16" s="25" t="s">
        <v>190</v>
      </c>
      <c r="N16" s="12"/>
      <c r="O16" s="12"/>
      <c r="P16" s="12"/>
    </row>
    <row r="17" spans="1:16">
      <c r="A17" s="1">
        <v>6</v>
      </c>
      <c r="B17" s="4" t="s">
        <v>15</v>
      </c>
      <c r="C17" s="12"/>
      <c r="D17" s="27" t="s">
        <v>2</v>
      </c>
      <c r="E17" s="5"/>
      <c r="F17" s="5"/>
      <c r="G17" s="23"/>
      <c r="H17" s="5"/>
      <c r="I17" s="5">
        <f>SUM(I13:I16)</f>
        <v>37388.334893848449</v>
      </c>
      <c r="J17" s="12"/>
      <c r="K17" s="12"/>
      <c r="L17" s="12"/>
      <c r="N17" s="12"/>
      <c r="O17" s="12"/>
      <c r="P17" s="12"/>
    </row>
    <row r="18" spans="1:16">
      <c r="A18" s="1"/>
      <c r="B18" s="4"/>
      <c r="C18" s="12"/>
      <c r="I18" s="5"/>
      <c r="J18" s="12"/>
      <c r="K18" s="12"/>
      <c r="L18" s="12"/>
      <c r="N18" s="12"/>
      <c r="O18" s="12"/>
      <c r="P18" s="12"/>
    </row>
    <row r="19" spans="1:16" ht="16.2" thickBot="1">
      <c r="A19" s="1">
        <v>7</v>
      </c>
      <c r="B19" s="4" t="s">
        <v>16</v>
      </c>
      <c r="C19" s="12" t="s">
        <v>224</v>
      </c>
      <c r="D19" s="27" t="s">
        <v>2</v>
      </c>
      <c r="E19" s="5"/>
      <c r="F19" s="5"/>
      <c r="G19" s="5"/>
      <c r="H19" s="5"/>
      <c r="I19" s="28">
        <f>+I10-I17</f>
        <v>1811742.2974945537</v>
      </c>
      <c r="J19" s="12"/>
      <c r="K19" s="12"/>
      <c r="L19" s="12"/>
      <c r="N19" s="12"/>
      <c r="O19" s="12"/>
      <c r="P19" s="12"/>
    </row>
    <row r="20" spans="1:16" ht="16.2" thickTop="1">
      <c r="A20" s="1"/>
      <c r="B20" s="4"/>
      <c r="C20" s="5"/>
      <c r="I20" s="5"/>
      <c r="J20" s="12"/>
      <c r="K20" s="12"/>
      <c r="L20" s="12"/>
      <c r="N20" s="12"/>
      <c r="O20" s="12"/>
      <c r="P20" s="12"/>
    </row>
    <row r="21" spans="1:16">
      <c r="A21" s="1" t="s">
        <v>2</v>
      </c>
      <c r="B21" s="4" t="s">
        <v>17</v>
      </c>
      <c r="C21" s="12"/>
      <c r="D21" s="20"/>
      <c r="E21" s="12"/>
      <c r="F21" s="12"/>
      <c r="G21" s="12"/>
      <c r="H21" s="12"/>
      <c r="I21" s="20"/>
      <c r="J21" s="12"/>
      <c r="K21" s="12"/>
      <c r="L21" s="12"/>
      <c r="N21" s="12"/>
      <c r="O21" s="12"/>
      <c r="P21" s="12"/>
    </row>
    <row r="22" spans="1:16">
      <c r="A22" s="1">
        <v>8</v>
      </c>
      <c r="B22" s="4" t="s">
        <v>18</v>
      </c>
      <c r="D22" s="20"/>
      <c r="E22" s="12"/>
      <c r="F22" s="12"/>
      <c r="G22" s="11" t="s">
        <v>19</v>
      </c>
      <c r="H22" s="12"/>
      <c r="I22" s="24">
        <f>+'MPW 12 CP Demand'!B23</f>
        <v>122261.66666666667</v>
      </c>
      <c r="J22" s="12"/>
      <c r="K22" s="12"/>
      <c r="L22" s="29"/>
      <c r="O22" s="12"/>
      <c r="P22" s="12"/>
    </row>
    <row r="23" spans="1:16">
      <c r="A23" s="1">
        <v>9</v>
      </c>
      <c r="B23" s="4" t="s">
        <v>20</v>
      </c>
      <c r="C23" s="5"/>
      <c r="D23" s="5"/>
      <c r="E23" s="5"/>
      <c r="F23" s="5"/>
      <c r="G23" s="5" t="s">
        <v>21</v>
      </c>
      <c r="H23" s="5"/>
      <c r="I23" s="24">
        <v>0</v>
      </c>
      <c r="J23" s="12"/>
      <c r="K23" s="12"/>
      <c r="L23" s="12"/>
      <c r="O23" s="12"/>
      <c r="P23" s="12"/>
    </row>
    <row r="24" spans="1:16">
      <c r="A24" s="1">
        <v>10</v>
      </c>
      <c r="B24" s="4" t="s">
        <v>22</v>
      </c>
      <c r="C24" s="12"/>
      <c r="D24" s="12"/>
      <c r="E24" s="12"/>
      <c r="F24" s="12"/>
      <c r="G24" s="11" t="s">
        <v>23</v>
      </c>
      <c r="H24" s="12"/>
      <c r="I24" s="24">
        <v>0</v>
      </c>
      <c r="J24" s="12"/>
      <c r="K24" s="12"/>
      <c r="L24" s="12"/>
      <c r="O24" s="12"/>
      <c r="P24" s="12"/>
    </row>
    <row r="25" spans="1:16">
      <c r="A25" s="1">
        <v>11</v>
      </c>
      <c r="B25" s="30" t="s">
        <v>24</v>
      </c>
      <c r="C25" s="12"/>
      <c r="D25" s="12"/>
      <c r="E25" s="12"/>
      <c r="F25" s="12"/>
      <c r="G25" s="11" t="s">
        <v>25</v>
      </c>
      <c r="H25" s="12"/>
      <c r="I25" s="24">
        <v>0</v>
      </c>
      <c r="J25" s="12"/>
      <c r="K25" s="12"/>
      <c r="L25" s="12"/>
      <c r="O25" s="12"/>
      <c r="P25" s="12"/>
    </row>
    <row r="26" spans="1:16">
      <c r="A26" s="1">
        <v>12</v>
      </c>
      <c r="B26" s="30" t="s">
        <v>26</v>
      </c>
      <c r="C26" s="12"/>
      <c r="D26" s="12"/>
      <c r="E26" s="12"/>
      <c r="F26" s="12"/>
      <c r="G26" s="11"/>
      <c r="H26" s="12"/>
      <c r="I26" s="24">
        <v>0</v>
      </c>
      <c r="J26" s="12"/>
      <c r="K26" s="12"/>
      <c r="L26" s="12"/>
      <c r="O26" s="12"/>
      <c r="P26" s="12"/>
    </row>
    <row r="27" spans="1:16">
      <c r="A27" s="1">
        <v>13</v>
      </c>
      <c r="B27" s="30" t="s">
        <v>176</v>
      </c>
      <c r="C27" s="12"/>
      <c r="D27" s="12"/>
      <c r="E27" s="12"/>
      <c r="F27" s="12"/>
      <c r="G27" s="11"/>
      <c r="H27" s="12"/>
      <c r="I27" s="31">
        <v>0</v>
      </c>
      <c r="J27" s="12"/>
      <c r="K27" s="12"/>
      <c r="L27" s="12"/>
      <c r="O27" s="12"/>
      <c r="P27" s="12"/>
    </row>
    <row r="28" spans="1:16" ht="16.2" thickBot="1">
      <c r="A28" s="1">
        <v>14</v>
      </c>
      <c r="B28" s="2" t="s">
        <v>170</v>
      </c>
      <c r="C28" s="12"/>
      <c r="D28" s="12"/>
      <c r="E28" s="12"/>
      <c r="F28" s="12"/>
      <c r="G28" s="12"/>
      <c r="H28" s="12"/>
      <c r="I28" s="32">
        <v>0</v>
      </c>
      <c r="J28" s="12"/>
      <c r="K28" s="12"/>
      <c r="L28" s="12"/>
      <c r="O28" s="12"/>
      <c r="P28" s="12"/>
    </row>
    <row r="29" spans="1:16">
      <c r="A29" s="1">
        <v>15</v>
      </c>
      <c r="B29" s="4" t="s">
        <v>225</v>
      </c>
      <c r="C29" s="12"/>
      <c r="D29" s="12"/>
      <c r="E29" s="12"/>
      <c r="F29" s="12"/>
      <c r="G29" s="12"/>
      <c r="H29" s="12"/>
      <c r="I29" s="20">
        <f>SUM(I22:I28)</f>
        <v>122261.66666666667</v>
      </c>
      <c r="J29" s="12"/>
      <c r="K29" s="12"/>
      <c r="L29" s="12"/>
      <c r="O29" s="12"/>
      <c r="P29" s="12"/>
    </row>
    <row r="30" spans="1:16">
      <c r="A30" s="1"/>
      <c r="B30" s="4"/>
      <c r="C30" s="12"/>
      <c r="D30" s="12"/>
      <c r="E30" s="12"/>
      <c r="F30" s="12"/>
      <c r="G30" s="12"/>
      <c r="H30" s="12"/>
      <c r="I30" s="20"/>
      <c r="J30" s="12"/>
      <c r="K30" s="12"/>
      <c r="L30" s="12"/>
      <c r="N30" s="12"/>
      <c r="O30" s="12"/>
      <c r="P30" s="12"/>
    </row>
    <row r="31" spans="1:16">
      <c r="A31" s="1">
        <v>16</v>
      </c>
      <c r="B31" s="4" t="s">
        <v>27</v>
      </c>
      <c r="C31" s="12" t="s">
        <v>223</v>
      </c>
      <c r="D31" s="33">
        <f>IF(I29&gt;0,I19/I29,0)</f>
        <v>14.818563715756262</v>
      </c>
      <c r="E31" s="12"/>
      <c r="F31" s="12"/>
      <c r="G31" s="12"/>
      <c r="H31" s="12"/>
      <c r="J31" s="12"/>
      <c r="K31" s="12"/>
      <c r="L31" s="12"/>
      <c r="N31" s="12"/>
      <c r="O31" s="12"/>
      <c r="P31" s="12"/>
    </row>
    <row r="32" spans="1:16">
      <c r="A32" s="1">
        <v>17</v>
      </c>
      <c r="B32" s="4" t="s">
        <v>226</v>
      </c>
      <c r="C32" s="12"/>
      <c r="D32" s="33">
        <f>+D31/12</f>
        <v>1.2348803096463552</v>
      </c>
      <c r="E32" s="12"/>
      <c r="F32" s="12"/>
      <c r="G32" s="12"/>
      <c r="H32" s="12"/>
      <c r="J32" s="12"/>
      <c r="K32" s="12"/>
      <c r="L32" s="12"/>
      <c r="N32" s="12"/>
      <c r="O32" s="12"/>
      <c r="P32" s="12"/>
    </row>
    <row r="33" spans="1:16">
      <c r="A33" s="1"/>
      <c r="B33" s="4"/>
      <c r="C33" s="12"/>
      <c r="D33" s="33"/>
      <c r="E33" s="12"/>
      <c r="F33" s="12"/>
      <c r="G33" s="12"/>
      <c r="H33" s="12"/>
      <c r="J33" s="12"/>
      <c r="K33" s="12"/>
      <c r="L33" s="12"/>
      <c r="N33" s="12"/>
      <c r="O33" s="12"/>
      <c r="P33" s="12"/>
    </row>
    <row r="34" spans="1:16">
      <c r="A34" s="1"/>
      <c r="B34" s="4"/>
      <c r="C34" s="12"/>
      <c r="D34" s="34" t="s">
        <v>28</v>
      </c>
      <c r="E34" s="12"/>
      <c r="F34" s="12"/>
      <c r="G34" s="12"/>
      <c r="H34" s="12"/>
      <c r="I34" s="35" t="s">
        <v>29</v>
      </c>
      <c r="J34" s="12"/>
      <c r="K34" s="12"/>
      <c r="L34" s="12"/>
      <c r="N34" s="12"/>
      <c r="O34" s="12"/>
      <c r="P34" s="12"/>
    </row>
    <row r="35" spans="1:16">
      <c r="A35" s="1">
        <v>18</v>
      </c>
      <c r="B35" s="4" t="s">
        <v>30</v>
      </c>
      <c r="C35" s="12" t="s">
        <v>227</v>
      </c>
      <c r="D35" s="33">
        <f>+D31/52</f>
        <v>0.28497237914915891</v>
      </c>
      <c r="E35" s="12"/>
      <c r="F35" s="12"/>
      <c r="G35" s="12"/>
      <c r="H35" s="12"/>
      <c r="I35" s="36">
        <f>+D31/52</f>
        <v>0.28497237914915891</v>
      </c>
      <c r="J35" s="12"/>
      <c r="K35" s="12"/>
      <c r="L35" s="12"/>
      <c r="N35" s="12"/>
      <c r="O35" s="12"/>
      <c r="P35" s="12"/>
    </row>
    <row r="36" spans="1:16">
      <c r="A36" s="1">
        <v>19</v>
      </c>
      <c r="B36" s="4" t="s">
        <v>31</v>
      </c>
      <c r="C36" s="12" t="s">
        <v>268</v>
      </c>
      <c r="D36" s="33">
        <f>+D31/260</f>
        <v>5.6994475829831776E-2</v>
      </c>
      <c r="E36" s="12" t="s">
        <v>32</v>
      </c>
      <c r="G36" s="12"/>
      <c r="H36" s="12"/>
      <c r="I36" s="36">
        <f>+D31/365</f>
        <v>4.0598804700702089E-2</v>
      </c>
      <c r="J36" s="12"/>
      <c r="K36" s="12"/>
      <c r="L36" s="12"/>
      <c r="N36" s="12"/>
      <c r="O36" s="12"/>
      <c r="P36" s="12"/>
    </row>
    <row r="37" spans="1:16">
      <c r="A37" s="1">
        <v>20</v>
      </c>
      <c r="B37" s="4" t="s">
        <v>33</v>
      </c>
      <c r="C37" s="12" t="s">
        <v>269</v>
      </c>
      <c r="D37" s="33">
        <f>+D31/4160*1000</f>
        <v>3.5621547393644861</v>
      </c>
      <c r="E37" s="12" t="s">
        <v>34</v>
      </c>
      <c r="G37" s="12"/>
      <c r="H37" s="12"/>
      <c r="I37" s="36">
        <f>+D31/8760*1000</f>
        <v>1.6916168625292538</v>
      </c>
      <c r="J37" s="12"/>
      <c r="K37" s="12" t="s">
        <v>2</v>
      </c>
      <c r="L37" s="12"/>
      <c r="N37" s="12"/>
      <c r="O37" s="12"/>
      <c r="P37" s="12"/>
    </row>
    <row r="38" spans="1:16">
      <c r="A38" s="1"/>
      <c r="B38" s="4"/>
      <c r="C38" s="12" t="s">
        <v>35</v>
      </c>
      <c r="D38" s="12"/>
      <c r="E38" s="12" t="s">
        <v>36</v>
      </c>
      <c r="G38" s="12"/>
      <c r="H38" s="12"/>
      <c r="J38" s="12"/>
      <c r="K38" s="12" t="s">
        <v>2</v>
      </c>
      <c r="L38" s="12"/>
      <c r="N38" s="12"/>
      <c r="O38" s="12"/>
      <c r="P38" s="12"/>
    </row>
    <row r="39" spans="1:16">
      <c r="A39" s="1"/>
      <c r="B39" s="4"/>
      <c r="C39" s="12"/>
      <c r="D39" s="12"/>
      <c r="E39" s="12"/>
      <c r="G39" s="12"/>
      <c r="H39" s="12"/>
      <c r="J39" s="12"/>
      <c r="K39" s="12" t="s">
        <v>2</v>
      </c>
      <c r="L39" s="12"/>
      <c r="N39" s="12"/>
      <c r="O39" s="12"/>
      <c r="P39" s="12"/>
    </row>
    <row r="40" spans="1:16">
      <c r="A40" s="1">
        <v>21</v>
      </c>
      <c r="B40" s="4" t="s">
        <v>228</v>
      </c>
      <c r="C40" s="12" t="s">
        <v>218</v>
      </c>
      <c r="D40" s="37">
        <v>0</v>
      </c>
      <c r="E40" s="38" t="s">
        <v>37</v>
      </c>
      <c r="F40" s="38"/>
      <c r="G40" s="38"/>
      <c r="H40" s="38"/>
      <c r="I40" s="38">
        <f>D40</f>
        <v>0</v>
      </c>
      <c r="J40" s="38" t="s">
        <v>37</v>
      </c>
      <c r="K40" s="12"/>
      <c r="L40" s="12"/>
      <c r="N40" s="12"/>
      <c r="O40" s="12"/>
      <c r="P40" s="12"/>
    </row>
    <row r="41" spans="1:16">
      <c r="A41" s="1">
        <v>22</v>
      </c>
      <c r="B41" s="4"/>
      <c r="C41" s="12"/>
      <c r="D41" s="37">
        <v>0</v>
      </c>
      <c r="E41" s="38" t="s">
        <v>38</v>
      </c>
      <c r="F41" s="38"/>
      <c r="G41" s="38"/>
      <c r="H41" s="38"/>
      <c r="I41" s="38">
        <f>D41</f>
        <v>0</v>
      </c>
      <c r="J41" s="38" t="s">
        <v>38</v>
      </c>
      <c r="K41" s="12"/>
      <c r="L41" s="12"/>
      <c r="N41" s="12"/>
      <c r="O41" s="12"/>
      <c r="P41" s="12"/>
    </row>
    <row r="42" spans="1:16">
      <c r="J42" s="11"/>
      <c r="K42" s="12"/>
      <c r="L42" s="12"/>
      <c r="N42" s="12"/>
      <c r="O42" s="12"/>
      <c r="P42" s="12"/>
    </row>
    <row r="43" spans="1:16">
      <c r="J43" s="11"/>
      <c r="K43" s="12"/>
      <c r="L43" s="12"/>
      <c r="N43" s="12"/>
      <c r="O43" s="12"/>
      <c r="P43" s="12"/>
    </row>
    <row r="44" spans="1:16">
      <c r="J44" s="11"/>
      <c r="K44" s="12"/>
      <c r="L44" s="12"/>
      <c r="N44" s="12"/>
      <c r="O44" s="12"/>
      <c r="P44" s="12"/>
    </row>
    <row r="45" spans="1:16">
      <c r="J45" s="11"/>
      <c r="K45" s="12"/>
      <c r="L45" s="12"/>
      <c r="N45" s="12"/>
      <c r="O45" s="12"/>
      <c r="P45" s="12"/>
    </row>
    <row r="46" spans="1:16">
      <c r="J46" s="11"/>
      <c r="K46" s="12"/>
      <c r="L46" s="12"/>
      <c r="N46" s="12"/>
      <c r="O46" s="12"/>
      <c r="P46" s="12"/>
    </row>
    <row r="47" spans="1:16">
      <c r="J47" s="11"/>
      <c r="K47" s="12"/>
      <c r="L47" s="12"/>
      <c r="N47" s="12"/>
      <c r="O47" s="12"/>
      <c r="P47" s="12"/>
    </row>
    <row r="48" spans="1:16">
      <c r="J48" s="11"/>
      <c r="K48" s="12"/>
      <c r="L48" s="12"/>
      <c r="N48" s="12"/>
      <c r="O48" s="12"/>
      <c r="P48" s="12"/>
    </row>
    <row r="49" spans="10:16">
      <c r="J49" s="11"/>
      <c r="K49" s="12"/>
      <c r="L49" s="12"/>
      <c r="N49" s="12"/>
      <c r="O49" s="12"/>
      <c r="P49" s="12"/>
    </row>
    <row r="50" spans="10:16">
      <c r="J50" s="11"/>
      <c r="K50" s="12"/>
      <c r="L50" s="12"/>
      <c r="N50" s="12"/>
      <c r="O50" s="12"/>
      <c r="P50" s="12"/>
    </row>
    <row r="51" spans="10:16">
      <c r="J51" s="11"/>
      <c r="K51" s="12"/>
      <c r="L51" s="12"/>
      <c r="N51" s="12"/>
      <c r="O51" s="12"/>
      <c r="P51" s="12"/>
    </row>
    <row r="52" spans="10:16">
      <c r="J52" s="11"/>
      <c r="K52" s="12"/>
      <c r="L52" s="12"/>
      <c r="N52" s="12"/>
      <c r="O52" s="12"/>
      <c r="P52" s="12"/>
    </row>
    <row r="53" spans="10:16">
      <c r="J53" s="11"/>
      <c r="K53" s="12"/>
      <c r="L53" s="12"/>
      <c r="N53" s="12"/>
      <c r="O53" s="12"/>
      <c r="P53" s="12"/>
    </row>
    <row r="54" spans="10:16">
      <c r="J54" s="11"/>
      <c r="K54" s="12"/>
      <c r="L54" s="12"/>
      <c r="N54" s="12"/>
      <c r="O54" s="12"/>
      <c r="P54" s="12"/>
    </row>
    <row r="55" spans="10:16">
      <c r="J55" s="11"/>
      <c r="K55" s="12"/>
      <c r="L55" s="12"/>
      <c r="N55" s="12"/>
      <c r="O55" s="12"/>
      <c r="P55" s="12"/>
    </row>
    <row r="56" spans="10:16">
      <c r="J56" s="11"/>
      <c r="K56" s="12"/>
      <c r="L56" s="12"/>
      <c r="N56" s="12"/>
      <c r="O56" s="12"/>
      <c r="P56" s="12"/>
    </row>
    <row r="57" spans="10:16">
      <c r="J57" s="11"/>
      <c r="K57" s="12"/>
      <c r="L57" s="12"/>
      <c r="N57" s="12"/>
      <c r="O57" s="12"/>
      <c r="P57" s="12"/>
    </row>
    <row r="58" spans="10:16">
      <c r="J58" s="11"/>
      <c r="K58" s="12"/>
      <c r="L58" s="12"/>
      <c r="N58" s="12"/>
      <c r="O58" s="12"/>
      <c r="P58" s="12"/>
    </row>
    <row r="59" spans="10:16">
      <c r="J59" s="11"/>
      <c r="K59" s="12"/>
      <c r="L59" s="12"/>
      <c r="N59" s="12"/>
      <c r="O59" s="12"/>
      <c r="P59" s="12"/>
    </row>
    <row r="60" spans="10:16">
      <c r="J60" s="11"/>
      <c r="K60" s="12"/>
      <c r="L60" s="12"/>
      <c r="N60" s="12"/>
      <c r="O60" s="12"/>
      <c r="P60" s="12"/>
    </row>
    <row r="61" spans="10:16">
      <c r="J61" s="11"/>
      <c r="K61" s="12"/>
      <c r="L61" s="12"/>
      <c r="N61" s="12"/>
      <c r="O61" s="12"/>
      <c r="P61" s="12"/>
    </row>
    <row r="62" spans="10:16">
      <c r="J62" s="11"/>
      <c r="K62" s="12"/>
      <c r="L62" s="12"/>
      <c r="N62" s="12"/>
      <c r="O62" s="12"/>
      <c r="P62" s="12"/>
    </row>
    <row r="63" spans="10:16">
      <c r="J63" s="11"/>
      <c r="K63" s="12"/>
      <c r="L63" s="12"/>
      <c r="N63" s="12"/>
      <c r="O63" s="12"/>
      <c r="P63" s="12"/>
    </row>
    <row r="64" spans="10:16">
      <c r="J64" s="11"/>
      <c r="K64" s="12"/>
      <c r="L64" s="12"/>
      <c r="N64" s="12"/>
      <c r="O64" s="12"/>
      <c r="P64" s="12"/>
    </row>
    <row r="65" spans="1:16">
      <c r="J65" s="11"/>
      <c r="K65" s="12"/>
      <c r="L65" s="12"/>
      <c r="N65" s="12"/>
      <c r="O65" s="12"/>
      <c r="P65" s="12"/>
    </row>
    <row r="66" spans="1:16">
      <c r="J66" s="11"/>
      <c r="K66" s="12"/>
      <c r="L66" s="12"/>
      <c r="N66" s="12"/>
      <c r="O66" s="12"/>
      <c r="P66" s="12"/>
    </row>
    <row r="67" spans="1:16">
      <c r="J67" s="11"/>
      <c r="K67" s="12"/>
      <c r="L67" s="12"/>
      <c r="N67" s="12"/>
      <c r="O67" s="12"/>
      <c r="P67" s="12"/>
    </row>
    <row r="68" spans="1:16">
      <c r="B68" s="2"/>
      <c r="C68" s="2"/>
      <c r="D68" s="10"/>
      <c r="E68" s="2"/>
      <c r="F68" s="2"/>
      <c r="G68" s="2"/>
      <c r="H68" s="11"/>
      <c r="I68" s="11"/>
      <c r="K68" s="13" t="s">
        <v>185</v>
      </c>
      <c r="L68" s="13"/>
      <c r="N68" s="12"/>
      <c r="O68" s="12"/>
      <c r="P68" s="12"/>
    </row>
    <row r="69" spans="1:16">
      <c r="B69" s="12"/>
      <c r="C69" s="12"/>
      <c r="D69" s="12"/>
      <c r="E69" s="12"/>
      <c r="F69" s="12"/>
      <c r="G69" s="12"/>
      <c r="H69" s="12"/>
      <c r="I69" s="12"/>
      <c r="J69" s="12"/>
      <c r="K69" s="12"/>
      <c r="L69" s="12"/>
      <c r="N69" s="12"/>
      <c r="O69" s="12"/>
      <c r="P69" s="12"/>
    </row>
    <row r="70" spans="1:16">
      <c r="B70" s="4" t="str">
        <f>B3</f>
        <v xml:space="preserve">Formula Rate - Non-Levelized </v>
      </c>
      <c r="C70" s="4"/>
      <c r="D70" s="39" t="str">
        <f>D3</f>
        <v xml:space="preserve">   Rate Formula Template</v>
      </c>
      <c r="E70" s="4"/>
      <c r="F70" s="4"/>
      <c r="G70" s="4"/>
      <c r="H70" s="4"/>
      <c r="J70" s="4"/>
      <c r="K70" s="13" t="str">
        <f>K3</f>
        <v>For the 12 months ended 12/31/13</v>
      </c>
      <c r="L70" s="12"/>
      <c r="N70" s="4"/>
      <c r="O70" s="4"/>
      <c r="P70" s="4"/>
    </row>
    <row r="71" spans="1:16">
      <c r="B71" s="4"/>
      <c r="C71" s="5" t="s">
        <v>2</v>
      </c>
      <c r="D71" s="5" t="str">
        <f>D4</f>
        <v>Utilizing EIA Form 412 Data</v>
      </c>
      <c r="E71" s="5"/>
      <c r="F71" s="5"/>
      <c r="G71" s="5"/>
      <c r="H71" s="5"/>
      <c r="I71" s="5"/>
      <c r="J71" s="5"/>
      <c r="K71" s="5"/>
      <c r="L71" s="12"/>
      <c r="N71" s="12"/>
      <c r="O71" s="5"/>
      <c r="P71" s="4"/>
    </row>
    <row r="72" spans="1:16">
      <c r="B72" s="4"/>
      <c r="C72" s="5" t="s">
        <v>2</v>
      </c>
      <c r="D72" s="5" t="s">
        <v>2</v>
      </c>
      <c r="E72" s="5"/>
      <c r="F72" s="5"/>
      <c r="G72" s="5" t="s">
        <v>2</v>
      </c>
      <c r="H72" s="5"/>
      <c r="I72" s="5"/>
      <c r="J72" s="5"/>
      <c r="K72" s="5"/>
      <c r="L72" s="4"/>
      <c r="N72" s="5"/>
      <c r="O72" s="5"/>
      <c r="P72" s="4"/>
    </row>
    <row r="73" spans="1:16">
      <c r="B73" s="4"/>
      <c r="C73" s="12"/>
      <c r="D73" s="5" t="str">
        <f>D6</f>
        <v>MUSCATINE POWER AND WATER</v>
      </c>
      <c r="E73" s="5"/>
      <c r="F73" s="5"/>
      <c r="G73" s="5"/>
      <c r="H73" s="5"/>
      <c r="I73" s="5"/>
      <c r="J73" s="5"/>
      <c r="K73" s="5"/>
      <c r="L73" s="4"/>
      <c r="N73" s="5"/>
      <c r="O73" s="5"/>
      <c r="P73" s="4"/>
    </row>
    <row r="74" spans="1:16">
      <c r="B74" s="14" t="s">
        <v>39</v>
      </c>
      <c r="C74" s="14" t="s">
        <v>40</v>
      </c>
      <c r="D74" s="14" t="s">
        <v>41</v>
      </c>
      <c r="E74" s="5" t="s">
        <v>2</v>
      </c>
      <c r="F74" s="5"/>
      <c r="G74" s="40" t="s">
        <v>42</v>
      </c>
      <c r="H74" s="5"/>
      <c r="I74" s="41" t="s">
        <v>43</v>
      </c>
      <c r="J74" s="5"/>
      <c r="K74" s="14"/>
      <c r="L74" s="4"/>
      <c r="N74" s="14"/>
      <c r="O74" s="5"/>
      <c r="P74" s="4"/>
    </row>
    <row r="75" spans="1:16">
      <c r="A75" s="1" t="s">
        <v>4</v>
      </c>
      <c r="B75" s="4"/>
      <c r="C75" s="42" t="s">
        <v>44</v>
      </c>
      <c r="D75" s="5"/>
      <c r="E75" s="5"/>
      <c r="F75" s="5"/>
      <c r="G75" s="1"/>
      <c r="H75" s="5"/>
      <c r="I75" s="43" t="s">
        <v>45</v>
      </c>
      <c r="J75" s="5"/>
      <c r="K75" s="14"/>
      <c r="L75" s="4"/>
      <c r="N75" s="14"/>
      <c r="O75" s="14"/>
      <c r="P75" s="4"/>
    </row>
    <row r="76" spans="1:16" ht="16.2" thickBot="1">
      <c r="A76" s="19" t="s">
        <v>6</v>
      </c>
      <c r="B76" s="46" t="s">
        <v>50</v>
      </c>
      <c r="C76" s="44" t="s">
        <v>46</v>
      </c>
      <c r="D76" s="43" t="s">
        <v>47</v>
      </c>
      <c r="E76" s="45"/>
      <c r="F76" s="43" t="s">
        <v>48</v>
      </c>
      <c r="H76" s="45"/>
      <c r="I76" s="1" t="s">
        <v>49</v>
      </c>
      <c r="J76" s="5"/>
      <c r="K76" s="14"/>
      <c r="L76" s="4"/>
      <c r="N76" s="14"/>
      <c r="O76" s="14"/>
      <c r="P76" s="4"/>
    </row>
    <row r="77" spans="1:16">
      <c r="A77" s="1"/>
      <c r="B77" s="4" t="s">
        <v>302</v>
      </c>
      <c r="C77" s="5"/>
      <c r="D77" s="5"/>
      <c r="E77" s="5"/>
      <c r="F77" s="5"/>
      <c r="G77" s="5"/>
      <c r="H77" s="5"/>
      <c r="I77" s="5"/>
      <c r="J77" s="5"/>
      <c r="K77" s="5"/>
      <c r="L77" s="4"/>
      <c r="N77" s="5"/>
      <c r="O77" s="5"/>
      <c r="P77" s="4"/>
    </row>
    <row r="78" spans="1:16">
      <c r="A78" s="1">
        <v>1</v>
      </c>
      <c r="B78" s="4" t="s">
        <v>51</v>
      </c>
      <c r="C78" s="5" t="s">
        <v>270</v>
      </c>
      <c r="D78" s="47">
        <f>+'Plant &amp; Depr'!G26</f>
        <v>331375878.42000002</v>
      </c>
      <c r="E78" s="5"/>
      <c r="F78" s="5" t="s">
        <v>52</v>
      </c>
      <c r="G78" s="48" t="s">
        <v>2</v>
      </c>
      <c r="H78" s="5"/>
      <c r="I78" s="5" t="s">
        <v>2</v>
      </c>
      <c r="J78" s="5"/>
      <c r="K78" s="5"/>
      <c r="L78" s="4"/>
      <c r="O78" s="5"/>
      <c r="P78" s="4"/>
    </row>
    <row r="79" spans="1:16">
      <c r="A79" s="1">
        <v>2</v>
      </c>
      <c r="B79" s="4" t="s">
        <v>53</v>
      </c>
      <c r="C79" s="5" t="s">
        <v>271</v>
      </c>
      <c r="D79" s="47">
        <f>+'Plant &amp; Depr'!G36</f>
        <v>12082629.960000003</v>
      </c>
      <c r="E79" s="5"/>
      <c r="F79" s="5" t="s">
        <v>12</v>
      </c>
      <c r="G79" s="48">
        <f>I215</f>
        <v>0.9950859592374105</v>
      </c>
      <c r="H79" s="5"/>
      <c r="I79" s="5">
        <f>+G79*D79</f>
        <v>12023255.423857277</v>
      </c>
      <c r="J79" s="5"/>
      <c r="K79" s="5"/>
      <c r="L79" s="4"/>
      <c r="O79" s="5"/>
      <c r="P79" s="4"/>
    </row>
    <row r="80" spans="1:16">
      <c r="A80" s="1">
        <v>3</v>
      </c>
      <c r="B80" s="4" t="s">
        <v>54</v>
      </c>
      <c r="C80" s="5" t="s">
        <v>272</v>
      </c>
      <c r="D80" s="47">
        <f>+'Plant &amp; Depr'!G60</f>
        <v>47735337.009999998</v>
      </c>
      <c r="E80" s="5"/>
      <c r="F80" s="5" t="s">
        <v>52</v>
      </c>
      <c r="G80" s="48" t="s">
        <v>2</v>
      </c>
      <c r="H80" s="5"/>
      <c r="I80" s="5" t="s">
        <v>2</v>
      </c>
      <c r="J80" s="5"/>
      <c r="K80" s="5"/>
      <c r="L80" s="4"/>
      <c r="O80" s="5"/>
      <c r="P80" s="4"/>
    </row>
    <row r="81" spans="1:16">
      <c r="A81" s="1">
        <v>4</v>
      </c>
      <c r="B81" s="4" t="s">
        <v>55</v>
      </c>
      <c r="C81" s="5" t="s">
        <v>303</v>
      </c>
      <c r="D81" s="47">
        <f>+'Plant &amp; Depr'!G78</f>
        <v>20418505.479999997</v>
      </c>
      <c r="E81" s="5"/>
      <c r="F81" s="5" t="s">
        <v>56</v>
      </c>
      <c r="G81" s="48">
        <f>I231</f>
        <v>4.760924779328151E-2</v>
      </c>
      <c r="H81" s="5"/>
      <c r="I81" s="5">
        <f>+G81*D81</f>
        <v>972109.68696579628</v>
      </c>
      <c r="J81" s="5"/>
      <c r="K81" s="5"/>
      <c r="L81" s="4"/>
      <c r="O81" s="14"/>
      <c r="P81" s="4"/>
    </row>
    <row r="82" spans="1:16" ht="16.2" thickBot="1">
      <c r="A82" s="1">
        <v>5</v>
      </c>
      <c r="B82" s="4" t="s">
        <v>57</v>
      </c>
      <c r="C82" s="5"/>
      <c r="D82" s="49">
        <v>0</v>
      </c>
      <c r="E82" s="5"/>
      <c r="F82" s="5" t="s">
        <v>58</v>
      </c>
      <c r="G82" s="48">
        <f>K235</f>
        <v>4.760924779328151E-2</v>
      </c>
      <c r="H82" s="5"/>
      <c r="I82" s="26">
        <f>+G82*D82</f>
        <v>0</v>
      </c>
      <c r="J82" s="5"/>
      <c r="K82" s="5"/>
      <c r="L82" s="4"/>
      <c r="O82" s="14"/>
      <c r="P82" s="4"/>
    </row>
    <row r="83" spans="1:16">
      <c r="A83" s="1">
        <v>6</v>
      </c>
      <c r="B83" s="2" t="s">
        <v>229</v>
      </c>
      <c r="C83" s="5"/>
      <c r="D83" s="5">
        <f>SUM(D78:D82)</f>
        <v>411612350.87</v>
      </c>
      <c r="E83" s="5"/>
      <c r="F83" s="5" t="s">
        <v>59</v>
      </c>
      <c r="G83" s="7">
        <f>IF(I83&gt;0,I83/D83,0)</f>
        <v>3.1571854156843354E-2</v>
      </c>
      <c r="H83" s="5"/>
      <c r="I83" s="5">
        <f>SUM(I78:I82)</f>
        <v>12995365.110823074</v>
      </c>
      <c r="J83" s="5"/>
      <c r="K83" s="7"/>
      <c r="L83" s="4"/>
      <c r="N83" s="5"/>
      <c r="O83" s="5"/>
      <c r="P83" s="4"/>
    </row>
    <row r="84" spans="1:16">
      <c r="B84" s="4"/>
      <c r="C84" s="5"/>
      <c r="D84" s="5"/>
      <c r="E84" s="5"/>
      <c r="F84" s="5"/>
      <c r="G84" s="7"/>
      <c r="H84" s="5"/>
      <c r="I84" s="5"/>
      <c r="J84" s="5"/>
      <c r="K84" s="7"/>
      <c r="L84" s="4"/>
      <c r="N84" s="5"/>
      <c r="O84" s="5"/>
      <c r="P84" s="4"/>
    </row>
    <row r="85" spans="1:16">
      <c r="B85" s="4" t="s">
        <v>304</v>
      </c>
      <c r="C85" s="5"/>
      <c r="D85" s="5"/>
      <c r="E85" s="5"/>
      <c r="F85" s="5"/>
      <c r="G85" s="5"/>
      <c r="H85" s="5"/>
      <c r="I85" s="5"/>
      <c r="J85" s="5"/>
      <c r="K85" s="5"/>
      <c r="L85" s="4"/>
      <c r="N85" s="5"/>
      <c r="O85" s="5"/>
      <c r="P85" s="4"/>
    </row>
    <row r="86" spans="1:16">
      <c r="A86" s="1">
        <v>7</v>
      </c>
      <c r="B86" s="4" t="str">
        <f>+B78</f>
        <v xml:space="preserve">  Production</v>
      </c>
      <c r="D86" s="50">
        <f>+'Plant &amp; Depr'!N26</f>
        <v>254783290.06999996</v>
      </c>
      <c r="E86" s="5"/>
      <c r="F86" s="5" t="str">
        <f t="shared" ref="F86:G90" si="0">+F78</f>
        <v>NA</v>
      </c>
      <c r="G86" s="48" t="str">
        <f t="shared" si="0"/>
        <v xml:space="preserve"> </v>
      </c>
      <c r="H86" s="5"/>
      <c r="I86" s="5" t="s">
        <v>2</v>
      </c>
      <c r="J86" s="5"/>
      <c r="K86" s="5"/>
      <c r="L86" s="4"/>
      <c r="N86" s="5"/>
      <c r="O86" s="5"/>
      <c r="P86" s="4"/>
    </row>
    <row r="87" spans="1:16">
      <c r="A87" s="1">
        <v>8</v>
      </c>
      <c r="B87" s="4" t="str">
        <f>+B79</f>
        <v xml:space="preserve">  Transmission</v>
      </c>
      <c r="D87" s="50">
        <f>+'Plant &amp; Depr'!N36</f>
        <v>9602560.7799999975</v>
      </c>
      <c r="E87" s="5"/>
      <c r="F87" s="5" t="str">
        <f t="shared" si="0"/>
        <v>TP</v>
      </c>
      <c r="G87" s="48">
        <f t="shared" si="0"/>
        <v>0.9950859592374105</v>
      </c>
      <c r="H87" s="5"/>
      <c r="I87" s="5">
        <f>+G87*D87</f>
        <v>9555373.4049018342</v>
      </c>
      <c r="J87" s="5"/>
      <c r="K87" s="5"/>
      <c r="L87" s="4"/>
      <c r="N87" s="5"/>
      <c r="O87" s="5"/>
      <c r="P87" s="4"/>
    </row>
    <row r="88" spans="1:16">
      <c r="A88" s="1">
        <v>9</v>
      </c>
      <c r="B88" s="4" t="str">
        <f>+B80</f>
        <v xml:space="preserve">  Distribution</v>
      </c>
      <c r="D88" s="50">
        <f>+'Plant &amp; Depr'!N60+'Plant &amp; Depr'!N82</f>
        <v>37604816.219999991</v>
      </c>
      <c r="E88" s="5"/>
      <c r="F88" s="5" t="str">
        <f t="shared" si="0"/>
        <v>NA</v>
      </c>
      <c r="G88" s="48" t="str">
        <f t="shared" si="0"/>
        <v xml:space="preserve"> </v>
      </c>
      <c r="H88" s="5"/>
      <c r="I88" s="5" t="s">
        <v>2</v>
      </c>
      <c r="J88" s="5"/>
      <c r="K88" s="5"/>
      <c r="L88" s="4"/>
      <c r="N88" s="5"/>
      <c r="O88" s="5"/>
      <c r="P88" s="4"/>
    </row>
    <row r="89" spans="1:16">
      <c r="A89" s="1">
        <v>10</v>
      </c>
      <c r="B89" s="4" t="str">
        <f>+B81</f>
        <v xml:space="preserve">  General &amp; Intangible</v>
      </c>
      <c r="D89" s="50">
        <f>+'Plant &amp; Depr'!N78</f>
        <v>19256532.750000004</v>
      </c>
      <c r="E89" s="5"/>
      <c r="F89" s="5" t="str">
        <f t="shared" si="0"/>
        <v>W/S</v>
      </c>
      <c r="G89" s="48">
        <f t="shared" si="0"/>
        <v>4.760924779328151E-2</v>
      </c>
      <c r="H89" s="5"/>
      <c r="I89" s="5">
        <f>+G89*D89</f>
        <v>916789.03933419078</v>
      </c>
      <c r="J89" s="5"/>
      <c r="K89" s="5"/>
      <c r="L89" s="4"/>
      <c r="N89" s="5"/>
      <c r="O89" s="14"/>
      <c r="P89" s="4"/>
    </row>
    <row r="90" spans="1:16" ht="16.2" thickBot="1">
      <c r="A90" s="1">
        <v>11</v>
      </c>
      <c r="B90" s="4" t="str">
        <f>+B82</f>
        <v xml:space="preserve">  Common</v>
      </c>
      <c r="C90" s="5"/>
      <c r="D90" s="49">
        <v>0</v>
      </c>
      <c r="E90" s="5"/>
      <c r="F90" s="5" t="str">
        <f t="shared" si="0"/>
        <v>CE</v>
      </c>
      <c r="G90" s="48">
        <f t="shared" si="0"/>
        <v>4.760924779328151E-2</v>
      </c>
      <c r="H90" s="5"/>
      <c r="I90" s="26">
        <f>+G90*D90</f>
        <v>0</v>
      </c>
      <c r="J90" s="5"/>
      <c r="K90" s="5"/>
      <c r="L90" s="4"/>
      <c r="N90" s="5"/>
      <c r="O90" s="14"/>
      <c r="P90" s="4"/>
    </row>
    <row r="91" spans="1:16">
      <c r="A91" s="1">
        <v>12</v>
      </c>
      <c r="B91" s="4" t="s">
        <v>230</v>
      </c>
      <c r="C91" s="5"/>
      <c r="D91" s="5">
        <f>SUM(D86:D90)</f>
        <v>321247199.81999993</v>
      </c>
      <c r="E91" s="5"/>
      <c r="F91" s="5"/>
      <c r="G91" s="5"/>
      <c r="H91" s="5"/>
      <c r="I91" s="5">
        <f>SUM(I86:I90)</f>
        <v>10472162.444236025</v>
      </c>
      <c r="J91" s="5"/>
      <c r="K91" s="5"/>
      <c r="L91" s="4"/>
      <c r="N91" s="51"/>
      <c r="O91" s="5"/>
      <c r="P91" s="4"/>
    </row>
    <row r="92" spans="1:16">
      <c r="A92" s="1"/>
      <c r="C92" s="5" t="s">
        <v>2</v>
      </c>
      <c r="E92" s="5"/>
      <c r="F92" s="5"/>
      <c r="G92" s="7"/>
      <c r="H92" s="5"/>
      <c r="J92" s="5"/>
      <c r="K92" s="7"/>
      <c r="L92" s="4"/>
      <c r="N92" s="5"/>
      <c r="O92" s="5"/>
      <c r="P92" s="4"/>
    </row>
    <row r="93" spans="1:16">
      <c r="A93" s="1"/>
      <c r="B93" s="4" t="s">
        <v>60</v>
      </c>
      <c r="C93" s="5"/>
      <c r="D93" s="5"/>
      <c r="E93" s="5"/>
      <c r="F93" s="5"/>
      <c r="G93" s="5"/>
      <c r="H93" s="5"/>
      <c r="I93" s="5"/>
      <c r="J93" s="5"/>
      <c r="K93" s="5"/>
      <c r="L93" s="4"/>
      <c r="N93" s="5"/>
      <c r="O93" s="5"/>
      <c r="P93" s="4"/>
    </row>
    <row r="94" spans="1:16">
      <c r="A94" s="1">
        <v>13</v>
      </c>
      <c r="B94" s="4" t="str">
        <f>+B86</f>
        <v xml:space="preserve">  Production</v>
      </c>
      <c r="C94" s="5" t="s">
        <v>231</v>
      </c>
      <c r="D94" s="5">
        <f>D78-D86</f>
        <v>76592588.350000054</v>
      </c>
      <c r="E94" s="5"/>
      <c r="F94" s="5"/>
      <c r="G94" s="7"/>
      <c r="H94" s="5"/>
      <c r="I94" s="5" t="s">
        <v>2</v>
      </c>
      <c r="J94" s="5"/>
      <c r="K94" s="7"/>
      <c r="L94" s="4"/>
      <c r="N94" s="5"/>
      <c r="O94" s="5"/>
      <c r="P94" s="4"/>
    </row>
    <row r="95" spans="1:16">
      <c r="A95" s="1">
        <v>14</v>
      </c>
      <c r="B95" s="4" t="str">
        <f>+B87</f>
        <v xml:space="preserve">  Transmission</v>
      </c>
      <c r="C95" s="5" t="s">
        <v>232</v>
      </c>
      <c r="D95" s="5">
        <f>D79-D87</f>
        <v>2480069.1800000053</v>
      </c>
      <c r="E95" s="5"/>
      <c r="F95" s="5"/>
      <c r="G95" s="48"/>
      <c r="H95" s="5"/>
      <c r="I95" s="5">
        <f>I79-I87</f>
        <v>2467882.0189554431</v>
      </c>
      <c r="J95" s="5"/>
      <c r="K95" s="7"/>
      <c r="L95" s="4"/>
      <c r="N95" s="5"/>
      <c r="O95" s="5"/>
      <c r="P95" s="4"/>
    </row>
    <row r="96" spans="1:16">
      <c r="A96" s="1">
        <v>15</v>
      </c>
      <c r="B96" s="4" t="str">
        <f>+B88</f>
        <v xml:space="preserve">  Distribution</v>
      </c>
      <c r="C96" s="5" t="s">
        <v>233</v>
      </c>
      <c r="D96" s="5">
        <f>D80-D88</f>
        <v>10130520.790000007</v>
      </c>
      <c r="E96" s="5"/>
      <c r="F96" s="5"/>
      <c r="G96" s="7"/>
      <c r="H96" s="5"/>
      <c r="I96" s="5" t="s">
        <v>2</v>
      </c>
      <c r="J96" s="5"/>
      <c r="K96" s="7"/>
      <c r="L96" s="4"/>
      <c r="N96" s="5"/>
      <c r="O96" s="5"/>
      <c r="P96" s="4"/>
    </row>
    <row r="97" spans="1:16">
      <c r="A97" s="1">
        <v>16</v>
      </c>
      <c r="B97" s="4" t="str">
        <f>+B89</f>
        <v xml:space="preserve">  General &amp; Intangible</v>
      </c>
      <c r="C97" s="5" t="s">
        <v>234</v>
      </c>
      <c r="D97" s="5">
        <f>D81-D89</f>
        <v>1161972.729999993</v>
      </c>
      <c r="E97" s="5"/>
      <c r="F97" s="5"/>
      <c r="G97" s="7"/>
      <c r="H97" s="5"/>
      <c r="I97" s="5">
        <f>I81-I89</f>
        <v>55320.647631605505</v>
      </c>
      <c r="J97" s="5"/>
      <c r="K97" s="7"/>
      <c r="L97" s="4"/>
      <c r="N97" s="5"/>
      <c r="O97" s="14"/>
      <c r="P97" s="4"/>
    </row>
    <row r="98" spans="1:16" ht="16.2" thickBot="1">
      <c r="A98" s="1">
        <v>17</v>
      </c>
      <c r="B98" s="4" t="str">
        <f>+B90</f>
        <v xml:space="preserve">  Common</v>
      </c>
      <c r="C98" s="5" t="s">
        <v>235</v>
      </c>
      <c r="D98" s="26">
        <f>D82-D90</f>
        <v>0</v>
      </c>
      <c r="E98" s="5"/>
      <c r="F98" s="5"/>
      <c r="G98" s="7"/>
      <c r="H98" s="5"/>
      <c r="I98" s="26">
        <f>I82-I90</f>
        <v>0</v>
      </c>
      <c r="J98" s="5"/>
      <c r="K98" s="7"/>
      <c r="L98" s="4"/>
      <c r="N98" s="5"/>
      <c r="O98" s="14"/>
      <c r="P98" s="4"/>
    </row>
    <row r="99" spans="1:16">
      <c r="A99" s="1">
        <v>18</v>
      </c>
      <c r="B99" s="4" t="s">
        <v>236</v>
      </c>
      <c r="C99" s="5"/>
      <c r="D99" s="5">
        <f>SUM(D94:D98)</f>
        <v>90365151.050000057</v>
      </c>
      <c r="E99" s="5"/>
      <c r="F99" s="5" t="s">
        <v>61</v>
      </c>
      <c r="G99" s="7">
        <f>IF(I99&gt;0,I99/D99,0)</f>
        <v>2.792229789104134E-2</v>
      </c>
      <c r="H99" s="5"/>
      <c r="I99" s="5">
        <f>SUM(I94:I98)</f>
        <v>2523202.6665870487</v>
      </c>
      <c r="J99" s="5"/>
      <c r="K99" s="5"/>
      <c r="L99" s="4"/>
      <c r="N99" s="27"/>
      <c r="O99" s="5"/>
      <c r="P99" s="4"/>
    </row>
    <row r="100" spans="1:16">
      <c r="A100" s="1"/>
      <c r="C100" s="5"/>
      <c r="E100" s="5"/>
      <c r="H100" s="5"/>
      <c r="J100" s="5"/>
      <c r="K100" s="7"/>
      <c r="L100" s="4"/>
      <c r="N100" s="5"/>
      <c r="O100" s="5"/>
      <c r="P100" s="4"/>
    </row>
    <row r="101" spans="1:16">
      <c r="A101" s="1"/>
      <c r="B101" s="2" t="s">
        <v>237</v>
      </c>
      <c r="C101" s="5"/>
      <c r="D101" s="5"/>
      <c r="E101" s="5"/>
      <c r="F101" s="5"/>
      <c r="G101" s="5"/>
      <c r="H101" s="5"/>
      <c r="I101" s="5"/>
      <c r="J101" s="5"/>
      <c r="K101" s="5"/>
      <c r="L101" s="4"/>
      <c r="N101" s="5" t="s">
        <v>2</v>
      </c>
      <c r="O101" s="5"/>
      <c r="P101" s="4"/>
    </row>
    <row r="102" spans="1:16">
      <c r="A102" s="1">
        <v>19</v>
      </c>
      <c r="B102" s="4" t="s">
        <v>62</v>
      </c>
      <c r="C102" s="5"/>
      <c r="D102" s="50">
        <v>0</v>
      </c>
      <c r="E102" s="5"/>
      <c r="F102" s="5"/>
      <c r="G102" s="52" t="s">
        <v>177</v>
      </c>
      <c r="H102" s="5"/>
      <c r="I102" s="5">
        <v>0</v>
      </c>
      <c r="J102" s="5"/>
      <c r="K102" s="7"/>
      <c r="L102" s="4"/>
      <c r="N102" s="7"/>
      <c r="O102" s="14"/>
      <c r="P102" s="4"/>
    </row>
    <row r="103" spans="1:16">
      <c r="A103" s="1">
        <v>20</v>
      </c>
      <c r="B103" s="4" t="s">
        <v>64</v>
      </c>
      <c r="C103" s="5"/>
      <c r="D103" s="50">
        <v>0</v>
      </c>
      <c r="E103" s="5"/>
      <c r="F103" s="5" t="s">
        <v>63</v>
      </c>
      <c r="G103" s="48">
        <f>+G99</f>
        <v>2.792229789104134E-2</v>
      </c>
      <c r="H103" s="5"/>
      <c r="I103" s="5">
        <f>D103*G103</f>
        <v>0</v>
      </c>
      <c r="J103" s="5"/>
      <c r="K103" s="7"/>
      <c r="L103" s="4"/>
      <c r="N103" s="7"/>
      <c r="O103" s="14"/>
      <c r="P103" s="4"/>
    </row>
    <row r="104" spans="1:16">
      <c r="A104" s="1">
        <v>21</v>
      </c>
      <c r="B104" s="4" t="s">
        <v>65</v>
      </c>
      <c r="C104" s="5"/>
      <c r="D104" s="47">
        <v>0</v>
      </c>
      <c r="E104" s="5"/>
      <c r="F104" s="5" t="s">
        <v>63</v>
      </c>
      <c r="G104" s="48">
        <f>+G103</f>
        <v>2.792229789104134E-2</v>
      </c>
      <c r="H104" s="5"/>
      <c r="I104" s="5">
        <f>D104*G104</f>
        <v>0</v>
      </c>
      <c r="J104" s="5"/>
      <c r="K104" s="7"/>
      <c r="L104" s="4"/>
      <c r="N104" s="7"/>
      <c r="O104" s="14"/>
      <c r="P104" s="4"/>
    </row>
    <row r="105" spans="1:16">
      <c r="A105" s="1">
        <v>22</v>
      </c>
      <c r="B105" s="4" t="s">
        <v>66</v>
      </c>
      <c r="C105" s="5"/>
      <c r="D105" s="47">
        <v>0</v>
      </c>
      <c r="E105" s="5"/>
      <c r="F105" s="5" t="str">
        <f>+F104</f>
        <v>NP</v>
      </c>
      <c r="G105" s="48">
        <f>+G104</f>
        <v>2.792229789104134E-2</v>
      </c>
      <c r="H105" s="5"/>
      <c r="I105" s="5">
        <f>D105*G105</f>
        <v>0</v>
      </c>
      <c r="J105" s="5"/>
      <c r="K105" s="7"/>
      <c r="L105" s="4"/>
      <c r="N105" s="7"/>
      <c r="O105" s="14"/>
      <c r="P105" s="4"/>
    </row>
    <row r="106" spans="1:16" ht="16.2" thickBot="1">
      <c r="A106" s="1">
        <v>23</v>
      </c>
      <c r="B106" s="3" t="s">
        <v>67</v>
      </c>
      <c r="D106" s="49">
        <v>0</v>
      </c>
      <c r="E106" s="5"/>
      <c r="F106" s="5" t="s">
        <v>63</v>
      </c>
      <c r="G106" s="48">
        <f>+G104</f>
        <v>2.792229789104134E-2</v>
      </c>
      <c r="H106" s="5"/>
      <c r="I106" s="26">
        <f>D106*G106</f>
        <v>0</v>
      </c>
      <c r="J106" s="5"/>
      <c r="K106" s="5"/>
      <c r="L106" s="4"/>
      <c r="N106" s="51"/>
      <c r="O106" s="5"/>
      <c r="P106" s="4"/>
    </row>
    <row r="107" spans="1:16">
      <c r="A107" s="1">
        <v>24</v>
      </c>
      <c r="B107" s="4" t="s">
        <v>68</v>
      </c>
      <c r="C107" s="5"/>
      <c r="D107" s="5">
        <f>SUM(D102:D106)</f>
        <v>0</v>
      </c>
      <c r="E107" s="5"/>
      <c r="F107" s="5"/>
      <c r="G107" s="5"/>
      <c r="H107" s="5"/>
      <c r="I107" s="5">
        <f>SUM(I102:I106)</f>
        <v>0</v>
      </c>
      <c r="J107" s="5"/>
      <c r="K107" s="7"/>
      <c r="L107" s="4"/>
      <c r="N107" s="5"/>
      <c r="O107" s="5"/>
      <c r="P107" s="4"/>
    </row>
    <row r="108" spans="1:16">
      <c r="A108" s="1"/>
      <c r="B108" s="4"/>
      <c r="C108" s="5"/>
      <c r="D108" s="5"/>
      <c r="E108" s="5"/>
      <c r="F108" s="5"/>
      <c r="G108" s="5"/>
      <c r="H108" s="5"/>
      <c r="I108" s="5"/>
      <c r="J108" s="5"/>
      <c r="K108" s="7"/>
      <c r="L108" s="4"/>
      <c r="N108" s="5"/>
      <c r="O108" s="5"/>
      <c r="P108" s="4"/>
    </row>
    <row r="109" spans="1:16">
      <c r="A109" s="1">
        <v>25</v>
      </c>
      <c r="B109" s="2" t="s">
        <v>69</v>
      </c>
      <c r="C109" s="5" t="s">
        <v>273</v>
      </c>
      <c r="D109" s="50">
        <v>0</v>
      </c>
      <c r="E109" s="5"/>
      <c r="F109" s="5" t="str">
        <f>+F87</f>
        <v>TP</v>
      </c>
      <c r="G109" s="48">
        <f>+G87</f>
        <v>0.9950859592374105</v>
      </c>
      <c r="H109" s="5"/>
      <c r="I109" s="5">
        <f>+G109*D109</f>
        <v>0</v>
      </c>
      <c r="J109" s="5"/>
      <c r="K109" s="5"/>
      <c r="L109" s="4"/>
      <c r="N109" s="5"/>
      <c r="O109" s="5"/>
      <c r="P109" s="4"/>
    </row>
    <row r="110" spans="1:16">
      <c r="A110" s="1"/>
      <c r="B110" s="4"/>
      <c r="C110" s="5"/>
      <c r="D110" s="5"/>
      <c r="E110" s="5"/>
      <c r="F110" s="5"/>
      <c r="G110" s="5"/>
      <c r="H110" s="5"/>
      <c r="I110" s="5"/>
      <c r="J110" s="5"/>
      <c r="K110" s="5"/>
      <c r="L110" s="4"/>
      <c r="N110" s="5"/>
      <c r="O110" s="5"/>
      <c r="P110" s="4"/>
    </row>
    <row r="111" spans="1:16">
      <c r="A111" s="1"/>
      <c r="B111" s="4" t="s">
        <v>70</v>
      </c>
      <c r="C111" s="5" t="s">
        <v>72</v>
      </c>
      <c r="D111" s="5"/>
      <c r="E111" s="5"/>
      <c r="F111" s="5"/>
      <c r="G111" s="5"/>
      <c r="H111" s="5"/>
      <c r="I111" s="5"/>
      <c r="J111" s="5"/>
      <c r="K111" s="5"/>
      <c r="L111" s="4"/>
      <c r="N111" s="5"/>
      <c r="O111" s="5"/>
      <c r="P111" s="4"/>
    </row>
    <row r="112" spans="1:16">
      <c r="A112" s="1">
        <v>26</v>
      </c>
      <c r="B112" s="4" t="s">
        <v>71</v>
      </c>
      <c r="D112" s="5">
        <f>D153/8</f>
        <v>1372131.4337500001</v>
      </c>
      <c r="E112" s="5"/>
      <c r="F112" s="5"/>
      <c r="G112" s="7"/>
      <c r="H112" s="5"/>
      <c r="I112" s="5">
        <f>I153/8</f>
        <v>125782.6564194215</v>
      </c>
      <c r="J112" s="12"/>
      <c r="K112" s="7"/>
      <c r="L112" s="4"/>
      <c r="N112" s="53"/>
      <c r="O112" s="39"/>
      <c r="P112" s="4"/>
    </row>
    <row r="113" spans="1:16">
      <c r="A113" s="1">
        <v>27</v>
      </c>
      <c r="B113" s="4" t="s">
        <v>73</v>
      </c>
      <c r="C113" s="3" t="s">
        <v>238</v>
      </c>
      <c r="D113" s="50">
        <f>+'Mat &amp; Supplies'!B10</f>
        <v>239577.79</v>
      </c>
      <c r="E113" s="5"/>
      <c r="F113" s="5" t="s">
        <v>74</v>
      </c>
      <c r="G113" s="48">
        <f>I224</f>
        <v>0.54439417911789079</v>
      </c>
      <c r="H113" s="5"/>
      <c r="I113" s="5">
        <f>G113*D113</f>
        <v>130424.75432192843</v>
      </c>
      <c r="J113" s="5" t="s">
        <v>2</v>
      </c>
      <c r="K113" s="7"/>
      <c r="L113" s="4"/>
      <c r="N113" s="53"/>
      <c r="O113" s="14"/>
      <c r="P113" s="4"/>
    </row>
    <row r="114" spans="1:16" ht="16.2" thickBot="1">
      <c r="A114" s="1">
        <v>28</v>
      </c>
      <c r="B114" s="4" t="s">
        <v>75</v>
      </c>
      <c r="C114" s="3" t="s">
        <v>274</v>
      </c>
      <c r="D114" s="49">
        <f>+'Pre Payments'!B15</f>
        <v>492325.62</v>
      </c>
      <c r="E114" s="5"/>
      <c r="F114" s="5" t="s">
        <v>76</v>
      </c>
      <c r="G114" s="48">
        <f>+G83</f>
        <v>3.1571854156843354E-2</v>
      </c>
      <c r="H114" s="5"/>
      <c r="I114" s="26">
        <f>+G114*D114</f>
        <v>15543.632672317481</v>
      </c>
      <c r="J114" s="5"/>
      <c r="K114" s="7"/>
      <c r="L114" s="4"/>
      <c r="N114" s="53"/>
      <c r="O114" s="14"/>
      <c r="P114" s="4"/>
    </row>
    <row r="115" spans="1:16">
      <c r="A115" s="1">
        <v>29</v>
      </c>
      <c r="B115" s="4" t="s">
        <v>239</v>
      </c>
      <c r="C115" s="12"/>
      <c r="D115" s="5">
        <f>D112+D113+D114</f>
        <v>2104034.84375</v>
      </c>
      <c r="E115" s="12"/>
      <c r="F115" s="12"/>
      <c r="G115" s="12"/>
      <c r="H115" s="12"/>
      <c r="I115" s="5">
        <f>I112+I113+I114</f>
        <v>271751.04341366742</v>
      </c>
      <c r="J115" s="12"/>
      <c r="K115" s="12"/>
      <c r="L115" s="4"/>
      <c r="N115" s="51"/>
      <c r="O115" s="5"/>
      <c r="P115" s="4"/>
    </row>
    <row r="116" spans="1:16" ht="16.2" thickBot="1">
      <c r="C116" s="5"/>
      <c r="D116" s="54"/>
      <c r="E116" s="5"/>
      <c r="F116" s="5"/>
      <c r="G116" s="5"/>
      <c r="H116" s="5"/>
      <c r="I116" s="54"/>
      <c r="J116" s="5"/>
      <c r="K116" s="5"/>
      <c r="L116" s="4"/>
      <c r="N116" s="5"/>
      <c r="O116" s="5"/>
      <c r="P116" s="4"/>
    </row>
    <row r="117" spans="1:16" ht="16.2" thickBot="1">
      <c r="A117" s="1">
        <v>30</v>
      </c>
      <c r="B117" s="4" t="s">
        <v>77</v>
      </c>
      <c r="C117" s="5"/>
      <c r="D117" s="55">
        <f>+D115+D109+D107+D99</f>
        <v>92469185.893750057</v>
      </c>
      <c r="E117" s="5"/>
      <c r="F117" s="5"/>
      <c r="G117" s="7"/>
      <c r="H117" s="5"/>
      <c r="I117" s="55">
        <f>+I115+I109+I107+I99</f>
        <v>2794953.7100007161</v>
      </c>
      <c r="J117" s="5"/>
      <c r="K117" s="7"/>
      <c r="L117" s="4"/>
      <c r="N117" s="5"/>
      <c r="O117" s="5"/>
      <c r="P117" s="4"/>
    </row>
    <row r="118" spans="1:16" ht="16.2" thickTop="1">
      <c r="A118" s="1"/>
      <c r="B118" s="4"/>
      <c r="C118" s="5"/>
      <c r="D118" s="5"/>
      <c r="E118" s="5"/>
      <c r="F118" s="5"/>
      <c r="G118" s="5"/>
      <c r="H118" s="5"/>
      <c r="I118" s="5"/>
      <c r="J118" s="5"/>
      <c r="K118" s="5"/>
      <c r="L118" s="12"/>
      <c r="N118" s="5"/>
      <c r="O118" s="5"/>
      <c r="P118" s="4"/>
    </row>
    <row r="119" spans="1:16">
      <c r="A119" s="1"/>
      <c r="B119" s="4"/>
      <c r="C119" s="5"/>
      <c r="D119" s="5"/>
      <c r="E119" s="5"/>
      <c r="F119" s="5"/>
      <c r="G119" s="5"/>
      <c r="H119" s="5"/>
      <c r="I119" s="5"/>
      <c r="J119" s="5"/>
      <c r="K119" s="5"/>
      <c r="L119" s="12"/>
      <c r="N119" s="5"/>
      <c r="O119" s="5"/>
      <c r="P119" s="4"/>
    </row>
    <row r="120" spans="1:16">
      <c r="A120" s="1"/>
      <c r="B120" s="4"/>
      <c r="C120" s="5"/>
      <c r="D120" s="5"/>
      <c r="E120" s="5"/>
      <c r="F120" s="5"/>
      <c r="G120" s="5"/>
      <c r="H120" s="5"/>
      <c r="I120" s="5"/>
      <c r="J120" s="5"/>
      <c r="K120" s="5"/>
      <c r="L120" s="12"/>
      <c r="N120" s="5"/>
      <c r="O120" s="5"/>
      <c r="P120" s="4"/>
    </row>
    <row r="121" spans="1:16">
      <c r="A121" s="1"/>
      <c r="B121" s="4"/>
      <c r="C121" s="5"/>
      <c r="D121" s="5"/>
      <c r="E121" s="5"/>
      <c r="F121" s="5"/>
      <c r="G121" s="5"/>
      <c r="H121" s="5"/>
      <c r="I121" s="5"/>
      <c r="J121" s="5"/>
      <c r="K121" s="5"/>
      <c r="L121" s="12"/>
      <c r="N121" s="5"/>
      <c r="O121" s="5"/>
      <c r="P121" s="4"/>
    </row>
    <row r="122" spans="1:16">
      <c r="A122" s="1"/>
      <c r="B122" s="4"/>
      <c r="C122" s="5"/>
      <c r="D122" s="5"/>
      <c r="E122" s="5"/>
      <c r="F122" s="5"/>
      <c r="G122" s="5"/>
      <c r="H122" s="5"/>
      <c r="I122" s="5"/>
      <c r="J122" s="5"/>
      <c r="K122" s="5"/>
      <c r="L122" s="12"/>
      <c r="N122" s="5"/>
      <c r="O122" s="5"/>
      <c r="P122" s="4"/>
    </row>
    <row r="123" spans="1:16">
      <c r="A123" s="1"/>
      <c r="B123" s="4"/>
      <c r="C123" s="5"/>
      <c r="D123" s="5"/>
      <c r="E123" s="5"/>
      <c r="F123" s="5"/>
      <c r="G123" s="5"/>
      <c r="H123" s="5"/>
      <c r="I123" s="5"/>
      <c r="J123" s="5"/>
      <c r="K123" s="5"/>
      <c r="L123" s="12"/>
      <c r="N123" s="5"/>
      <c r="O123" s="5"/>
      <c r="P123" s="4"/>
    </row>
    <row r="124" spans="1:16">
      <c r="A124" s="1"/>
      <c r="B124" s="4"/>
      <c r="C124" s="5"/>
      <c r="D124" s="5"/>
      <c r="E124" s="5"/>
      <c r="F124" s="5"/>
      <c r="G124" s="5"/>
      <c r="H124" s="5"/>
      <c r="I124" s="5"/>
      <c r="J124" s="5"/>
      <c r="K124" s="5"/>
      <c r="L124" s="12"/>
      <c r="N124" s="5"/>
      <c r="O124" s="5"/>
      <c r="P124" s="4"/>
    </row>
    <row r="125" spans="1:16">
      <c r="A125" s="1"/>
      <c r="B125" s="4"/>
      <c r="C125" s="5"/>
      <c r="D125" s="5"/>
      <c r="E125" s="5"/>
      <c r="F125" s="5"/>
      <c r="G125" s="5"/>
      <c r="H125" s="5"/>
      <c r="I125" s="5"/>
      <c r="J125" s="5"/>
      <c r="K125" s="5"/>
      <c r="L125" s="12"/>
      <c r="N125" s="5"/>
      <c r="O125" s="5"/>
      <c r="P125" s="4"/>
    </row>
    <row r="126" spans="1:16">
      <c r="A126" s="1"/>
      <c r="B126" s="4"/>
      <c r="C126" s="5"/>
      <c r="D126" s="5"/>
      <c r="E126" s="5"/>
      <c r="F126" s="5"/>
      <c r="G126" s="5"/>
      <c r="H126" s="5"/>
      <c r="I126" s="5"/>
      <c r="J126" s="5"/>
      <c r="K126" s="5"/>
      <c r="L126" s="12"/>
      <c r="N126" s="5"/>
      <c r="O126" s="5"/>
      <c r="P126" s="4"/>
    </row>
    <row r="127" spans="1:16">
      <c r="A127" s="1"/>
      <c r="B127" s="4"/>
      <c r="C127" s="5"/>
      <c r="D127" s="5"/>
      <c r="E127" s="5"/>
      <c r="F127" s="5"/>
      <c r="G127" s="5"/>
      <c r="H127" s="5"/>
      <c r="I127" s="5"/>
      <c r="J127" s="5"/>
      <c r="K127" s="5"/>
      <c r="L127" s="12"/>
      <c r="N127" s="5"/>
      <c r="O127" s="5"/>
      <c r="P127" s="4"/>
    </row>
    <row r="128" spans="1:16">
      <c r="A128" s="1"/>
      <c r="B128" s="4"/>
      <c r="C128" s="5"/>
      <c r="D128" s="5"/>
      <c r="E128" s="5"/>
      <c r="F128" s="5"/>
      <c r="G128" s="5"/>
      <c r="H128" s="5"/>
      <c r="I128" s="5"/>
      <c r="J128" s="5"/>
      <c r="K128" s="5"/>
      <c r="L128" s="12"/>
      <c r="N128" s="5"/>
      <c r="O128" s="5"/>
      <c r="P128" s="4"/>
    </row>
    <row r="129" spans="1:16">
      <c r="A129" s="1"/>
      <c r="B129" s="4"/>
      <c r="C129" s="5"/>
      <c r="D129" s="5"/>
      <c r="E129" s="5"/>
      <c r="F129" s="5"/>
      <c r="G129" s="5"/>
      <c r="H129" s="5"/>
      <c r="I129" s="5"/>
      <c r="J129" s="5"/>
      <c r="K129" s="5"/>
      <c r="L129" s="12"/>
      <c r="N129" s="5"/>
      <c r="O129" s="5"/>
      <c r="P129" s="4"/>
    </row>
    <row r="130" spans="1:16">
      <c r="A130" s="1"/>
      <c r="B130" s="4"/>
      <c r="C130" s="5"/>
      <c r="D130" s="5"/>
      <c r="E130" s="5"/>
      <c r="F130" s="5"/>
      <c r="G130" s="5"/>
      <c r="H130" s="5"/>
      <c r="I130" s="5"/>
      <c r="J130" s="5"/>
      <c r="K130" s="5"/>
      <c r="L130" s="12"/>
      <c r="N130" s="5"/>
      <c r="O130" s="5"/>
      <c r="P130" s="4"/>
    </row>
    <row r="131" spans="1:16">
      <c r="A131" s="1"/>
      <c r="B131" s="4"/>
      <c r="C131" s="5"/>
      <c r="D131" s="5"/>
      <c r="E131" s="5"/>
      <c r="F131" s="5"/>
      <c r="G131" s="5"/>
      <c r="H131" s="5"/>
      <c r="I131" s="5"/>
      <c r="J131" s="5"/>
      <c r="K131" s="5"/>
      <c r="L131" s="12"/>
      <c r="N131" s="5"/>
      <c r="O131" s="5"/>
      <c r="P131" s="4"/>
    </row>
    <row r="132" spans="1:16">
      <c r="A132" s="1"/>
      <c r="B132" s="4"/>
      <c r="C132" s="5"/>
      <c r="D132" s="5"/>
      <c r="E132" s="5"/>
      <c r="F132" s="5"/>
      <c r="G132" s="5"/>
      <c r="H132" s="5"/>
      <c r="I132" s="5"/>
      <c r="J132" s="5"/>
      <c r="K132" s="5"/>
      <c r="L132" s="12"/>
      <c r="N132" s="5"/>
      <c r="O132" s="5"/>
      <c r="P132" s="4"/>
    </row>
    <row r="133" spans="1:16">
      <c r="A133" s="1"/>
      <c r="B133" s="4"/>
      <c r="C133" s="5"/>
      <c r="D133" s="5"/>
      <c r="E133" s="5"/>
      <c r="F133" s="5"/>
      <c r="G133" s="5"/>
      <c r="H133" s="5"/>
      <c r="I133" s="5"/>
      <c r="J133" s="5"/>
      <c r="K133" s="5"/>
      <c r="L133" s="12"/>
      <c r="N133" s="5"/>
      <c r="O133" s="5"/>
      <c r="P133" s="4"/>
    </row>
    <row r="134" spans="1:16">
      <c r="B134" s="2"/>
      <c r="C134" s="2"/>
      <c r="D134" s="10"/>
      <c r="E134" s="2"/>
      <c r="F134" s="2"/>
      <c r="G134" s="2"/>
      <c r="H134" s="11"/>
      <c r="I134" s="12"/>
      <c r="K134" s="13" t="s">
        <v>186</v>
      </c>
      <c r="L134" s="12"/>
      <c r="N134" s="12"/>
      <c r="O134" s="12"/>
      <c r="P134" s="12"/>
    </row>
    <row r="135" spans="1:16">
      <c r="A135" s="1"/>
      <c r="B135" s="4"/>
      <c r="C135" s="5"/>
      <c r="D135" s="5"/>
      <c r="E135" s="5"/>
      <c r="F135" s="5"/>
      <c r="G135" s="5"/>
      <c r="H135" s="5"/>
      <c r="I135" s="5"/>
      <c r="J135" s="5"/>
      <c r="K135" s="5"/>
      <c r="L135" s="12"/>
      <c r="N135" s="5"/>
      <c r="O135" s="5"/>
      <c r="P135" s="4"/>
    </row>
    <row r="136" spans="1:16">
      <c r="A136" s="1"/>
      <c r="B136" s="4" t="str">
        <f>B3</f>
        <v xml:space="preserve">Formula Rate - Non-Levelized </v>
      </c>
      <c r="C136" s="5"/>
      <c r="D136" s="5" t="str">
        <f>D3</f>
        <v xml:space="preserve">   Rate Formula Template</v>
      </c>
      <c r="E136" s="5"/>
      <c r="F136" s="5"/>
      <c r="G136" s="5"/>
      <c r="H136" s="5"/>
      <c r="J136" s="5"/>
      <c r="K136" s="56" t="str">
        <f>K3</f>
        <v>For the 12 months ended 12/31/13</v>
      </c>
      <c r="L136" s="4"/>
      <c r="N136" s="5"/>
      <c r="O136" s="5"/>
      <c r="P136" s="4"/>
    </row>
    <row r="137" spans="1:16">
      <c r="A137" s="1"/>
      <c r="B137" s="4"/>
      <c r="C137" s="5"/>
      <c r="D137" s="5" t="str">
        <f>D4</f>
        <v>Utilizing EIA Form 412 Data</v>
      </c>
      <c r="E137" s="5"/>
      <c r="F137" s="5"/>
      <c r="G137" s="5"/>
      <c r="H137" s="5"/>
      <c r="I137" s="5"/>
      <c r="J137" s="5"/>
      <c r="K137" s="5"/>
      <c r="L137" s="4"/>
      <c r="N137" s="5"/>
      <c r="O137" s="5"/>
      <c r="P137" s="4"/>
    </row>
    <row r="138" spans="1:16">
      <c r="A138" s="1"/>
      <c r="C138" s="5"/>
      <c r="D138" s="5"/>
      <c r="E138" s="5"/>
      <c r="F138" s="5"/>
      <c r="G138" s="5"/>
      <c r="H138" s="5"/>
      <c r="I138" s="5"/>
      <c r="J138" s="5"/>
      <c r="K138" s="5"/>
      <c r="L138" s="4"/>
      <c r="N138" s="5"/>
      <c r="O138" s="5"/>
      <c r="P138" s="4"/>
    </row>
    <row r="139" spans="1:16">
      <c r="A139" s="1"/>
      <c r="D139" s="3" t="str">
        <f>D6</f>
        <v>MUSCATINE POWER AND WATER</v>
      </c>
      <c r="J139" s="5"/>
      <c r="K139" s="5"/>
      <c r="L139" s="4"/>
      <c r="N139" s="5"/>
      <c r="O139" s="5"/>
      <c r="P139" s="4"/>
    </row>
    <row r="140" spans="1:16">
      <c r="A140" s="1"/>
      <c r="B140" s="14" t="s">
        <v>39</v>
      </c>
      <c r="C140" s="14" t="s">
        <v>40</v>
      </c>
      <c r="D140" s="14" t="s">
        <v>41</v>
      </c>
      <c r="E140" s="5" t="s">
        <v>2</v>
      </c>
      <c r="F140" s="5"/>
      <c r="G140" s="40" t="s">
        <v>42</v>
      </c>
      <c r="H140" s="5"/>
      <c r="I140" s="41" t="s">
        <v>43</v>
      </c>
      <c r="J140" s="5"/>
      <c r="K140" s="5"/>
      <c r="L140" s="4"/>
      <c r="N140" s="12"/>
      <c r="O140" s="5"/>
      <c r="P140" s="4"/>
    </row>
    <row r="141" spans="1:16">
      <c r="A141" s="1" t="s">
        <v>4</v>
      </c>
      <c r="B141" s="4"/>
      <c r="C141" s="42" t="s">
        <v>44</v>
      </c>
      <c r="D141" s="5"/>
      <c r="E141" s="5"/>
      <c r="F141" s="5"/>
      <c r="G141" s="1"/>
      <c r="H141" s="5"/>
      <c r="I141" s="43" t="s">
        <v>45</v>
      </c>
      <c r="J141" s="5"/>
      <c r="K141" s="43"/>
      <c r="L141" s="4"/>
      <c r="N141" s="1"/>
      <c r="O141" s="5"/>
      <c r="P141" s="4"/>
    </row>
    <row r="142" spans="1:16" ht="16.2" thickBot="1">
      <c r="A142" s="19" t="s">
        <v>6</v>
      </c>
      <c r="B142" s="4"/>
      <c r="C142" s="44" t="s">
        <v>46</v>
      </c>
      <c r="D142" s="43" t="s">
        <v>47</v>
      </c>
      <c r="E142" s="45"/>
      <c r="F142" s="43" t="s">
        <v>48</v>
      </c>
      <c r="H142" s="45"/>
      <c r="I142" s="1" t="s">
        <v>49</v>
      </c>
      <c r="J142" s="5"/>
      <c r="K142" s="43"/>
      <c r="L142" s="5" t="s">
        <v>2</v>
      </c>
      <c r="N142" s="43"/>
      <c r="O142" s="5"/>
      <c r="P142" s="4"/>
    </row>
    <row r="143" spans="1:16">
      <c r="A143" s="1"/>
      <c r="B143" s="4" t="s">
        <v>305</v>
      </c>
      <c r="C143" s="5"/>
      <c r="D143" s="5"/>
      <c r="E143" s="5"/>
      <c r="F143" s="5"/>
      <c r="G143" s="5"/>
      <c r="H143" s="5"/>
      <c r="I143" s="5"/>
      <c r="J143" s="5"/>
      <c r="K143" s="5"/>
      <c r="L143" s="4"/>
      <c r="N143" s="5"/>
      <c r="O143" s="5"/>
      <c r="P143" s="4"/>
    </row>
    <row r="144" spans="1:16">
      <c r="A144" s="1">
        <v>1</v>
      </c>
      <c r="B144" s="4" t="s">
        <v>78</v>
      </c>
      <c r="C144" s="3" t="s">
        <v>275</v>
      </c>
      <c r="D144" s="50">
        <f>+'Transmission O&amp;M'!C36</f>
        <v>1378413.6400000001</v>
      </c>
      <c r="E144" s="5"/>
      <c r="F144" s="5" t="s">
        <v>74</v>
      </c>
      <c r="G144" s="48">
        <f>I224</f>
        <v>0.54439417911789079</v>
      </c>
      <c r="H144" s="5"/>
      <c r="I144" s="5">
        <f t="shared" ref="I144:I152" si="1">+G144*D144</f>
        <v>750400.36203270394</v>
      </c>
      <c r="J144" s="12"/>
      <c r="K144" s="5"/>
      <c r="L144" s="4"/>
      <c r="N144" s="5"/>
      <c r="O144" s="14"/>
      <c r="P144" s="5" t="s">
        <v>2</v>
      </c>
    </row>
    <row r="145" spans="1:16">
      <c r="A145" s="57" t="s">
        <v>205</v>
      </c>
      <c r="B145" s="58" t="s">
        <v>240</v>
      </c>
      <c r="C145" s="59"/>
      <c r="D145" s="50">
        <f>+'LSE exp'!E20</f>
        <v>129536.37000000001</v>
      </c>
      <c r="E145" s="5"/>
      <c r="F145" s="154"/>
      <c r="G145" s="48">
        <v>1</v>
      </c>
      <c r="H145" s="5"/>
      <c r="I145" s="5">
        <f>+G145*D145</f>
        <v>129536.37000000001</v>
      </c>
      <c r="J145" s="12"/>
      <c r="K145" s="5"/>
      <c r="L145" s="4"/>
      <c r="N145" s="5"/>
      <c r="O145" s="14"/>
      <c r="P145" s="5"/>
    </row>
    <row r="146" spans="1:16">
      <c r="A146" s="1">
        <v>2</v>
      </c>
      <c r="B146" s="4" t="s">
        <v>79</v>
      </c>
      <c r="C146" s="3" t="s">
        <v>2</v>
      </c>
      <c r="D146" s="50">
        <v>156514</v>
      </c>
      <c r="E146" s="5"/>
      <c r="F146" s="5" t="s">
        <v>74</v>
      </c>
      <c r="G146" s="48">
        <f>+G144</f>
        <v>0.54439417911789079</v>
      </c>
      <c r="H146" s="5"/>
      <c r="I146" s="5">
        <f t="shared" si="1"/>
        <v>85205.310550457565</v>
      </c>
      <c r="J146" s="12"/>
      <c r="K146" s="5"/>
      <c r="L146" s="4"/>
      <c r="N146" s="5"/>
      <c r="O146" s="14"/>
      <c r="P146" s="5"/>
    </row>
    <row r="147" spans="1:16">
      <c r="A147" s="1">
        <v>3</v>
      </c>
      <c r="B147" s="4" t="s">
        <v>80</v>
      </c>
      <c r="C147" s="3" t="s">
        <v>276</v>
      </c>
      <c r="D147" s="50">
        <f>+'Admin &amp; General'!C47</f>
        <v>9934486.8899999987</v>
      </c>
      <c r="E147" s="5"/>
      <c r="F147" s="5" t="s">
        <v>56</v>
      </c>
      <c r="G147" s="48">
        <f>I231</f>
        <v>4.760924779328151E-2</v>
      </c>
      <c r="H147" s="5"/>
      <c r="I147" s="5">
        <f t="shared" si="1"/>
        <v>472973.44804511656</v>
      </c>
      <c r="J147" s="5"/>
      <c r="K147" s="5" t="s">
        <v>2</v>
      </c>
      <c r="L147" s="4"/>
      <c r="N147" s="5"/>
      <c r="O147" s="14"/>
      <c r="P147" s="4"/>
    </row>
    <row r="148" spans="1:16">
      <c r="A148" s="1">
        <v>4</v>
      </c>
      <c r="B148" s="4" t="s">
        <v>81</v>
      </c>
      <c r="C148" s="5"/>
      <c r="D148" s="50">
        <f>+'FERC Fees'!C13</f>
        <v>49798.69</v>
      </c>
      <c r="E148" s="5"/>
      <c r="F148" s="5" t="str">
        <f>+F147</f>
        <v>W/S</v>
      </c>
      <c r="G148" s="48">
        <f>I231</f>
        <v>4.760924779328151E-2</v>
      </c>
      <c r="H148" s="5"/>
      <c r="I148" s="5">
        <f t="shared" si="1"/>
        <v>2370.8781719908102</v>
      </c>
      <c r="J148" s="5"/>
      <c r="K148" s="5"/>
      <c r="L148" s="4"/>
      <c r="N148" s="5"/>
      <c r="O148" s="14"/>
      <c r="P148" s="4"/>
    </row>
    <row r="149" spans="1:16">
      <c r="A149" s="1">
        <v>5</v>
      </c>
      <c r="B149" s="4" t="s">
        <v>241</v>
      </c>
      <c r="C149" s="5"/>
      <c r="D149" s="50">
        <v>0</v>
      </c>
      <c r="E149" s="5"/>
      <c r="F149" s="5" t="str">
        <f>+F148</f>
        <v>W/S</v>
      </c>
      <c r="G149" s="48">
        <f>I231</f>
        <v>4.760924779328151E-2</v>
      </c>
      <c r="H149" s="5"/>
      <c r="I149" s="5">
        <f t="shared" si="1"/>
        <v>0</v>
      </c>
      <c r="J149" s="5"/>
      <c r="K149" s="5"/>
      <c r="L149" s="4"/>
      <c r="N149" s="5"/>
      <c r="O149" s="14"/>
      <c r="P149" s="4"/>
    </row>
    <row r="150" spans="1:16">
      <c r="A150" s="1" t="s">
        <v>178</v>
      </c>
      <c r="B150" s="4" t="s">
        <v>242</v>
      </c>
      <c r="C150" s="5"/>
      <c r="D150" s="50">
        <v>0</v>
      </c>
      <c r="E150" s="5"/>
      <c r="F150" s="5" t="str">
        <f>+F144</f>
        <v>TE</v>
      </c>
      <c r="G150" s="48">
        <f>+G144</f>
        <v>0.54439417911789079</v>
      </c>
      <c r="H150" s="5"/>
      <c r="I150" s="5">
        <f t="shared" si="1"/>
        <v>0</v>
      </c>
      <c r="J150" s="5"/>
      <c r="K150" s="5"/>
      <c r="L150" s="4"/>
      <c r="N150" s="5"/>
      <c r="O150" s="14"/>
      <c r="P150" s="4"/>
    </row>
    <row r="151" spans="1:16">
      <c r="A151" s="1">
        <v>6</v>
      </c>
      <c r="B151" s="4" t="s">
        <v>57</v>
      </c>
      <c r="C151" s="5"/>
      <c r="D151" s="50">
        <v>0</v>
      </c>
      <c r="E151" s="5"/>
      <c r="F151" s="5" t="s">
        <v>58</v>
      </c>
      <c r="G151" s="48">
        <f>K235</f>
        <v>4.760924779328151E-2</v>
      </c>
      <c r="H151" s="5"/>
      <c r="I151" s="5">
        <f t="shared" si="1"/>
        <v>0</v>
      </c>
      <c r="J151" s="5"/>
      <c r="K151" s="5"/>
      <c r="L151" s="4"/>
      <c r="N151" s="5"/>
      <c r="O151" s="14"/>
      <c r="P151" s="4"/>
    </row>
    <row r="152" spans="1:16" ht="16.2" thickBot="1">
      <c r="A152" s="1">
        <v>7</v>
      </c>
      <c r="B152" s="4" t="s">
        <v>82</v>
      </c>
      <c r="C152" s="5"/>
      <c r="D152" s="49">
        <v>0</v>
      </c>
      <c r="E152" s="5"/>
      <c r="F152" s="5" t="s">
        <v>52</v>
      </c>
      <c r="G152" s="48">
        <v>1</v>
      </c>
      <c r="H152" s="5"/>
      <c r="I152" s="26">
        <f t="shared" si="1"/>
        <v>0</v>
      </c>
      <c r="J152" s="5"/>
      <c r="K152" s="5"/>
      <c r="L152" s="4"/>
      <c r="N152" s="5"/>
      <c r="O152" s="39"/>
      <c r="P152" s="4"/>
    </row>
    <row r="153" spans="1:16">
      <c r="A153" s="57">
        <v>8</v>
      </c>
      <c r="B153" s="58" t="s">
        <v>277</v>
      </c>
      <c r="C153" s="8"/>
      <c r="D153" s="8">
        <f>+D144-D146+D147-D148-D149+D150+D151+D152-D145</f>
        <v>10977051.470000001</v>
      </c>
      <c r="E153" s="8"/>
      <c r="F153" s="8"/>
      <c r="G153" s="8"/>
      <c r="H153" s="8"/>
      <c r="I153" s="8">
        <f>+I144-I146+I147-I148-I149+I150+I151+I152-I145</f>
        <v>1006261.251355372</v>
      </c>
      <c r="J153" s="8"/>
      <c r="K153" s="8"/>
      <c r="L153" s="8"/>
      <c r="M153" s="59"/>
      <c r="N153" s="153"/>
      <c r="O153" s="60"/>
      <c r="P153" s="4"/>
    </row>
    <row r="154" spans="1:16">
      <c r="A154" s="1"/>
      <c r="C154" s="5"/>
      <c r="E154" s="5"/>
      <c r="F154" s="5"/>
      <c r="G154" s="5"/>
      <c r="H154" s="5"/>
      <c r="J154" s="5"/>
      <c r="K154" s="5"/>
      <c r="L154" s="5" t="s">
        <v>2</v>
      </c>
      <c r="N154" s="5"/>
      <c r="O154" s="5"/>
      <c r="P154" s="4"/>
    </row>
    <row r="155" spans="1:16">
      <c r="A155" s="1"/>
      <c r="B155" s="4" t="s">
        <v>306</v>
      </c>
      <c r="C155" s="5"/>
      <c r="D155" s="5"/>
      <c r="E155" s="5"/>
      <c r="F155" s="5"/>
      <c r="G155" s="5"/>
      <c r="H155" s="5"/>
      <c r="I155" s="5"/>
      <c r="J155" s="5"/>
      <c r="K155" s="5"/>
      <c r="L155" s="5" t="s">
        <v>2</v>
      </c>
      <c r="N155" s="5"/>
      <c r="O155" s="5"/>
      <c r="P155" s="4"/>
    </row>
    <row r="156" spans="1:16">
      <c r="A156" s="1">
        <v>9</v>
      </c>
      <c r="B156" s="4" t="str">
        <f>+B144</f>
        <v xml:space="preserve">  Transmission </v>
      </c>
      <c r="C156" s="3" t="s">
        <v>2</v>
      </c>
      <c r="D156" s="50">
        <f>+'Plant &amp; Depr'!K36</f>
        <v>367500</v>
      </c>
      <c r="E156" s="5"/>
      <c r="F156" s="5" t="s">
        <v>12</v>
      </c>
      <c r="G156" s="48">
        <f>+G109</f>
        <v>0.9950859592374105</v>
      </c>
      <c r="H156" s="5"/>
      <c r="I156" s="5">
        <f>+G156*D156</f>
        <v>365694.09001974837</v>
      </c>
      <c r="J156" s="5"/>
      <c r="K156" s="7"/>
      <c r="L156" s="4"/>
      <c r="N156" s="5"/>
      <c r="O156" s="14"/>
      <c r="P156" s="5" t="s">
        <v>2</v>
      </c>
    </row>
    <row r="157" spans="1:16">
      <c r="A157" s="1">
        <v>10</v>
      </c>
      <c r="B157" s="4" t="s">
        <v>307</v>
      </c>
      <c r="C157" s="3" t="s">
        <v>2</v>
      </c>
      <c r="D157" s="50">
        <f>+'Plant &amp; Depr'!K78</f>
        <v>1542012</v>
      </c>
      <c r="E157" s="5"/>
      <c r="F157" s="5" t="s">
        <v>56</v>
      </c>
      <c r="G157" s="48">
        <f>+G147</f>
        <v>4.760924779328151E-2</v>
      </c>
      <c r="H157" s="5"/>
      <c r="I157" s="5">
        <f>+G157*D157</f>
        <v>73414.031408213603</v>
      </c>
      <c r="J157" s="5"/>
      <c r="K157" s="7"/>
      <c r="L157" s="4"/>
      <c r="N157" s="5"/>
      <c r="O157" s="14"/>
      <c r="P157" s="5" t="s">
        <v>2</v>
      </c>
    </row>
    <row r="158" spans="1:16" ht="16.2" thickBot="1">
      <c r="A158" s="1">
        <v>11</v>
      </c>
      <c r="B158" s="4" t="str">
        <f>+B151</f>
        <v xml:space="preserve">  Common</v>
      </c>
      <c r="C158" s="5"/>
      <c r="D158" s="49">
        <v>0</v>
      </c>
      <c r="E158" s="5"/>
      <c r="F158" s="5" t="s">
        <v>58</v>
      </c>
      <c r="G158" s="48">
        <f>+G151</f>
        <v>4.760924779328151E-2</v>
      </c>
      <c r="H158" s="5"/>
      <c r="I158" s="26">
        <f>+G158*D158</f>
        <v>0</v>
      </c>
      <c r="J158" s="5"/>
      <c r="K158" s="7"/>
      <c r="L158" s="4"/>
      <c r="N158" s="5"/>
      <c r="O158" s="14"/>
      <c r="P158" s="5" t="s">
        <v>2</v>
      </c>
    </row>
    <row r="159" spans="1:16">
      <c r="A159" s="1">
        <v>12</v>
      </c>
      <c r="B159" s="4" t="s">
        <v>243</v>
      </c>
      <c r="C159" s="5"/>
      <c r="D159" s="5">
        <f>SUM(D156:D158)</f>
        <v>1909512</v>
      </c>
      <c r="E159" s="5"/>
      <c r="F159" s="5"/>
      <c r="G159" s="5"/>
      <c r="H159" s="5"/>
      <c r="I159" s="5">
        <f>SUM(I156:I158)</f>
        <v>439108.12142796197</v>
      </c>
      <c r="J159" s="5"/>
      <c r="K159" s="5"/>
      <c r="L159" s="4"/>
      <c r="N159" s="51"/>
      <c r="O159" s="5"/>
      <c r="P159" s="4"/>
    </row>
    <row r="160" spans="1:16">
      <c r="A160" s="1"/>
      <c r="B160" s="4"/>
      <c r="C160" s="5"/>
      <c r="D160" s="5"/>
      <c r="E160" s="5"/>
      <c r="F160" s="5"/>
      <c r="G160" s="5"/>
      <c r="H160" s="5"/>
      <c r="I160" s="5"/>
      <c r="J160" s="5"/>
      <c r="K160" s="5"/>
      <c r="L160" s="4"/>
      <c r="N160" s="5"/>
      <c r="O160" s="5"/>
      <c r="P160" s="4"/>
    </row>
    <row r="161" spans="1:16">
      <c r="A161" s="1" t="s">
        <v>2</v>
      </c>
      <c r="B161" s="4" t="s">
        <v>244</v>
      </c>
      <c r="D161" s="5"/>
      <c r="E161" s="5"/>
      <c r="F161" s="5"/>
      <c r="G161" s="5"/>
      <c r="H161" s="5"/>
      <c r="I161" s="5"/>
      <c r="J161" s="5"/>
      <c r="K161" s="5"/>
      <c r="L161" s="4"/>
      <c r="N161" s="5"/>
      <c r="O161" s="5"/>
      <c r="P161" s="4"/>
    </row>
    <row r="162" spans="1:16">
      <c r="A162" s="1"/>
      <c r="B162" s="4" t="s">
        <v>83</v>
      </c>
      <c r="E162" s="5"/>
      <c r="F162" s="5"/>
      <c r="H162" s="5"/>
      <c r="J162" s="5"/>
      <c r="K162" s="7"/>
      <c r="L162" s="4"/>
      <c r="N162" s="53"/>
      <c r="O162" s="14"/>
      <c r="P162" s="4"/>
    </row>
    <row r="163" spans="1:16">
      <c r="A163" s="1">
        <v>13</v>
      </c>
      <c r="B163" s="4" t="s">
        <v>84</v>
      </c>
      <c r="C163" s="5"/>
      <c r="D163" s="50">
        <f>+'Taxes other than inc tax'!E6</f>
        <v>1212915.4099999999</v>
      </c>
      <c r="E163" s="5"/>
      <c r="F163" s="5" t="s">
        <v>56</v>
      </c>
      <c r="G163" s="23">
        <f>+G157</f>
        <v>4.760924779328151E-2</v>
      </c>
      <c r="H163" s="5"/>
      <c r="I163" s="5">
        <f>+G163*D163</f>
        <v>57745.990306979635</v>
      </c>
      <c r="J163" s="5"/>
      <c r="K163" s="7"/>
      <c r="L163" s="4"/>
      <c r="N163" s="53"/>
      <c r="O163" s="14"/>
      <c r="P163" s="4"/>
    </row>
    <row r="164" spans="1:16">
      <c r="A164" s="1">
        <v>14</v>
      </c>
      <c r="B164" s="4" t="s">
        <v>85</v>
      </c>
      <c r="C164" s="5"/>
      <c r="D164" s="50">
        <v>0</v>
      </c>
      <c r="E164" s="5"/>
      <c r="F164" s="5" t="str">
        <f>+F163</f>
        <v>W/S</v>
      </c>
      <c r="G164" s="23">
        <f>+G163</f>
        <v>4.760924779328151E-2</v>
      </c>
      <c r="H164" s="5"/>
      <c r="I164" s="5">
        <f>+G164*D164</f>
        <v>0</v>
      </c>
      <c r="J164" s="5"/>
      <c r="K164" s="7"/>
      <c r="L164" s="4"/>
      <c r="N164" s="53"/>
      <c r="O164" s="14"/>
      <c r="P164" s="4"/>
    </row>
    <row r="165" spans="1:16">
      <c r="A165" s="1">
        <v>15</v>
      </c>
      <c r="B165" s="4" t="s">
        <v>86</v>
      </c>
      <c r="C165" s="5"/>
      <c r="E165" s="5"/>
      <c r="F165" s="5"/>
      <c r="H165" s="5"/>
      <c r="J165" s="5"/>
      <c r="K165" s="7"/>
      <c r="L165" s="4"/>
      <c r="N165" s="53"/>
      <c r="O165" s="14"/>
      <c r="P165" s="4"/>
    </row>
    <row r="166" spans="1:16">
      <c r="A166" s="1">
        <v>16</v>
      </c>
      <c r="B166" s="4" t="s">
        <v>87</v>
      </c>
      <c r="C166" s="5"/>
      <c r="D166" s="50">
        <v>0</v>
      </c>
      <c r="E166" s="5"/>
      <c r="F166" s="5" t="s">
        <v>76</v>
      </c>
      <c r="G166" s="23">
        <f>+G83</f>
        <v>3.1571854156843354E-2</v>
      </c>
      <c r="H166" s="5"/>
      <c r="I166" s="5">
        <f>+G166*D166</f>
        <v>0</v>
      </c>
      <c r="J166" s="5"/>
      <c r="K166" s="7"/>
      <c r="L166" s="4"/>
      <c r="N166" s="53"/>
      <c r="O166" s="14"/>
      <c r="P166" s="4"/>
    </row>
    <row r="167" spans="1:16">
      <c r="A167" s="1">
        <v>17</v>
      </c>
      <c r="B167" s="4" t="s">
        <v>88</v>
      </c>
      <c r="C167" s="5"/>
      <c r="D167" s="50">
        <v>0</v>
      </c>
      <c r="E167" s="5"/>
      <c r="F167" s="5" t="s">
        <v>52</v>
      </c>
      <c r="G167" s="61" t="s">
        <v>177</v>
      </c>
      <c r="H167" s="5"/>
      <c r="I167" s="5">
        <v>0</v>
      </c>
      <c r="J167" s="5"/>
      <c r="K167" s="7"/>
      <c r="L167" s="4"/>
      <c r="N167" s="53"/>
      <c r="O167" s="14"/>
      <c r="P167" s="4"/>
    </row>
    <row r="168" spans="1:16">
      <c r="A168" s="1">
        <v>18</v>
      </c>
      <c r="B168" s="4" t="s">
        <v>89</v>
      </c>
      <c r="C168" s="5"/>
      <c r="D168" s="50">
        <v>0</v>
      </c>
      <c r="E168" s="5"/>
      <c r="F168" s="5" t="str">
        <f>+F166</f>
        <v>GP</v>
      </c>
      <c r="G168" s="23">
        <f>+G166</f>
        <v>3.1571854156843354E-2</v>
      </c>
      <c r="H168" s="5"/>
      <c r="I168" s="5">
        <f>+G168*D168</f>
        <v>0</v>
      </c>
      <c r="J168" s="5"/>
      <c r="K168" s="7"/>
      <c r="L168" s="4"/>
      <c r="N168" s="53"/>
      <c r="O168" s="14"/>
      <c r="P168" s="4"/>
    </row>
    <row r="169" spans="1:16" ht="16.2" thickBot="1">
      <c r="A169" s="1">
        <v>19</v>
      </c>
      <c r="B169" s="4" t="s">
        <v>90</v>
      </c>
      <c r="C169" s="5"/>
      <c r="D169" s="49">
        <v>0</v>
      </c>
      <c r="E169" s="5"/>
      <c r="F169" s="5" t="s">
        <v>76</v>
      </c>
      <c r="G169" s="23">
        <f>+G168</f>
        <v>3.1571854156843354E-2</v>
      </c>
      <c r="H169" s="5"/>
      <c r="I169" s="26">
        <f>+G169*D169</f>
        <v>0</v>
      </c>
      <c r="J169" s="5"/>
      <c r="K169" s="7"/>
      <c r="L169" s="4"/>
      <c r="N169" s="53"/>
      <c r="O169" s="14"/>
      <c r="P169" s="4"/>
    </row>
    <row r="170" spans="1:16">
      <c r="A170" s="1">
        <v>20</v>
      </c>
      <c r="B170" s="4" t="s">
        <v>91</v>
      </c>
      <c r="C170" s="5"/>
      <c r="D170" s="5">
        <f>SUM(D163:D169)</f>
        <v>1212915.4099999999</v>
      </c>
      <c r="E170" s="5"/>
      <c r="F170" s="5"/>
      <c r="G170" s="23"/>
      <c r="H170" s="5"/>
      <c r="I170" s="5">
        <f>SUM(I163:I169)</f>
        <v>57745.990306979635</v>
      </c>
      <c r="J170" s="5"/>
      <c r="K170" s="5"/>
      <c r="L170" s="5" t="s">
        <v>2</v>
      </c>
      <c r="N170" s="51"/>
      <c r="O170" s="5"/>
      <c r="P170" s="4"/>
    </row>
    <row r="171" spans="1:16">
      <c r="A171" s="1" t="s">
        <v>92</v>
      </c>
      <c r="B171" s="4"/>
      <c r="C171" s="5"/>
      <c r="D171" s="5"/>
      <c r="E171" s="5"/>
      <c r="F171" s="5"/>
      <c r="G171" s="23"/>
      <c r="H171" s="5"/>
      <c r="I171" s="5"/>
      <c r="J171" s="5"/>
      <c r="K171" s="5"/>
      <c r="L171" s="5"/>
      <c r="N171" s="5"/>
      <c r="O171" s="5"/>
      <c r="P171" s="4"/>
    </row>
    <row r="172" spans="1:16">
      <c r="A172" s="1" t="s">
        <v>2</v>
      </c>
      <c r="B172" s="4" t="s">
        <v>93</v>
      </c>
      <c r="C172" s="62" t="s">
        <v>219</v>
      </c>
      <c r="D172" s="5"/>
      <c r="E172" s="5"/>
      <c r="F172" s="5" t="s">
        <v>52</v>
      </c>
      <c r="G172" s="63"/>
      <c r="H172" s="5"/>
      <c r="I172" s="5"/>
      <c r="J172" s="5"/>
      <c r="L172" s="5"/>
      <c r="N172" s="5"/>
      <c r="O172" s="39"/>
      <c r="P172" s="5" t="s">
        <v>2</v>
      </c>
    </row>
    <row r="173" spans="1:16">
      <c r="A173" s="1">
        <v>21</v>
      </c>
      <c r="B173" s="64" t="s">
        <v>94</v>
      </c>
      <c r="C173" s="5"/>
      <c r="D173" s="65">
        <f>IF(D288&gt;0,1-(((1-D289)*(1-D288))/(1-D289*D288*D290)),0)</f>
        <v>0</v>
      </c>
      <c r="E173" s="5"/>
      <c r="G173" s="63"/>
      <c r="H173" s="5"/>
      <c r="J173" s="5"/>
      <c r="L173" s="5"/>
      <c r="N173" s="5"/>
      <c r="O173" s="39"/>
      <c r="P173" s="5"/>
    </row>
    <row r="174" spans="1:16">
      <c r="A174" s="1">
        <v>22</v>
      </c>
      <c r="B174" s="3" t="s">
        <v>95</v>
      </c>
      <c r="C174" s="5"/>
      <c r="D174" s="65">
        <f>IF(I245&gt;0,(D173/(1-D173))*(1-I243/I245),0)</f>
        <v>0</v>
      </c>
      <c r="E174" s="5"/>
      <c r="G174" s="63"/>
      <c r="H174" s="5"/>
      <c r="J174" s="5"/>
      <c r="L174" s="5"/>
      <c r="N174" s="5"/>
      <c r="O174" s="14"/>
      <c r="P174" s="5"/>
    </row>
    <row r="175" spans="1:16">
      <c r="A175" s="1"/>
      <c r="B175" s="4" t="s">
        <v>308</v>
      </c>
      <c r="C175" s="5"/>
      <c r="D175" s="5"/>
      <c r="E175" s="5"/>
      <c r="G175" s="63"/>
      <c r="H175" s="5"/>
      <c r="J175" s="5"/>
      <c r="L175" s="5"/>
      <c r="N175" s="5"/>
      <c r="O175" s="14"/>
      <c r="P175" s="5"/>
    </row>
    <row r="176" spans="1:16">
      <c r="A176" s="1"/>
      <c r="B176" s="4" t="s">
        <v>96</v>
      </c>
      <c r="C176" s="5"/>
      <c r="D176" s="5"/>
      <c r="E176" s="5"/>
      <c r="G176" s="63"/>
      <c r="H176" s="5"/>
      <c r="J176" s="5"/>
      <c r="L176" s="5"/>
      <c r="N176" s="5"/>
      <c r="O176" s="14"/>
      <c r="P176" s="5"/>
    </row>
    <row r="177" spans="1:16">
      <c r="A177" s="1">
        <v>23</v>
      </c>
      <c r="B177" s="64" t="s">
        <v>97</v>
      </c>
      <c r="C177" s="5"/>
      <c r="D177" s="66">
        <f>IF(D173&gt;0,1/(1-D173),0)</f>
        <v>0</v>
      </c>
      <c r="E177" s="5"/>
      <c r="G177" s="63"/>
      <c r="H177" s="5"/>
      <c r="J177" s="5"/>
      <c r="L177" s="4"/>
      <c r="N177" s="5"/>
      <c r="O177" s="14"/>
      <c r="P177" s="5"/>
    </row>
    <row r="178" spans="1:16">
      <c r="A178" s="1">
        <v>24</v>
      </c>
      <c r="B178" s="58" t="s">
        <v>311</v>
      </c>
      <c r="C178" s="5"/>
      <c r="D178" s="50">
        <v>0</v>
      </c>
      <c r="E178" s="5"/>
      <c r="G178" s="63"/>
      <c r="H178" s="5"/>
      <c r="J178" s="5"/>
      <c r="L178" s="4"/>
      <c r="N178" s="5"/>
      <c r="O178" s="14"/>
      <c r="P178" s="5"/>
    </row>
    <row r="179" spans="1:16">
      <c r="A179" s="1"/>
      <c r="B179" s="4"/>
      <c r="C179" s="5"/>
      <c r="D179" s="5"/>
      <c r="E179" s="5"/>
      <c r="G179" s="63"/>
      <c r="H179" s="5"/>
      <c r="J179" s="5"/>
      <c r="L179" s="4"/>
      <c r="N179" s="5"/>
      <c r="O179" s="14"/>
      <c r="P179" s="5"/>
    </row>
    <row r="180" spans="1:16">
      <c r="A180" s="1">
        <v>25</v>
      </c>
      <c r="B180" s="64" t="s">
        <v>98</v>
      </c>
      <c r="C180" s="62"/>
      <c r="D180" s="5">
        <f>D174*D184</f>
        <v>0</v>
      </c>
      <c r="E180" s="5"/>
      <c r="F180" s="5" t="s">
        <v>52</v>
      </c>
      <c r="G180" s="23"/>
      <c r="H180" s="5"/>
      <c r="I180" s="5">
        <f>D174*I184</f>
        <v>0</v>
      </c>
      <c r="J180" s="5"/>
      <c r="L180" s="4"/>
      <c r="N180" s="5"/>
      <c r="O180" s="14"/>
      <c r="P180" s="5"/>
    </row>
    <row r="181" spans="1:16" ht="16.2" thickBot="1">
      <c r="A181" s="1">
        <v>26</v>
      </c>
      <c r="B181" s="3" t="s">
        <v>99</v>
      </c>
      <c r="C181" s="62"/>
      <c r="D181" s="26">
        <f>D177*D178</f>
        <v>0</v>
      </c>
      <c r="E181" s="5"/>
      <c r="F181" s="3" t="s">
        <v>63</v>
      </c>
      <c r="G181" s="23">
        <f>G99</f>
        <v>2.792229789104134E-2</v>
      </c>
      <c r="H181" s="5"/>
      <c r="I181" s="26">
        <f>G181*D181</f>
        <v>0</v>
      </c>
      <c r="J181" s="5"/>
      <c r="L181" s="5" t="s">
        <v>2</v>
      </c>
      <c r="N181" s="5"/>
      <c r="O181" s="14"/>
      <c r="P181" s="5"/>
    </row>
    <row r="182" spans="1:16">
      <c r="A182" s="1">
        <v>27</v>
      </c>
      <c r="B182" s="67" t="s">
        <v>100</v>
      </c>
      <c r="C182" s="3" t="s">
        <v>101</v>
      </c>
      <c r="D182" s="9">
        <f>+D180+D181</f>
        <v>0</v>
      </c>
      <c r="E182" s="5"/>
      <c r="F182" s="5" t="s">
        <v>2</v>
      </c>
      <c r="G182" s="23" t="s">
        <v>2</v>
      </c>
      <c r="H182" s="5"/>
      <c r="I182" s="9">
        <f>+I180+I181</f>
        <v>0</v>
      </c>
      <c r="J182" s="5"/>
      <c r="L182" s="5"/>
      <c r="N182" s="5"/>
      <c r="O182" s="14"/>
      <c r="P182" s="5"/>
    </row>
    <row r="183" spans="1:16">
      <c r="A183" s="1" t="s">
        <v>2</v>
      </c>
      <c r="C183" s="68"/>
      <c r="D183" s="5"/>
      <c r="E183" s="5"/>
      <c r="F183" s="5"/>
      <c r="G183" s="23"/>
      <c r="H183" s="5"/>
      <c r="I183" s="5"/>
      <c r="J183" s="5"/>
      <c r="K183" s="5"/>
      <c r="L183" s="5"/>
      <c r="N183" s="5"/>
      <c r="O183" s="5"/>
      <c r="P183" s="4"/>
    </row>
    <row r="184" spans="1:16">
      <c r="A184" s="1">
        <v>28</v>
      </c>
      <c r="B184" s="4" t="s">
        <v>102</v>
      </c>
      <c r="C184" s="7"/>
      <c r="D184" s="5">
        <f>+$I245*D117</f>
        <v>11447685.213646257</v>
      </c>
      <c r="E184" s="5"/>
      <c r="F184" s="5" t="s">
        <v>52</v>
      </c>
      <c r="G184" s="63"/>
      <c r="H184" s="5"/>
      <c r="I184" s="5">
        <f>+$I245*I117</f>
        <v>346015.26929808862</v>
      </c>
      <c r="J184" s="5"/>
      <c r="L184" s="4"/>
      <c r="N184" s="5"/>
      <c r="O184" s="14"/>
      <c r="P184" s="5" t="s">
        <v>2</v>
      </c>
    </row>
    <row r="185" spans="1:16">
      <c r="A185" s="1"/>
      <c r="B185" s="67" t="s">
        <v>103</v>
      </c>
      <c r="D185" s="5"/>
      <c r="E185" s="5"/>
      <c r="F185" s="5"/>
      <c r="G185" s="63"/>
      <c r="H185" s="5"/>
      <c r="I185" s="5"/>
      <c r="J185" s="5"/>
      <c r="K185" s="7"/>
      <c r="L185" s="12"/>
      <c r="N185" s="5"/>
      <c r="O185" s="14"/>
      <c r="P185" s="5"/>
    </row>
    <row r="186" spans="1:16">
      <c r="A186" s="1"/>
      <c r="B186" s="4"/>
      <c r="D186" s="6"/>
      <c r="E186" s="5"/>
      <c r="F186" s="5"/>
      <c r="G186" s="63"/>
      <c r="H186" s="5"/>
      <c r="I186" s="6"/>
      <c r="J186" s="5"/>
      <c r="K186" s="7"/>
      <c r="L186" s="12"/>
      <c r="N186" s="5"/>
      <c r="O186" s="14"/>
      <c r="P186" s="5"/>
    </row>
    <row r="187" spans="1:16">
      <c r="A187" s="1">
        <v>29</v>
      </c>
      <c r="B187" s="4" t="s">
        <v>245</v>
      </c>
      <c r="C187" s="5"/>
      <c r="D187" s="6">
        <f>+D184+D182+D170+D159+D153</f>
        <v>25547164.093646258</v>
      </c>
      <c r="E187" s="5"/>
      <c r="F187" s="5"/>
      <c r="G187" s="5"/>
      <c r="H187" s="5"/>
      <c r="I187" s="6">
        <f>+I184+I182+I170+I159+I153</f>
        <v>1849130.6323884022</v>
      </c>
      <c r="J187" s="12"/>
      <c r="K187" s="12"/>
      <c r="L187" s="12"/>
      <c r="N187" s="12"/>
      <c r="O187" s="39"/>
      <c r="P187" s="4"/>
    </row>
    <row r="188" spans="1:16">
      <c r="A188" s="1"/>
      <c r="B188" s="4"/>
      <c r="C188" s="5"/>
      <c r="D188" s="6"/>
      <c r="E188" s="5"/>
      <c r="F188" s="5"/>
      <c r="G188" s="5"/>
      <c r="H188" s="5"/>
      <c r="I188" s="6"/>
      <c r="J188" s="12"/>
      <c r="K188" s="12"/>
      <c r="L188" s="12"/>
      <c r="N188" s="12"/>
      <c r="O188" s="39"/>
      <c r="P188" s="4"/>
    </row>
    <row r="189" spans="1:16">
      <c r="A189" s="1">
        <v>30</v>
      </c>
      <c r="B189" s="3" t="s">
        <v>284</v>
      </c>
      <c r="J189" s="12"/>
      <c r="K189" s="12"/>
      <c r="L189" s="12"/>
      <c r="N189" s="12"/>
      <c r="O189" s="39"/>
      <c r="P189" s="4"/>
    </row>
    <row r="190" spans="1:16">
      <c r="A190" s="1"/>
      <c r="B190" s="3" t="s">
        <v>214</v>
      </c>
      <c r="J190" s="12"/>
      <c r="K190" s="12"/>
      <c r="L190" s="12"/>
      <c r="N190" s="12"/>
      <c r="O190" s="39"/>
      <c r="P190" s="4"/>
    </row>
    <row r="191" spans="1:16">
      <c r="A191" s="1"/>
      <c r="B191" s="3" t="s">
        <v>215</v>
      </c>
      <c r="D191" s="155">
        <v>0</v>
      </c>
      <c r="E191" s="4"/>
      <c r="F191" s="4"/>
      <c r="G191" s="4"/>
      <c r="H191" s="4"/>
      <c r="I191" s="155">
        <v>0</v>
      </c>
      <c r="J191" s="12"/>
      <c r="K191" s="12"/>
      <c r="L191" s="12"/>
      <c r="N191" s="12"/>
      <c r="O191" s="39"/>
      <c r="P191" s="4"/>
    </row>
    <row r="192" spans="1:16">
      <c r="A192" s="1"/>
      <c r="B192" s="4"/>
      <c r="C192" s="5"/>
      <c r="D192" s="6"/>
      <c r="E192" s="5"/>
      <c r="F192" s="5"/>
      <c r="G192" s="5"/>
      <c r="H192" s="5"/>
      <c r="I192" s="6"/>
      <c r="J192" s="12"/>
      <c r="K192" s="12"/>
      <c r="L192" s="12"/>
      <c r="N192" s="12"/>
      <c r="O192" s="39"/>
      <c r="P192" s="4"/>
    </row>
    <row r="193" spans="1:16">
      <c r="A193" s="1" t="s">
        <v>288</v>
      </c>
      <c r="B193" s="59" t="s">
        <v>312</v>
      </c>
      <c r="C193" s="59"/>
      <c r="D193" s="59"/>
      <c r="J193" s="5"/>
      <c r="K193" s="5"/>
      <c r="L193" s="12"/>
      <c r="N193" s="5"/>
      <c r="O193" s="14"/>
      <c r="P193" s="5" t="s">
        <v>2</v>
      </c>
    </row>
    <row r="194" spans="1:16">
      <c r="A194" s="1"/>
      <c r="B194" s="3" t="s">
        <v>214</v>
      </c>
      <c r="J194" s="5"/>
      <c r="K194" s="5"/>
      <c r="L194" s="12"/>
      <c r="N194" s="5"/>
      <c r="O194" s="14"/>
      <c r="P194" s="5"/>
    </row>
    <row r="195" spans="1:16" ht="16.2" thickBot="1">
      <c r="A195" s="1"/>
      <c r="B195" s="3" t="s">
        <v>289</v>
      </c>
      <c r="D195" s="145">
        <v>0</v>
      </c>
      <c r="E195" s="4"/>
      <c r="F195" s="4"/>
      <c r="G195" s="4"/>
      <c r="H195" s="4"/>
      <c r="I195" s="145">
        <v>0</v>
      </c>
      <c r="J195" s="5"/>
      <c r="K195" s="5"/>
      <c r="L195" s="12"/>
      <c r="N195" s="5"/>
      <c r="O195" s="14"/>
      <c r="P195" s="5"/>
    </row>
    <row r="196" spans="1:16" ht="16.2" thickBot="1">
      <c r="A196" s="57">
        <v>31</v>
      </c>
      <c r="B196" s="59" t="s">
        <v>213</v>
      </c>
      <c r="C196" s="59"/>
      <c r="D196" s="152">
        <f>+D187-D191-D195</f>
        <v>25547164.093646258</v>
      </c>
      <c r="E196" s="59"/>
      <c r="F196" s="59"/>
      <c r="G196" s="59"/>
      <c r="H196" s="59"/>
      <c r="I196" s="152">
        <f>+I187-I191-I195</f>
        <v>1849130.6323884022</v>
      </c>
      <c r="J196" s="8"/>
      <c r="K196" s="8"/>
      <c r="L196" s="143"/>
      <c r="M196" s="59"/>
      <c r="N196" s="8"/>
      <c r="O196" s="14"/>
      <c r="P196" s="5"/>
    </row>
    <row r="197" spans="1:16" ht="16.2" thickTop="1">
      <c r="A197" s="1"/>
      <c r="B197" s="3" t="s">
        <v>290</v>
      </c>
      <c r="J197" s="5"/>
      <c r="K197" s="5"/>
      <c r="L197" s="12"/>
      <c r="N197" s="5"/>
      <c r="O197" s="14"/>
      <c r="P197" s="5"/>
    </row>
    <row r="198" spans="1:16" s="70" customFormat="1">
      <c r="A198" s="69"/>
      <c r="J198" s="71"/>
      <c r="K198" s="71"/>
      <c r="L198" s="72"/>
      <c r="N198" s="71"/>
      <c r="O198" s="73"/>
      <c r="P198" s="71"/>
    </row>
    <row r="199" spans="1:16" s="70" customFormat="1">
      <c r="A199" s="69"/>
      <c r="J199" s="71"/>
      <c r="K199" s="71"/>
      <c r="L199" s="72"/>
      <c r="N199" s="71"/>
      <c r="O199" s="73"/>
      <c r="P199" s="71"/>
    </row>
    <row r="200" spans="1:16" s="70" customFormat="1">
      <c r="A200" s="69"/>
      <c r="J200" s="71"/>
      <c r="K200" s="71"/>
      <c r="L200" s="72"/>
      <c r="N200" s="71"/>
      <c r="O200" s="73"/>
      <c r="P200" s="71"/>
    </row>
    <row r="201" spans="1:16">
      <c r="B201" s="2"/>
      <c r="C201" s="2"/>
      <c r="D201" s="10"/>
      <c r="E201" s="2"/>
      <c r="F201" s="2"/>
      <c r="G201" s="2"/>
      <c r="H201" s="11"/>
      <c r="I201" s="11"/>
      <c r="J201" s="12"/>
      <c r="K201" s="13" t="s">
        <v>187</v>
      </c>
      <c r="L201" s="4"/>
      <c r="N201" s="12"/>
      <c r="O201" s="12"/>
      <c r="P201" s="12"/>
    </row>
    <row r="202" spans="1:16">
      <c r="A202" s="1"/>
      <c r="J202" s="5"/>
      <c r="K202" s="5"/>
      <c r="L202" s="4"/>
      <c r="N202" s="5"/>
      <c r="O202" s="14"/>
      <c r="P202" s="5"/>
    </row>
    <row r="203" spans="1:16">
      <c r="A203" s="1"/>
      <c r="B203" s="4" t="str">
        <f>B3</f>
        <v xml:space="preserve">Formula Rate - Non-Levelized </v>
      </c>
      <c r="D203" s="3" t="str">
        <f>D3</f>
        <v xml:space="preserve">   Rate Formula Template</v>
      </c>
      <c r="J203" s="5"/>
      <c r="K203" s="74" t="str">
        <f>K3</f>
        <v>For the 12 months ended 12/31/13</v>
      </c>
      <c r="L203" s="4"/>
      <c r="N203" s="5"/>
      <c r="O203" s="5"/>
      <c r="P203" s="4"/>
    </row>
    <row r="204" spans="1:16">
      <c r="A204" s="1"/>
      <c r="B204" s="4"/>
      <c r="D204" s="3" t="str">
        <f>D4</f>
        <v>Utilizing EIA Form 412 Data</v>
      </c>
      <c r="J204" s="5"/>
      <c r="K204" s="5"/>
      <c r="L204" s="4"/>
      <c r="N204" s="5"/>
      <c r="O204" s="5"/>
      <c r="P204" s="4"/>
    </row>
    <row r="205" spans="1:16" ht="9" customHeight="1">
      <c r="A205" s="1"/>
      <c r="J205" s="5"/>
      <c r="K205" s="5"/>
      <c r="L205" s="4"/>
      <c r="N205" s="5"/>
      <c r="O205" s="5"/>
      <c r="P205" s="4"/>
    </row>
    <row r="206" spans="1:16">
      <c r="A206" s="1"/>
      <c r="D206" s="3" t="str">
        <f>D6</f>
        <v>MUSCATINE POWER AND WATER</v>
      </c>
      <c r="J206" s="5"/>
      <c r="K206" s="5"/>
      <c r="L206" s="4"/>
      <c r="N206" s="5"/>
      <c r="O206" s="5"/>
      <c r="P206" s="4"/>
    </row>
    <row r="207" spans="1:16">
      <c r="A207" s="1" t="s">
        <v>4</v>
      </c>
      <c r="C207" s="4"/>
      <c r="D207" s="4"/>
      <c r="E207" s="4"/>
      <c r="F207" s="4"/>
      <c r="G207" s="4"/>
      <c r="H207" s="4"/>
      <c r="I207" s="4"/>
      <c r="J207" s="4"/>
      <c r="K207" s="4"/>
      <c r="L207" s="75"/>
      <c r="N207" s="4"/>
      <c r="O207" s="4"/>
      <c r="P207" s="4"/>
    </row>
    <row r="208" spans="1:16" ht="16.2" thickBot="1">
      <c r="A208" s="19" t="s">
        <v>6</v>
      </c>
      <c r="C208" s="46" t="s">
        <v>104</v>
      </c>
      <c r="E208" s="12"/>
      <c r="F208" s="12"/>
      <c r="G208" s="12"/>
      <c r="H208" s="12"/>
      <c r="I208" s="12"/>
      <c r="J208" s="5"/>
      <c r="K208" s="5"/>
      <c r="L208" s="75"/>
      <c r="N208" s="12"/>
      <c r="O208" s="5"/>
      <c r="P208" s="4"/>
    </row>
    <row r="209" spans="1:17">
      <c r="A209" s="1"/>
      <c r="B209" s="2" t="s">
        <v>107</v>
      </c>
      <c r="C209" s="12"/>
      <c r="D209" s="12"/>
      <c r="E209" s="12"/>
      <c r="F209" s="12"/>
      <c r="G209" s="12"/>
      <c r="H209" s="12"/>
      <c r="I209" s="12"/>
      <c r="J209" s="5"/>
      <c r="K209" s="5"/>
      <c r="L209" s="4"/>
      <c r="N209" s="12"/>
      <c r="O209" s="5"/>
      <c r="P209" s="4"/>
    </row>
    <row r="210" spans="1:17">
      <c r="A210" s="1">
        <v>1</v>
      </c>
      <c r="B210" s="11" t="s">
        <v>246</v>
      </c>
      <c r="C210" s="12"/>
      <c r="D210" s="5"/>
      <c r="E210" s="5"/>
      <c r="F210" s="5"/>
      <c r="G210" s="5"/>
      <c r="H210" s="5"/>
      <c r="I210" s="5">
        <f>D79</f>
        <v>12082629.960000003</v>
      </c>
      <c r="J210" s="5"/>
      <c r="K210" s="5"/>
      <c r="L210" s="4"/>
      <c r="N210" s="12"/>
      <c r="O210" s="5"/>
      <c r="P210" s="4"/>
    </row>
    <row r="211" spans="1:17">
      <c r="A211" s="1">
        <v>2</v>
      </c>
      <c r="B211" s="11" t="s">
        <v>247</v>
      </c>
      <c r="I211" s="50">
        <f>+'Radial Line Allocation'!B22</f>
        <v>59374.536142725316</v>
      </c>
      <c r="J211" s="5"/>
      <c r="K211" s="5"/>
      <c r="L211" s="4"/>
      <c r="N211" s="12"/>
      <c r="O211" s="5"/>
      <c r="P211" s="4"/>
    </row>
    <row r="212" spans="1:17" ht="16.2" thickBot="1">
      <c r="A212" s="1">
        <v>3</v>
      </c>
      <c r="B212" s="76" t="s">
        <v>248</v>
      </c>
      <c r="C212" s="77"/>
      <c r="D212" s="6"/>
      <c r="E212" s="5"/>
      <c r="F212" s="5"/>
      <c r="G212" s="53"/>
      <c r="H212" s="5"/>
      <c r="I212" s="49">
        <v>0</v>
      </c>
      <c r="J212" s="5"/>
      <c r="K212" s="5"/>
      <c r="L212" s="4"/>
      <c r="N212" s="12"/>
      <c r="O212" s="5"/>
      <c r="P212" s="4"/>
    </row>
    <row r="213" spans="1:17">
      <c r="A213" s="1">
        <v>4</v>
      </c>
      <c r="B213" s="11" t="s">
        <v>179</v>
      </c>
      <c r="C213" s="12"/>
      <c r="D213" s="5"/>
      <c r="E213" s="5"/>
      <c r="F213" s="5"/>
      <c r="G213" s="53"/>
      <c r="H213" s="5"/>
      <c r="I213" s="5">
        <f>I210-I211-I212</f>
        <v>12023255.423857277</v>
      </c>
      <c r="J213" s="5"/>
      <c r="K213" s="5"/>
      <c r="L213" s="4"/>
      <c r="N213" s="12"/>
      <c r="O213" s="5"/>
      <c r="P213" s="4"/>
    </row>
    <row r="214" spans="1:17">
      <c r="A214" s="1"/>
      <c r="C214" s="12"/>
      <c r="D214" s="5"/>
      <c r="E214" s="5"/>
      <c r="F214" s="5"/>
      <c r="G214" s="53"/>
      <c r="H214" s="5"/>
      <c r="J214" s="5"/>
      <c r="K214" s="5"/>
    </row>
    <row r="215" spans="1:17">
      <c r="A215" s="1">
        <v>5</v>
      </c>
      <c r="B215" s="11" t="s">
        <v>249</v>
      </c>
      <c r="C215" s="18"/>
      <c r="D215" s="78"/>
      <c r="E215" s="78"/>
      <c r="F215" s="78"/>
      <c r="G215" s="41"/>
      <c r="H215" s="5" t="s">
        <v>108</v>
      </c>
      <c r="I215" s="52">
        <f>IF(I210&gt;0,I213/I210,0)</f>
        <v>0.9950859592374105</v>
      </c>
      <c r="J215" s="5"/>
      <c r="K215" s="5"/>
    </row>
    <row r="216" spans="1:17">
      <c r="J216" s="5"/>
      <c r="K216" s="5"/>
      <c r="M216" s="151" t="s">
        <v>283</v>
      </c>
    </row>
    <row r="217" spans="1:17">
      <c r="B217" s="4" t="s">
        <v>105</v>
      </c>
      <c r="J217" s="5"/>
      <c r="K217" s="5"/>
    </row>
    <row r="218" spans="1:17">
      <c r="A218" s="1">
        <v>6</v>
      </c>
      <c r="B218" s="3" t="s">
        <v>250</v>
      </c>
      <c r="D218" s="12"/>
      <c r="E218" s="12"/>
      <c r="F218" s="12"/>
      <c r="G218" s="14"/>
      <c r="H218" s="12"/>
      <c r="I218" s="5">
        <f>D144</f>
        <v>1378413.6400000001</v>
      </c>
      <c r="J218" s="5"/>
      <c r="K218" s="5"/>
      <c r="L218" s="408" t="s">
        <v>194</v>
      </c>
      <c r="M218" s="409"/>
      <c r="N218" s="409"/>
      <c r="O218" s="409"/>
      <c r="P218" s="409"/>
      <c r="Q218" s="410"/>
    </row>
    <row r="219" spans="1:17" ht="16.2" thickBot="1">
      <c r="A219" s="1">
        <v>7</v>
      </c>
      <c r="B219" s="76" t="s">
        <v>251</v>
      </c>
      <c r="C219" s="77"/>
      <c r="D219" s="6"/>
      <c r="E219" s="6"/>
      <c r="F219" s="5"/>
      <c r="G219" s="5"/>
      <c r="H219" s="5"/>
      <c r="I219" s="49">
        <f>+'Transmission O&amp;M'!C8+'Transmission O&amp;M'!C9+'Transmission O&amp;M'!C10+'Transmission O&amp;M'!C7+'Transmission O&amp;M'!C11</f>
        <v>624307.57000000007</v>
      </c>
      <c r="J219" s="5"/>
      <c r="K219" s="5"/>
      <c r="L219" s="148">
        <f>+I219</f>
        <v>624307.57000000007</v>
      </c>
      <c r="M219" s="82" t="s">
        <v>201</v>
      </c>
      <c r="N219" s="125"/>
      <c r="O219" s="6"/>
      <c r="P219" s="80"/>
      <c r="Q219" s="81"/>
    </row>
    <row r="220" spans="1:17">
      <c r="A220" s="1">
        <v>8</v>
      </c>
      <c r="B220" s="11" t="s">
        <v>278</v>
      </c>
      <c r="C220" s="18"/>
      <c r="D220" s="78"/>
      <c r="E220" s="78"/>
      <c r="F220" s="78"/>
      <c r="G220" s="41"/>
      <c r="H220" s="78"/>
      <c r="I220" s="5">
        <f>+I218-I219</f>
        <v>754106.07000000007</v>
      </c>
      <c r="J220" s="5"/>
      <c r="K220" s="5"/>
      <c r="L220" s="147">
        <v>111931</v>
      </c>
      <c r="M220" s="88" t="s">
        <v>203</v>
      </c>
      <c r="N220" s="79"/>
      <c r="O220" s="79"/>
      <c r="P220" s="79"/>
      <c r="Q220" s="81"/>
    </row>
    <row r="221" spans="1:17">
      <c r="A221" s="1"/>
      <c r="B221" s="11"/>
      <c r="C221" s="12"/>
      <c r="D221" s="5"/>
      <c r="E221" s="5"/>
      <c r="F221" s="5"/>
      <c r="G221" s="5"/>
      <c r="J221" s="5"/>
      <c r="K221" s="5"/>
      <c r="L221" s="148">
        <f>L219-L220</f>
        <v>512376.57000000007</v>
      </c>
      <c r="M221" s="88" t="s">
        <v>204</v>
      </c>
      <c r="N221" s="79"/>
      <c r="O221" s="79"/>
      <c r="P221" s="79"/>
      <c r="Q221" s="81"/>
    </row>
    <row r="222" spans="1:17">
      <c r="A222" s="1">
        <v>9</v>
      </c>
      <c r="B222" s="11" t="s">
        <v>252</v>
      </c>
      <c r="C222" s="12"/>
      <c r="D222" s="5"/>
      <c r="E222" s="5"/>
      <c r="F222" s="5"/>
      <c r="G222" s="5"/>
      <c r="H222" s="5"/>
      <c r="I222" s="48">
        <f>IF(I218&gt;0,I220/I218,0)</f>
        <v>0.54708256514350806</v>
      </c>
      <c r="J222" s="5"/>
      <c r="K222" s="5"/>
      <c r="L222" s="126"/>
      <c r="M222" s="84" t="s">
        <v>195</v>
      </c>
      <c r="N222" s="127"/>
      <c r="O222" s="127"/>
      <c r="P222" s="127"/>
      <c r="Q222" s="128"/>
    </row>
    <row r="223" spans="1:17">
      <c r="A223" s="1">
        <v>10</v>
      </c>
      <c r="B223" s="11" t="s">
        <v>253</v>
      </c>
      <c r="C223" s="12"/>
      <c r="D223" s="5"/>
      <c r="E223" s="5"/>
      <c r="F223" s="5"/>
      <c r="G223" s="5"/>
      <c r="H223" s="12" t="s">
        <v>12</v>
      </c>
      <c r="I223" s="83">
        <f>I215</f>
        <v>0.9950859592374105</v>
      </c>
      <c r="J223" s="5"/>
      <c r="K223" s="5"/>
      <c r="L223" s="146">
        <v>0</v>
      </c>
      <c r="M223" s="85" t="s">
        <v>196</v>
      </c>
      <c r="N223" s="6"/>
      <c r="O223" s="80"/>
      <c r="P223" s="79"/>
      <c r="Q223" s="81"/>
    </row>
    <row r="224" spans="1:17">
      <c r="A224" s="1">
        <v>11</v>
      </c>
      <c r="B224" s="11" t="s">
        <v>254</v>
      </c>
      <c r="C224" s="12"/>
      <c r="D224" s="12"/>
      <c r="E224" s="12"/>
      <c r="F224" s="12"/>
      <c r="G224" s="12"/>
      <c r="H224" s="12" t="s">
        <v>106</v>
      </c>
      <c r="I224" s="86">
        <f>+I223*I222</f>
        <v>0.54439417911789079</v>
      </c>
      <c r="J224" s="5"/>
      <c r="K224" s="5"/>
      <c r="L224" s="146">
        <v>0</v>
      </c>
      <c r="M224" s="85" t="s">
        <v>197</v>
      </c>
      <c r="N224" s="6"/>
      <c r="O224" s="80"/>
      <c r="P224" s="79"/>
      <c r="Q224" s="81"/>
    </row>
    <row r="225" spans="1:17">
      <c r="A225" s="1"/>
      <c r="C225" s="12"/>
      <c r="D225" s="5"/>
      <c r="E225" s="5"/>
      <c r="F225" s="5"/>
      <c r="G225" s="53"/>
      <c r="H225" s="5"/>
      <c r="L225" s="147">
        <v>0</v>
      </c>
      <c r="M225" s="85" t="s">
        <v>198</v>
      </c>
      <c r="N225" s="6"/>
      <c r="O225" s="80"/>
      <c r="P225" s="79"/>
      <c r="Q225" s="81"/>
    </row>
    <row r="226" spans="1:17" ht="16.2" thickBot="1">
      <c r="A226" s="1" t="s">
        <v>2</v>
      </c>
      <c r="B226" s="4" t="s">
        <v>109</v>
      </c>
      <c r="C226" s="5"/>
      <c r="D226" s="87" t="s">
        <v>110</v>
      </c>
      <c r="E226" s="87" t="s">
        <v>12</v>
      </c>
      <c r="F226" s="5"/>
      <c r="G226" s="87" t="s">
        <v>111</v>
      </c>
      <c r="H226" s="5"/>
      <c r="I226" s="5"/>
      <c r="L226" s="149">
        <f>SUM(L223:L225)</f>
        <v>0</v>
      </c>
      <c r="M226" s="88" t="s">
        <v>199</v>
      </c>
      <c r="N226" s="79"/>
      <c r="O226" s="79"/>
      <c r="P226" s="79"/>
      <c r="Q226" s="81"/>
    </row>
    <row r="227" spans="1:17">
      <c r="A227" s="1">
        <v>12</v>
      </c>
      <c r="B227" s="4" t="s">
        <v>51</v>
      </c>
      <c r="C227" s="5"/>
      <c r="D227" s="50">
        <f>+'Wages &amp; Salaries'!D40</f>
        <v>8573558.9199999999</v>
      </c>
      <c r="E227" s="89">
        <v>0</v>
      </c>
      <c r="F227" s="89"/>
      <c r="G227" s="5">
        <f>D227*E227</f>
        <v>0</v>
      </c>
      <c r="H227" s="5"/>
      <c r="I227" s="5"/>
      <c r="J227" s="5"/>
      <c r="K227" s="5"/>
      <c r="L227" s="150">
        <f>L221-L226</f>
        <v>512376.57000000007</v>
      </c>
      <c r="M227" s="90" t="s">
        <v>200</v>
      </c>
      <c r="N227" s="91"/>
      <c r="O227" s="91"/>
      <c r="P227" s="91"/>
      <c r="Q227" s="92"/>
    </row>
    <row r="228" spans="1:17">
      <c r="A228" s="1">
        <v>13</v>
      </c>
      <c r="B228" s="4" t="s">
        <v>53</v>
      </c>
      <c r="C228" s="5"/>
      <c r="D228" s="50">
        <f>+'Wages &amp; Salaries'!D49</f>
        <v>557927.25</v>
      </c>
      <c r="E228" s="89">
        <f>+I215</f>
        <v>0.9950859592374105</v>
      </c>
      <c r="F228" s="89"/>
      <c r="G228" s="5">
        <f>D228*E228</f>
        <v>555185.57275094057</v>
      </c>
      <c r="H228" s="5"/>
      <c r="I228" s="5"/>
      <c r="J228" s="5"/>
      <c r="K228" s="5"/>
      <c r="L228" s="129"/>
      <c r="M228" s="88"/>
      <c r="N228" s="6"/>
      <c r="O228" s="80"/>
      <c r="P228" s="79"/>
      <c r="Q228" s="79"/>
    </row>
    <row r="229" spans="1:17">
      <c r="A229" s="1">
        <v>14</v>
      </c>
      <c r="B229" s="4" t="s">
        <v>54</v>
      </c>
      <c r="C229" s="5"/>
      <c r="D229" s="50">
        <f>+'Wages &amp; Salaries'!D68</f>
        <v>2089593.5800000005</v>
      </c>
      <c r="E229" s="89">
        <v>0</v>
      </c>
      <c r="F229" s="89"/>
      <c r="G229" s="5">
        <f>D229*E229</f>
        <v>0</v>
      </c>
      <c r="H229" s="5"/>
      <c r="I229" s="93" t="s">
        <v>112</v>
      </c>
      <c r="J229" s="5"/>
      <c r="K229" s="5"/>
      <c r="L229" s="4"/>
      <c r="N229" s="5"/>
      <c r="O229" s="5"/>
      <c r="P229" s="4"/>
    </row>
    <row r="230" spans="1:17" ht="16.2" thickBot="1">
      <c r="A230" s="1">
        <v>15</v>
      </c>
      <c r="B230" s="4" t="s">
        <v>113</v>
      </c>
      <c r="C230" s="5"/>
      <c r="D230" s="49">
        <f>+'Wages &amp; Salaries'!D74</f>
        <v>440217.12999999995</v>
      </c>
      <c r="E230" s="89">
        <v>0</v>
      </c>
      <c r="F230" s="89"/>
      <c r="G230" s="26">
        <f>D230*E230</f>
        <v>0</v>
      </c>
      <c r="H230" s="5"/>
      <c r="I230" s="19" t="s">
        <v>114</v>
      </c>
      <c r="J230" s="5"/>
      <c r="K230" s="5"/>
      <c r="L230" s="4"/>
      <c r="N230" s="5"/>
      <c r="O230" s="5"/>
      <c r="P230" s="4"/>
    </row>
    <row r="231" spans="1:17">
      <c r="A231" s="1">
        <v>16</v>
      </c>
      <c r="B231" s="4" t="s">
        <v>256</v>
      </c>
      <c r="C231" s="5"/>
      <c r="D231" s="5">
        <f>SUM(D227:D230)</f>
        <v>11661296.880000001</v>
      </c>
      <c r="E231" s="5"/>
      <c r="F231" s="5"/>
      <c r="G231" s="5">
        <f>SUM(G227:G230)</f>
        <v>555185.57275094057</v>
      </c>
      <c r="H231" s="14" t="s">
        <v>115</v>
      </c>
      <c r="I231" s="48">
        <f>IF(G231&gt;0,G228/D231,0)</f>
        <v>4.760924779328151E-2</v>
      </c>
      <c r="J231" s="5" t="s">
        <v>115</v>
      </c>
      <c r="K231" s="5" t="s">
        <v>56</v>
      </c>
      <c r="L231" s="4"/>
      <c r="N231" s="5"/>
      <c r="O231" s="5"/>
      <c r="P231" s="4"/>
    </row>
    <row r="232" spans="1:17">
      <c r="A232" s="1" t="s">
        <v>2</v>
      </c>
      <c r="B232" s="4" t="s">
        <v>2</v>
      </c>
      <c r="C232" s="5" t="s">
        <v>2</v>
      </c>
      <c r="E232" s="5"/>
      <c r="F232" s="5"/>
      <c r="L232" s="4"/>
      <c r="N232" s="5"/>
      <c r="O232" s="5"/>
      <c r="P232" s="4"/>
    </row>
    <row r="233" spans="1:17">
      <c r="A233" s="1"/>
      <c r="B233" s="4" t="s">
        <v>255</v>
      </c>
      <c r="C233" s="5"/>
      <c r="D233" s="42" t="s">
        <v>110</v>
      </c>
      <c r="E233" s="5"/>
      <c r="F233" s="5"/>
      <c r="G233" s="53" t="s">
        <v>116</v>
      </c>
      <c r="H233" s="63" t="s">
        <v>2</v>
      </c>
      <c r="I233" s="7" t="s">
        <v>117</v>
      </c>
      <c r="J233" s="5"/>
      <c r="K233" s="5"/>
      <c r="L233" s="4"/>
      <c r="N233" s="5"/>
      <c r="O233" s="5"/>
      <c r="P233" s="4"/>
    </row>
    <row r="234" spans="1:17">
      <c r="A234" s="1">
        <v>17</v>
      </c>
      <c r="B234" s="4" t="s">
        <v>118</v>
      </c>
      <c r="C234" s="5"/>
      <c r="D234" s="50">
        <f>+'Plant &amp; Depr'!G80</f>
        <v>411612350.87</v>
      </c>
      <c r="E234" s="5"/>
      <c r="G234" s="1" t="s">
        <v>119</v>
      </c>
      <c r="H234" s="94"/>
      <c r="I234" s="1" t="s">
        <v>120</v>
      </c>
      <c r="J234" s="5"/>
      <c r="K234" s="14" t="s">
        <v>58</v>
      </c>
      <c r="L234" s="4"/>
      <c r="N234" s="5"/>
      <c r="O234" s="5"/>
      <c r="P234" s="4"/>
    </row>
    <row r="235" spans="1:17">
      <c r="A235" s="1">
        <v>18</v>
      </c>
      <c r="B235" s="4" t="s">
        <v>121</v>
      </c>
      <c r="C235" s="5"/>
      <c r="D235" s="50">
        <v>0</v>
      </c>
      <c r="E235" s="5"/>
      <c r="G235" s="23">
        <f>IF(D237&gt;0,D234/D237,0)</f>
        <v>1</v>
      </c>
      <c r="H235" s="53" t="s">
        <v>122</v>
      </c>
      <c r="I235" s="23">
        <f>I231</f>
        <v>4.760924779328151E-2</v>
      </c>
      <c r="J235" s="63" t="s">
        <v>115</v>
      </c>
      <c r="K235" s="23">
        <f>I235*G235</f>
        <v>4.760924779328151E-2</v>
      </c>
      <c r="L235" s="4"/>
      <c r="N235" s="5"/>
      <c r="O235" s="5"/>
      <c r="P235" s="4"/>
    </row>
    <row r="236" spans="1:17" ht="16.2" thickBot="1">
      <c r="A236" s="1">
        <v>19</v>
      </c>
      <c r="B236" s="95" t="s">
        <v>123</v>
      </c>
      <c r="C236" s="26"/>
      <c r="D236" s="49">
        <v>0</v>
      </c>
      <c r="E236" s="5"/>
      <c r="F236" s="5"/>
      <c r="G236" s="5" t="s">
        <v>2</v>
      </c>
      <c r="H236" s="5"/>
      <c r="I236" s="5"/>
      <c r="L236" s="4"/>
      <c r="N236" s="5"/>
      <c r="O236" s="5"/>
      <c r="P236" s="4"/>
    </row>
    <row r="237" spans="1:17">
      <c r="A237" s="1">
        <v>20</v>
      </c>
      <c r="B237" s="4" t="s">
        <v>171</v>
      </c>
      <c r="C237" s="5"/>
      <c r="D237" s="5">
        <f>D234+D235+D236</f>
        <v>411612350.87</v>
      </c>
      <c r="E237" s="5"/>
      <c r="F237" s="5"/>
      <c r="G237" s="5"/>
      <c r="H237" s="5"/>
      <c r="I237" s="5"/>
      <c r="J237" s="5"/>
      <c r="K237" s="5"/>
      <c r="L237" s="4"/>
      <c r="N237" s="5"/>
      <c r="O237" s="5"/>
      <c r="P237" s="4"/>
    </row>
    <row r="238" spans="1:17">
      <c r="A238" s="1"/>
      <c r="B238" s="4" t="s">
        <v>2</v>
      </c>
      <c r="C238" s="5"/>
      <c r="E238" s="5"/>
      <c r="F238" s="5"/>
      <c r="G238" s="5"/>
      <c r="H238" s="5"/>
      <c r="I238" s="5" t="s">
        <v>2</v>
      </c>
      <c r="J238" s="5"/>
      <c r="K238" s="5"/>
      <c r="L238" s="4"/>
      <c r="N238" s="5"/>
      <c r="O238" s="5"/>
      <c r="P238" s="4"/>
    </row>
    <row r="239" spans="1:17" ht="16.2" thickBot="1">
      <c r="A239" s="1"/>
      <c r="B239" s="2" t="s">
        <v>124</v>
      </c>
      <c r="C239" s="5"/>
      <c r="D239" s="87" t="s">
        <v>110</v>
      </c>
      <c r="E239" s="5"/>
      <c r="F239" s="5"/>
      <c r="G239" s="5"/>
      <c r="H239" s="5"/>
      <c r="J239" s="5" t="s">
        <v>2</v>
      </c>
      <c r="K239" s="5"/>
      <c r="L239" s="4"/>
      <c r="N239" s="5"/>
      <c r="O239" s="5"/>
      <c r="P239" s="4"/>
    </row>
    <row r="240" spans="1:17">
      <c r="A240" s="1">
        <v>21</v>
      </c>
      <c r="B240" s="5" t="s">
        <v>125</v>
      </c>
      <c r="C240" s="11" t="s">
        <v>280</v>
      </c>
      <c r="D240" s="96">
        <v>0</v>
      </c>
      <c r="E240" s="5"/>
      <c r="F240" s="5"/>
      <c r="G240" s="5"/>
      <c r="H240" s="5"/>
      <c r="I240" s="5"/>
      <c r="J240" s="5"/>
      <c r="K240" s="5"/>
      <c r="L240" s="4"/>
      <c r="N240" s="5"/>
      <c r="O240" s="5"/>
      <c r="P240" s="4"/>
    </row>
    <row r="241" spans="1:16">
      <c r="A241" s="1"/>
      <c r="B241" s="4"/>
      <c r="D241" s="5"/>
      <c r="E241" s="5"/>
      <c r="F241" s="5"/>
      <c r="G241" s="53" t="s">
        <v>126</v>
      </c>
      <c r="H241" s="5"/>
      <c r="I241" s="5"/>
      <c r="J241" s="5"/>
      <c r="K241" s="5"/>
      <c r="L241" s="4"/>
      <c r="N241" s="5"/>
      <c r="O241" s="5"/>
      <c r="P241" s="4"/>
    </row>
    <row r="242" spans="1:16" ht="16.2" thickBot="1">
      <c r="A242" s="1"/>
      <c r="B242" s="2"/>
      <c r="C242" s="11"/>
      <c r="D242" s="19" t="s">
        <v>110</v>
      </c>
      <c r="E242" s="19" t="s">
        <v>127</v>
      </c>
      <c r="F242" s="5"/>
      <c r="G242" s="19" t="s">
        <v>128</v>
      </c>
      <c r="H242" s="5"/>
      <c r="I242" s="19" t="s">
        <v>129</v>
      </c>
      <c r="J242" s="5"/>
      <c r="K242" s="5"/>
      <c r="L242" s="4"/>
      <c r="N242" s="5"/>
      <c r="O242" s="5"/>
      <c r="P242" s="4"/>
    </row>
    <row r="243" spans="1:16">
      <c r="A243" s="1">
        <v>22</v>
      </c>
      <c r="B243" s="2" t="s">
        <v>130</v>
      </c>
      <c r="C243" s="11" t="s">
        <v>300</v>
      </c>
      <c r="D243" s="50">
        <v>0</v>
      </c>
      <c r="E243" s="97">
        <f>IF($D$245&gt;0,D243/$D$245,0)</f>
        <v>0</v>
      </c>
      <c r="F243" s="98"/>
      <c r="G243" s="99">
        <f>IF(D243&gt;0,D240/D243,0)</f>
        <v>0</v>
      </c>
      <c r="I243" s="98">
        <f>G243*E243</f>
        <v>0</v>
      </c>
      <c r="J243" s="101" t="s">
        <v>131</v>
      </c>
      <c r="K243" s="5"/>
      <c r="L243" s="4"/>
      <c r="N243" s="5"/>
      <c r="O243" s="5"/>
      <c r="P243" s="4"/>
    </row>
    <row r="244" spans="1:16" ht="16.2" thickBot="1">
      <c r="A244" s="1">
        <v>23</v>
      </c>
      <c r="B244" s="2" t="s">
        <v>132</v>
      </c>
      <c r="C244" s="11" t="s">
        <v>279</v>
      </c>
      <c r="D244" s="49">
        <v>154726057</v>
      </c>
      <c r="E244" s="123">
        <f>IF($D$245&gt;0,D244/$D$245,0)</f>
        <v>1</v>
      </c>
      <c r="F244" s="98"/>
      <c r="G244" s="98">
        <f>I247</f>
        <v>0.12379999999999999</v>
      </c>
      <c r="I244" s="100">
        <f>G244*E244</f>
        <v>0.12379999999999999</v>
      </c>
      <c r="L244" s="4"/>
      <c r="N244" s="5"/>
      <c r="O244" s="5"/>
      <c r="P244" s="4"/>
    </row>
    <row r="245" spans="1:16">
      <c r="A245" s="1">
        <v>24</v>
      </c>
      <c r="B245" s="2" t="s">
        <v>172</v>
      </c>
      <c r="C245" s="11"/>
      <c r="D245" s="5">
        <f>SUM(D243:D244)</f>
        <v>154726057</v>
      </c>
      <c r="E245" s="144">
        <f>SUM(E243+E244)</f>
        <v>1</v>
      </c>
      <c r="F245" s="98"/>
      <c r="G245" s="98"/>
      <c r="I245" s="98">
        <f>SUM(I243:I244)</f>
        <v>0.12379999999999999</v>
      </c>
      <c r="J245" s="101" t="s">
        <v>133</v>
      </c>
      <c r="L245" s="4"/>
      <c r="N245" s="5"/>
      <c r="O245" s="5"/>
      <c r="P245" s="4"/>
    </row>
    <row r="246" spans="1:16">
      <c r="A246" s="1" t="s">
        <v>2</v>
      </c>
      <c r="B246" s="4"/>
      <c r="D246" s="5"/>
      <c r="E246" s="5" t="s">
        <v>2</v>
      </c>
      <c r="F246" s="5"/>
      <c r="G246" s="5"/>
      <c r="H246" s="5"/>
      <c r="I246" s="98"/>
      <c r="L246" s="4"/>
      <c r="N246" s="5"/>
      <c r="O246" s="5"/>
      <c r="P246" s="4"/>
    </row>
    <row r="247" spans="1:16">
      <c r="A247" s="1">
        <v>25</v>
      </c>
      <c r="E247" s="5"/>
      <c r="F247" s="5"/>
      <c r="G247" s="5"/>
      <c r="H247" s="56" t="s">
        <v>216</v>
      </c>
      <c r="I247" s="102">
        <v>0.12379999999999999</v>
      </c>
      <c r="L247" s="4"/>
      <c r="N247" s="5"/>
      <c r="O247" s="5"/>
      <c r="P247" s="4"/>
    </row>
    <row r="248" spans="1:16">
      <c r="A248" s="1">
        <v>26</v>
      </c>
      <c r="H248" s="74" t="s">
        <v>217</v>
      </c>
      <c r="I248" s="89">
        <f>IF(G243&gt;0,I245/G243,0)</f>
        <v>0</v>
      </c>
      <c r="L248" s="4"/>
      <c r="N248" s="5"/>
      <c r="O248" s="5"/>
      <c r="P248" s="4"/>
    </row>
    <row r="249" spans="1:16">
      <c r="A249" s="1"/>
      <c r="B249" s="2" t="s">
        <v>134</v>
      </c>
      <c r="C249" s="11"/>
      <c r="D249" s="11"/>
      <c r="E249" s="11"/>
      <c r="F249" s="11"/>
      <c r="G249" s="11"/>
      <c r="H249" s="11"/>
      <c r="I249" s="11"/>
      <c r="K249" s="5"/>
      <c r="L249" s="4"/>
      <c r="N249" s="5"/>
      <c r="O249" s="5"/>
      <c r="P249" s="4"/>
    </row>
    <row r="250" spans="1:16" ht="16.2" thickBot="1">
      <c r="A250" s="1"/>
      <c r="B250" s="2"/>
      <c r="C250" s="2"/>
      <c r="D250" s="2"/>
      <c r="E250" s="2"/>
      <c r="F250" s="2"/>
      <c r="G250" s="2"/>
      <c r="H250" s="2"/>
      <c r="I250" s="19" t="s">
        <v>135</v>
      </c>
      <c r="J250" s="11"/>
      <c r="K250" s="11"/>
      <c r="L250" s="4"/>
      <c r="N250" s="5"/>
      <c r="O250" s="5"/>
      <c r="P250" s="4"/>
    </row>
    <row r="251" spans="1:16">
      <c r="A251" s="1"/>
      <c r="B251" s="2" t="s">
        <v>136</v>
      </c>
      <c r="C251" s="11"/>
      <c r="D251" s="11"/>
      <c r="E251" s="11"/>
      <c r="F251" s="11"/>
      <c r="G251" s="103" t="s">
        <v>2</v>
      </c>
      <c r="H251" s="70"/>
      <c r="I251" s="104"/>
      <c r="J251" s="2"/>
      <c r="K251" s="2"/>
      <c r="L251" s="4"/>
      <c r="N251" s="5"/>
      <c r="O251" s="5"/>
      <c r="P251" s="4"/>
    </row>
    <row r="252" spans="1:16">
      <c r="A252" s="1">
        <v>27</v>
      </c>
      <c r="B252" s="3" t="s">
        <v>137</v>
      </c>
      <c r="C252" s="11"/>
      <c r="D252" s="11"/>
      <c r="E252" s="11" t="s">
        <v>138</v>
      </c>
      <c r="F252" s="11"/>
      <c r="H252" s="70"/>
      <c r="I252" s="50">
        <v>0</v>
      </c>
      <c r="J252" s="2"/>
      <c r="K252" s="2"/>
      <c r="L252" s="4"/>
      <c r="N252" s="53"/>
      <c r="O252" s="5"/>
      <c r="P252" s="4"/>
    </row>
    <row r="253" spans="1:16" ht="16.2" thickBot="1">
      <c r="A253" s="1">
        <v>28</v>
      </c>
      <c r="B253" s="54" t="s">
        <v>173</v>
      </c>
      <c r="C253" s="77"/>
      <c r="D253" s="79"/>
      <c r="E253" s="110"/>
      <c r="F253" s="110"/>
      <c r="G253" s="110"/>
      <c r="H253" s="11"/>
      <c r="I253" s="49">
        <v>0</v>
      </c>
      <c r="J253" s="2"/>
      <c r="K253" s="2"/>
      <c r="L253" s="4"/>
      <c r="N253" s="2"/>
      <c r="O253" s="5"/>
      <c r="P253" s="4"/>
    </row>
    <row r="254" spans="1:16">
      <c r="A254" s="1">
        <v>29</v>
      </c>
      <c r="B254" s="3" t="s">
        <v>139</v>
      </c>
      <c r="C254" s="12"/>
      <c r="D254" s="79"/>
      <c r="E254" s="110"/>
      <c r="F254" s="110"/>
      <c r="G254" s="110"/>
      <c r="H254" s="11"/>
      <c r="I254" s="50">
        <f>+I252-I253</f>
        <v>0</v>
      </c>
      <c r="J254" s="2"/>
      <c r="K254" s="2"/>
      <c r="L254" s="4"/>
      <c r="N254" s="2"/>
      <c r="O254" s="5"/>
      <c r="P254" s="4"/>
    </row>
    <row r="255" spans="1:16">
      <c r="A255" s="1"/>
      <c r="B255" s="3" t="s">
        <v>2</v>
      </c>
      <c r="C255" s="12"/>
      <c r="D255" s="79"/>
      <c r="E255" s="110"/>
      <c r="F255" s="110"/>
      <c r="G255" s="124"/>
      <c r="H255" s="11"/>
      <c r="I255" s="105" t="s">
        <v>2</v>
      </c>
      <c r="J255" s="2"/>
      <c r="K255" s="2"/>
      <c r="L255" s="4"/>
      <c r="N255" s="2"/>
      <c r="O255" s="5"/>
      <c r="P255" s="4"/>
    </row>
    <row r="256" spans="1:16">
      <c r="A256" s="1">
        <v>30</v>
      </c>
      <c r="B256" s="2" t="s">
        <v>257</v>
      </c>
      <c r="C256" s="12"/>
      <c r="D256" s="79"/>
      <c r="E256" s="110"/>
      <c r="F256" s="110"/>
      <c r="G256" s="124"/>
      <c r="H256" s="11"/>
      <c r="I256" s="106">
        <v>0</v>
      </c>
      <c r="J256" s="2"/>
      <c r="K256" s="2"/>
      <c r="N256" s="2"/>
      <c r="O256" s="5"/>
      <c r="P256" s="4"/>
    </row>
    <row r="257" spans="1:17">
      <c r="A257" s="1"/>
      <c r="C257" s="11"/>
      <c r="D257" s="110"/>
      <c r="E257" s="110"/>
      <c r="F257" s="110"/>
      <c r="G257" s="110"/>
      <c r="H257" s="11"/>
      <c r="I257" s="105"/>
      <c r="J257" s="2"/>
      <c r="K257" s="2"/>
      <c r="N257" s="2"/>
      <c r="O257" s="5"/>
      <c r="P257" s="4"/>
    </row>
    <row r="258" spans="1:17">
      <c r="B258" s="2" t="s">
        <v>208</v>
      </c>
      <c r="C258" s="11"/>
      <c r="D258" s="110"/>
      <c r="E258" s="110"/>
      <c r="F258" s="110"/>
      <c r="G258" s="110"/>
      <c r="H258" s="11"/>
      <c r="J258" s="2"/>
      <c r="K258" s="2"/>
      <c r="N258" s="2"/>
      <c r="O258" s="5"/>
      <c r="P258" s="4"/>
    </row>
    <row r="259" spans="1:17">
      <c r="A259" s="1">
        <v>31</v>
      </c>
      <c r="B259" s="2" t="s">
        <v>140</v>
      </c>
      <c r="C259" s="5"/>
      <c r="D259" s="6"/>
      <c r="E259" s="6"/>
      <c r="F259" s="6"/>
      <c r="G259" s="6"/>
      <c r="H259" s="5"/>
      <c r="I259" s="108">
        <f>+'Account 456.1'!C20</f>
        <v>37572.97</v>
      </c>
      <c r="J259" s="2"/>
      <c r="K259" s="2"/>
      <c r="L259" s="107"/>
      <c r="N259" s="2"/>
      <c r="O259" s="5"/>
      <c r="P259" s="4"/>
    </row>
    <row r="260" spans="1:17">
      <c r="A260" s="1">
        <v>32</v>
      </c>
      <c r="B260" s="109" t="s">
        <v>174</v>
      </c>
      <c r="C260" s="110"/>
      <c r="D260" s="110"/>
      <c r="E260" s="110"/>
      <c r="F260" s="110"/>
      <c r="G260" s="110"/>
      <c r="H260" s="11"/>
      <c r="I260" s="108">
        <v>0</v>
      </c>
      <c r="J260" s="2"/>
      <c r="K260" s="2"/>
      <c r="L260" s="53"/>
      <c r="N260" s="2"/>
      <c r="O260" s="5"/>
      <c r="P260" s="4"/>
    </row>
    <row r="261" spans="1:17">
      <c r="A261" s="1" t="s">
        <v>210</v>
      </c>
      <c r="B261" s="158" t="s">
        <v>313</v>
      </c>
      <c r="C261" s="159"/>
      <c r="D261" s="110"/>
      <c r="E261" s="110"/>
      <c r="F261" s="110"/>
      <c r="G261" s="110"/>
      <c r="H261" s="11"/>
      <c r="I261" s="108">
        <v>0</v>
      </c>
      <c r="J261" s="2"/>
      <c r="K261" s="2"/>
      <c r="L261" s="53"/>
      <c r="N261" s="2"/>
      <c r="O261" s="5"/>
      <c r="P261" s="4"/>
    </row>
    <row r="262" spans="1:17" ht="16.2" thickBot="1">
      <c r="A262" s="1" t="s">
        <v>291</v>
      </c>
      <c r="B262" s="160" t="s">
        <v>314</v>
      </c>
      <c r="C262" s="161"/>
      <c r="D262" s="110"/>
      <c r="E262" s="110"/>
      <c r="F262" s="110"/>
      <c r="G262" s="110"/>
      <c r="H262" s="11"/>
      <c r="I262" s="142">
        <v>0</v>
      </c>
      <c r="J262" s="2"/>
      <c r="K262" s="2"/>
      <c r="L262" s="53"/>
      <c r="N262" s="2"/>
      <c r="O262" s="5"/>
      <c r="P262" s="4"/>
    </row>
    <row r="263" spans="1:17" s="70" customFormat="1">
      <c r="A263" s="1">
        <v>33</v>
      </c>
      <c r="B263" s="3" t="s">
        <v>292</v>
      </c>
      <c r="C263" s="1"/>
      <c r="D263" s="6"/>
      <c r="E263" s="6"/>
      <c r="F263" s="6"/>
      <c r="G263" s="6"/>
      <c r="H263" s="11"/>
      <c r="I263" s="112">
        <f>+I259-I260-I261-I262</f>
        <v>37572.97</v>
      </c>
      <c r="J263" s="2"/>
      <c r="K263" s="2"/>
      <c r="L263" s="107" t="s">
        <v>192</v>
      </c>
      <c r="M263" s="3"/>
      <c r="N263" s="2"/>
      <c r="O263" s="12"/>
      <c r="P263" s="4"/>
      <c r="Q263" s="3"/>
    </row>
    <row r="264" spans="1:17">
      <c r="A264" s="1"/>
      <c r="B264" s="114"/>
      <c r="C264" s="1"/>
      <c r="D264" s="6"/>
      <c r="E264" s="6"/>
      <c r="F264" s="6"/>
      <c r="G264" s="6"/>
      <c r="H264" s="11"/>
      <c r="I264" s="112"/>
      <c r="J264" s="2"/>
      <c r="K264" s="2"/>
      <c r="L264" s="107" t="s">
        <v>193</v>
      </c>
      <c r="M264" s="70"/>
      <c r="N264" s="111"/>
      <c r="O264" s="72"/>
      <c r="P264" s="113"/>
      <c r="Q264" s="70"/>
    </row>
    <row r="265" spans="1:17">
      <c r="A265" s="1"/>
      <c r="B265" s="114"/>
      <c r="C265" s="1"/>
      <c r="D265" s="6"/>
      <c r="E265" s="6"/>
      <c r="F265" s="6"/>
      <c r="G265" s="6"/>
      <c r="H265" s="11"/>
      <c r="I265" s="112"/>
      <c r="J265" s="2"/>
      <c r="K265" s="2"/>
      <c r="L265" s="107"/>
      <c r="N265" s="2"/>
      <c r="O265" s="12"/>
      <c r="P265" s="4"/>
    </row>
    <row r="266" spans="1:17">
      <c r="A266" s="1"/>
      <c r="B266" s="114"/>
      <c r="C266" s="1"/>
      <c r="D266" s="6"/>
      <c r="E266" s="6"/>
      <c r="F266" s="6"/>
      <c r="G266" s="6"/>
      <c r="H266" s="11"/>
      <c r="I266" s="112"/>
      <c r="J266" s="2"/>
      <c r="K266" s="2"/>
      <c r="L266" s="107"/>
      <c r="N266" s="2"/>
      <c r="O266" s="12"/>
      <c r="P266" s="4"/>
    </row>
    <row r="267" spans="1:17">
      <c r="A267" s="1"/>
      <c r="B267" s="114"/>
      <c r="C267" s="1"/>
      <c r="D267" s="6"/>
      <c r="E267" s="6"/>
      <c r="F267" s="6"/>
      <c r="G267" s="6"/>
      <c r="H267" s="11"/>
      <c r="I267" s="112"/>
      <c r="J267" s="2"/>
      <c r="K267" s="2"/>
      <c r="L267" s="107"/>
      <c r="N267" s="2"/>
      <c r="O267" s="12"/>
      <c r="P267" s="4"/>
    </row>
    <row r="268" spans="1:17">
      <c r="B268" s="2"/>
      <c r="C268" s="2"/>
      <c r="E268" s="2"/>
      <c r="F268" s="2"/>
      <c r="G268" s="2"/>
      <c r="H268" s="11"/>
      <c r="I268" s="11"/>
      <c r="K268" s="13" t="s">
        <v>188</v>
      </c>
      <c r="L268" s="12"/>
      <c r="N268" s="12"/>
      <c r="O268" s="12"/>
      <c r="P268" s="12"/>
    </row>
    <row r="269" spans="1:17">
      <c r="A269" s="1"/>
      <c r="B269" s="114" t="str">
        <f>B3</f>
        <v xml:space="preserve">Formula Rate - Non-Levelized </v>
      </c>
      <c r="C269" s="412" t="str">
        <f>D3</f>
        <v xml:space="preserve">   Rate Formula Template</v>
      </c>
      <c r="D269" s="412"/>
      <c r="E269" s="5"/>
      <c r="F269" s="5"/>
      <c r="G269" s="5"/>
      <c r="H269" s="115"/>
      <c r="J269" s="12"/>
      <c r="K269" s="116" t="str">
        <f>K3</f>
        <v>For the 12 months ended 12/31/13</v>
      </c>
      <c r="L269" s="12"/>
      <c r="N269" s="12"/>
      <c r="O269" s="12"/>
      <c r="P269" s="12"/>
    </row>
    <row r="270" spans="1:17">
      <c r="A270" s="1"/>
      <c r="B270" s="114"/>
      <c r="C270" s="1"/>
      <c r="D270" s="5" t="str">
        <f>D4</f>
        <v>Utilizing EIA Form 412 Data</v>
      </c>
      <c r="E270" s="5"/>
      <c r="F270" s="5"/>
      <c r="G270" s="5"/>
      <c r="H270" s="11"/>
      <c r="I270" s="117"/>
      <c r="J270" s="104"/>
      <c r="K270" s="118"/>
      <c r="L270" s="12"/>
      <c r="N270" s="12"/>
      <c r="O270" s="12"/>
      <c r="P270" s="12"/>
    </row>
    <row r="271" spans="1:17">
      <c r="A271" s="1"/>
      <c r="B271" s="114"/>
      <c r="C271" s="1"/>
      <c r="D271" s="5" t="str">
        <f>D6</f>
        <v>MUSCATINE POWER AND WATER</v>
      </c>
      <c r="E271" s="5"/>
      <c r="F271" s="5"/>
      <c r="G271" s="5"/>
      <c r="H271" s="11"/>
      <c r="I271" s="117"/>
      <c r="J271" s="104"/>
      <c r="K271" s="118"/>
      <c r="L271" s="12"/>
      <c r="N271" s="12"/>
      <c r="O271" s="12"/>
      <c r="P271" s="12"/>
    </row>
    <row r="272" spans="1:17">
      <c r="A272" s="1"/>
      <c r="B272" s="2" t="s">
        <v>141</v>
      </c>
      <c r="C272" s="1"/>
      <c r="D272" s="5"/>
      <c r="E272" s="5"/>
      <c r="F272" s="5"/>
      <c r="G272" s="5"/>
      <c r="H272" s="11"/>
      <c r="I272" s="5"/>
      <c r="J272" s="104"/>
      <c r="K272" s="118"/>
      <c r="L272" s="12"/>
      <c r="N272" s="1"/>
      <c r="O272" s="12"/>
      <c r="P272" s="4"/>
    </row>
    <row r="273" spans="1:16">
      <c r="A273" s="1"/>
      <c r="B273" s="122" t="s">
        <v>222</v>
      </c>
      <c r="C273" s="1"/>
      <c r="D273" s="5"/>
      <c r="E273" s="5"/>
      <c r="F273" s="5"/>
      <c r="G273" s="5"/>
      <c r="H273" s="11"/>
      <c r="I273" s="5"/>
      <c r="J273" s="11"/>
      <c r="K273" s="5"/>
      <c r="L273" s="12"/>
      <c r="N273" s="1"/>
      <c r="O273" s="12"/>
      <c r="P273" s="4"/>
    </row>
    <row r="274" spans="1:16">
      <c r="B274" s="122" t="s">
        <v>221</v>
      </c>
      <c r="C274" s="1"/>
      <c r="D274" s="5"/>
      <c r="E274" s="5"/>
      <c r="F274" s="5"/>
      <c r="G274" s="5"/>
      <c r="H274" s="11"/>
      <c r="I274" s="5"/>
      <c r="J274" s="11"/>
      <c r="K274" s="5"/>
      <c r="L274" s="12"/>
      <c r="N274" s="1"/>
      <c r="O274" s="12"/>
      <c r="P274" s="12"/>
    </row>
    <row r="275" spans="1:16">
      <c r="A275" s="1" t="s">
        <v>142</v>
      </c>
      <c r="B275" s="2" t="s">
        <v>220</v>
      </c>
      <c r="C275" s="11"/>
      <c r="D275" s="5"/>
      <c r="E275" s="5"/>
      <c r="F275" s="5"/>
      <c r="G275" s="27"/>
      <c r="H275" s="11"/>
      <c r="I275" s="5"/>
      <c r="J275" s="11"/>
      <c r="K275" s="5"/>
      <c r="L275" s="12"/>
      <c r="N275" s="1"/>
      <c r="O275" s="12"/>
      <c r="P275" s="12"/>
    </row>
    <row r="276" spans="1:16" ht="16.2" thickBot="1">
      <c r="A276" s="19" t="s">
        <v>143</v>
      </c>
      <c r="C276" s="11"/>
      <c r="D276" s="5"/>
      <c r="E276" s="5"/>
      <c r="F276" s="5"/>
      <c r="G276" s="5"/>
      <c r="H276" s="11"/>
      <c r="I276" s="5"/>
      <c r="J276" s="11"/>
      <c r="K276" s="5"/>
      <c r="L276" s="12"/>
      <c r="N276" s="1"/>
      <c r="O276" s="12"/>
      <c r="P276" s="12"/>
    </row>
    <row r="277" spans="1:16" ht="32.25" customHeight="1">
      <c r="A277" s="130" t="s">
        <v>144</v>
      </c>
      <c r="B277" s="411" t="s">
        <v>285</v>
      </c>
      <c r="C277" s="411"/>
      <c r="D277" s="411"/>
      <c r="E277" s="411"/>
      <c r="F277" s="411"/>
      <c r="G277" s="411"/>
      <c r="H277" s="411"/>
      <c r="I277" s="411"/>
      <c r="J277" s="411"/>
      <c r="K277" s="411"/>
      <c r="L277" s="12"/>
      <c r="N277" s="1"/>
      <c r="O277" s="12"/>
      <c r="P277" s="12"/>
    </row>
    <row r="278" spans="1:16" ht="63" customHeight="1">
      <c r="A278" s="130" t="s">
        <v>145</v>
      </c>
      <c r="B278" s="411" t="s">
        <v>286</v>
      </c>
      <c r="C278" s="411"/>
      <c r="D278" s="411"/>
      <c r="E278" s="411"/>
      <c r="F278" s="411"/>
      <c r="G278" s="411"/>
      <c r="H278" s="411"/>
      <c r="I278" s="411"/>
      <c r="J278" s="411"/>
      <c r="K278" s="411"/>
      <c r="L278" s="12"/>
      <c r="N278" s="1"/>
      <c r="O278" s="12"/>
      <c r="P278" s="12"/>
    </row>
    <row r="279" spans="1:16">
      <c r="A279" s="130" t="s">
        <v>146</v>
      </c>
      <c r="B279" s="411" t="s">
        <v>287</v>
      </c>
      <c r="C279" s="411"/>
      <c r="D279" s="411"/>
      <c r="E279" s="411"/>
      <c r="F279" s="411"/>
      <c r="G279" s="411"/>
      <c r="H279" s="411"/>
      <c r="I279" s="411"/>
      <c r="J279" s="411"/>
      <c r="K279" s="411"/>
      <c r="L279" s="12"/>
      <c r="N279" s="1"/>
      <c r="O279" s="12"/>
      <c r="P279" s="12"/>
    </row>
    <row r="280" spans="1:16">
      <c r="A280" s="130" t="s">
        <v>147</v>
      </c>
      <c r="B280" s="411" t="s">
        <v>287</v>
      </c>
      <c r="C280" s="411"/>
      <c r="D280" s="411"/>
      <c r="E280" s="411"/>
      <c r="F280" s="411"/>
      <c r="G280" s="411"/>
      <c r="H280" s="411"/>
      <c r="I280" s="411"/>
      <c r="J280" s="411"/>
      <c r="K280" s="411"/>
      <c r="L280" s="12"/>
      <c r="N280" s="1"/>
      <c r="O280" s="12"/>
      <c r="P280" s="12"/>
    </row>
    <row r="281" spans="1:16">
      <c r="A281" s="130" t="s">
        <v>148</v>
      </c>
      <c r="B281" s="411" t="s">
        <v>301</v>
      </c>
      <c r="C281" s="411"/>
      <c r="D281" s="411"/>
      <c r="E281" s="411"/>
      <c r="F281" s="411"/>
      <c r="G281" s="411"/>
      <c r="H281" s="411"/>
      <c r="I281" s="411"/>
      <c r="J281" s="411"/>
      <c r="K281" s="411"/>
      <c r="L281" s="12"/>
      <c r="N281" s="1"/>
      <c r="O281" s="12"/>
      <c r="P281" s="12"/>
    </row>
    <row r="282" spans="1:16" ht="48" customHeight="1">
      <c r="A282" s="130" t="s">
        <v>149</v>
      </c>
      <c r="B282" s="413" t="s">
        <v>259</v>
      </c>
      <c r="C282" s="413"/>
      <c r="D282" s="413"/>
      <c r="E282" s="413"/>
      <c r="F282" s="413"/>
      <c r="G282" s="413"/>
      <c r="H282" s="413"/>
      <c r="I282" s="413"/>
      <c r="J282" s="413"/>
      <c r="K282" s="413"/>
      <c r="L282" s="12"/>
      <c r="N282" s="1"/>
      <c r="O282" s="12"/>
      <c r="P282" s="12"/>
    </row>
    <row r="283" spans="1:16">
      <c r="A283" s="130" t="s">
        <v>150</v>
      </c>
      <c r="B283" s="413" t="s">
        <v>180</v>
      </c>
      <c r="C283" s="413"/>
      <c r="D283" s="413"/>
      <c r="E283" s="413"/>
      <c r="F283" s="413"/>
      <c r="G283" s="413"/>
      <c r="H283" s="413"/>
      <c r="I283" s="413"/>
      <c r="J283" s="413"/>
      <c r="K283" s="413"/>
      <c r="L283" s="12"/>
      <c r="N283" s="1"/>
      <c r="O283" s="12"/>
      <c r="P283" s="12"/>
    </row>
    <row r="284" spans="1:16" ht="32.25" customHeight="1">
      <c r="A284" s="130" t="s">
        <v>151</v>
      </c>
      <c r="B284" s="413" t="s">
        <v>260</v>
      </c>
      <c r="C284" s="413"/>
      <c r="D284" s="413"/>
      <c r="E284" s="413"/>
      <c r="F284" s="413"/>
      <c r="G284" s="413"/>
      <c r="H284" s="413"/>
      <c r="I284" s="413"/>
      <c r="J284" s="413"/>
      <c r="K284" s="413"/>
      <c r="L284" s="12"/>
      <c r="N284" s="1"/>
      <c r="O284" s="12"/>
      <c r="P284" s="12"/>
    </row>
    <row r="285" spans="1:16" ht="32.25" customHeight="1">
      <c r="A285" s="130" t="s">
        <v>152</v>
      </c>
      <c r="B285" s="411" t="s">
        <v>261</v>
      </c>
      <c r="C285" s="411"/>
      <c r="D285" s="411"/>
      <c r="E285" s="411"/>
      <c r="F285" s="411"/>
      <c r="G285" s="411"/>
      <c r="H285" s="411"/>
      <c r="I285" s="411"/>
      <c r="J285" s="411"/>
      <c r="K285" s="411"/>
      <c r="L285" s="12"/>
      <c r="N285" s="1"/>
      <c r="O285" s="12"/>
      <c r="P285" s="12"/>
    </row>
    <row r="286" spans="1:16" ht="32.25" customHeight="1">
      <c r="A286" s="130" t="s">
        <v>153</v>
      </c>
      <c r="B286" s="413" t="s">
        <v>262</v>
      </c>
      <c r="C286" s="413"/>
      <c r="D286" s="413"/>
      <c r="E286" s="413"/>
      <c r="F286" s="413"/>
      <c r="G286" s="413"/>
      <c r="H286" s="413"/>
      <c r="I286" s="413"/>
      <c r="J286" s="413"/>
      <c r="K286" s="413"/>
      <c r="L286" s="12"/>
      <c r="N286" s="1"/>
      <c r="O286" s="39"/>
      <c r="P286" s="12"/>
    </row>
    <row r="287" spans="1:16" ht="69" customHeight="1">
      <c r="A287" s="130" t="s">
        <v>154</v>
      </c>
      <c r="B287" s="413" t="s">
        <v>263</v>
      </c>
      <c r="C287" s="413"/>
      <c r="D287" s="413"/>
      <c r="E287" s="413"/>
      <c r="F287" s="413"/>
      <c r="G287" s="413"/>
      <c r="H287" s="413"/>
      <c r="I287" s="413"/>
      <c r="J287" s="413"/>
      <c r="K287" s="413"/>
      <c r="L287" s="12"/>
      <c r="N287" s="1"/>
      <c r="O287" s="12"/>
      <c r="P287" s="12"/>
    </row>
    <row r="288" spans="1:16">
      <c r="A288" s="130" t="s">
        <v>2</v>
      </c>
      <c r="B288" s="141" t="s">
        <v>258</v>
      </c>
      <c r="C288" s="133" t="s">
        <v>155</v>
      </c>
      <c r="D288" s="134">
        <v>0</v>
      </c>
      <c r="E288" s="133"/>
      <c r="F288" s="132"/>
      <c r="G288" s="132"/>
      <c r="H288" s="131"/>
      <c r="I288" s="132"/>
      <c r="J288" s="131"/>
      <c r="K288" s="132"/>
      <c r="L288" s="12"/>
      <c r="N288" s="1"/>
      <c r="O288" s="12"/>
      <c r="P288" s="12"/>
    </row>
    <row r="289" spans="1:16">
      <c r="A289" s="130"/>
      <c r="B289" s="133"/>
      <c r="C289" s="133" t="s">
        <v>156</v>
      </c>
      <c r="D289" s="134">
        <v>0</v>
      </c>
      <c r="E289" s="413" t="s">
        <v>157</v>
      </c>
      <c r="F289" s="413"/>
      <c r="G289" s="413"/>
      <c r="H289" s="413"/>
      <c r="I289" s="413"/>
      <c r="J289" s="413"/>
      <c r="K289" s="413"/>
      <c r="N289" s="1"/>
      <c r="O289" s="12"/>
      <c r="P289" s="12"/>
    </row>
    <row r="290" spans="1:16">
      <c r="A290" s="130"/>
      <c r="B290" s="133"/>
      <c r="C290" s="133" t="s">
        <v>158</v>
      </c>
      <c r="D290" s="134">
        <v>0</v>
      </c>
      <c r="E290" s="413" t="s">
        <v>159</v>
      </c>
      <c r="F290" s="413"/>
      <c r="G290" s="413"/>
      <c r="H290" s="413"/>
      <c r="I290" s="413"/>
      <c r="J290" s="413"/>
      <c r="K290" s="413"/>
      <c r="L290" s="12"/>
      <c r="N290" s="1"/>
      <c r="O290" s="12"/>
      <c r="P290" s="12"/>
    </row>
    <row r="291" spans="1:16">
      <c r="A291" s="130" t="s">
        <v>160</v>
      </c>
      <c r="B291" s="413" t="s">
        <v>209</v>
      </c>
      <c r="C291" s="413"/>
      <c r="D291" s="413"/>
      <c r="E291" s="413"/>
      <c r="F291" s="413"/>
      <c r="G291" s="413"/>
      <c r="H291" s="413"/>
      <c r="I291" s="413"/>
      <c r="J291" s="413"/>
      <c r="K291" s="413"/>
      <c r="L291" s="12"/>
      <c r="N291" s="1"/>
      <c r="O291" s="12"/>
      <c r="P291" s="12"/>
    </row>
    <row r="292" spans="1:16" ht="32.25" customHeight="1">
      <c r="A292" s="130" t="s">
        <v>161</v>
      </c>
      <c r="B292" s="413" t="s">
        <v>295</v>
      </c>
      <c r="C292" s="413"/>
      <c r="D292" s="413"/>
      <c r="E292" s="413"/>
      <c r="F292" s="413"/>
      <c r="G292" s="413"/>
      <c r="H292" s="413"/>
      <c r="I292" s="413"/>
      <c r="J292" s="413"/>
      <c r="K292" s="413"/>
      <c r="L292" s="119" t="s">
        <v>191</v>
      </c>
      <c r="N292" s="1"/>
      <c r="O292" s="12"/>
      <c r="P292" s="12"/>
    </row>
    <row r="293" spans="1:16" ht="48" customHeight="1">
      <c r="A293" s="130" t="s">
        <v>162</v>
      </c>
      <c r="B293" s="413" t="s">
        <v>282</v>
      </c>
      <c r="C293" s="413"/>
      <c r="D293" s="413"/>
      <c r="E293" s="413"/>
      <c r="F293" s="413"/>
      <c r="G293" s="413"/>
      <c r="H293" s="413"/>
      <c r="I293" s="413"/>
      <c r="J293" s="413"/>
      <c r="K293" s="413"/>
      <c r="L293" s="12"/>
      <c r="N293" s="1"/>
      <c r="O293" s="12"/>
      <c r="P293" s="12"/>
    </row>
    <row r="294" spans="1:16">
      <c r="A294" s="130" t="s">
        <v>163</v>
      </c>
      <c r="B294" s="413" t="s">
        <v>181</v>
      </c>
      <c r="C294" s="413"/>
      <c r="D294" s="413"/>
      <c r="E294" s="413"/>
      <c r="F294" s="413"/>
      <c r="G294" s="413"/>
      <c r="H294" s="413"/>
      <c r="I294" s="413"/>
      <c r="J294" s="413"/>
      <c r="K294" s="413"/>
      <c r="L294" s="12"/>
      <c r="N294" s="1"/>
      <c r="O294" s="39"/>
      <c r="P294" s="12"/>
    </row>
    <row r="295" spans="1:16" ht="34.5" customHeight="1">
      <c r="A295" s="130" t="s">
        <v>164</v>
      </c>
      <c r="B295" s="411" t="s">
        <v>264</v>
      </c>
      <c r="C295" s="411"/>
      <c r="D295" s="411"/>
      <c r="E295" s="411"/>
      <c r="F295" s="411"/>
      <c r="G295" s="411"/>
      <c r="H295" s="411"/>
      <c r="I295" s="411"/>
      <c r="J295" s="411"/>
      <c r="K295" s="411"/>
      <c r="L295" s="12"/>
      <c r="N295" s="1"/>
      <c r="O295" s="39"/>
      <c r="P295" s="12"/>
    </row>
    <row r="296" spans="1:16" ht="32.25" customHeight="1">
      <c r="A296" s="130" t="s">
        <v>165</v>
      </c>
      <c r="B296" s="413" t="s">
        <v>265</v>
      </c>
      <c r="C296" s="413"/>
      <c r="D296" s="413"/>
      <c r="E296" s="413"/>
      <c r="F296" s="413"/>
      <c r="G296" s="413"/>
      <c r="H296" s="413"/>
      <c r="I296" s="413"/>
      <c r="J296" s="413"/>
      <c r="K296" s="413"/>
      <c r="L296" s="12"/>
      <c r="N296" s="1"/>
      <c r="O296" s="12"/>
      <c r="P296" s="12"/>
    </row>
    <row r="297" spans="1:16">
      <c r="A297" s="130" t="s">
        <v>166</v>
      </c>
      <c r="B297" s="413" t="s">
        <v>167</v>
      </c>
      <c r="C297" s="413"/>
      <c r="D297" s="413"/>
      <c r="E297" s="413"/>
      <c r="F297" s="413"/>
      <c r="G297" s="413"/>
      <c r="H297" s="413"/>
      <c r="I297" s="413"/>
      <c r="J297" s="413"/>
      <c r="K297" s="413"/>
      <c r="L297" s="12"/>
      <c r="N297" s="1"/>
      <c r="O297" s="12"/>
      <c r="P297" s="12"/>
    </row>
    <row r="298" spans="1:16" ht="48" customHeight="1">
      <c r="A298" s="130" t="s">
        <v>182</v>
      </c>
      <c r="B298" s="413" t="s">
        <v>266</v>
      </c>
      <c r="C298" s="413"/>
      <c r="D298" s="413"/>
      <c r="E298" s="413"/>
      <c r="F298" s="413"/>
      <c r="G298" s="413"/>
      <c r="H298" s="413"/>
      <c r="I298" s="413"/>
      <c r="J298" s="413"/>
      <c r="K298" s="413"/>
      <c r="L298" s="12"/>
      <c r="N298" s="1"/>
      <c r="O298" s="12"/>
      <c r="P298" s="12"/>
    </row>
    <row r="299" spans="1:16" ht="65.25" customHeight="1">
      <c r="A299" s="136" t="s">
        <v>183</v>
      </c>
      <c r="B299" s="414" t="s">
        <v>281</v>
      </c>
      <c r="C299" s="414"/>
      <c r="D299" s="414"/>
      <c r="E299" s="414"/>
      <c r="F299" s="414"/>
      <c r="G299" s="414"/>
      <c r="H299" s="414"/>
      <c r="I299" s="414"/>
      <c r="J299" s="414"/>
      <c r="K299" s="414"/>
      <c r="L299" s="12"/>
      <c r="N299" s="1"/>
      <c r="O299" s="12"/>
      <c r="P299" s="12"/>
    </row>
    <row r="300" spans="1:16">
      <c r="A300" s="136" t="s">
        <v>202</v>
      </c>
      <c r="B300" s="414" t="s">
        <v>309</v>
      </c>
      <c r="C300" s="414"/>
      <c r="D300" s="414"/>
      <c r="E300" s="414"/>
      <c r="F300" s="414"/>
      <c r="G300" s="414"/>
      <c r="H300" s="414"/>
      <c r="I300" s="414"/>
      <c r="J300" s="414"/>
      <c r="K300" s="414"/>
      <c r="L300" s="12"/>
      <c r="N300" s="1"/>
      <c r="O300" s="12"/>
      <c r="P300" s="12"/>
    </row>
    <row r="301" spans="1:16">
      <c r="A301" s="137" t="s">
        <v>206</v>
      </c>
      <c r="B301" s="414" t="s">
        <v>310</v>
      </c>
      <c r="C301" s="414"/>
      <c r="D301" s="414"/>
      <c r="E301" s="414"/>
      <c r="F301" s="414"/>
      <c r="G301" s="414"/>
      <c r="H301" s="414"/>
      <c r="I301" s="414"/>
      <c r="J301" s="414"/>
      <c r="K301" s="414"/>
      <c r="L301" s="12"/>
      <c r="N301" s="53"/>
      <c r="O301" s="12"/>
      <c r="P301" s="12"/>
    </row>
    <row r="302" spans="1:16">
      <c r="A302" s="137" t="s">
        <v>211</v>
      </c>
      <c r="B302" s="414" t="s">
        <v>315</v>
      </c>
      <c r="C302" s="414"/>
      <c r="D302" s="414"/>
      <c r="E302" s="414"/>
      <c r="F302" s="414"/>
      <c r="G302" s="414"/>
      <c r="H302" s="414"/>
      <c r="I302" s="414"/>
      <c r="J302" s="414"/>
      <c r="K302" s="414"/>
      <c r="L302" s="12"/>
      <c r="N302" s="53"/>
      <c r="O302" s="12"/>
      <c r="P302" s="12"/>
    </row>
    <row r="303" spans="1:16" s="59" customFormat="1" ht="32.25" customHeight="1">
      <c r="A303" s="136" t="s">
        <v>212</v>
      </c>
      <c r="B303" s="414" t="s">
        <v>316</v>
      </c>
      <c r="C303" s="414"/>
      <c r="D303" s="414"/>
      <c r="E303" s="414"/>
      <c r="F303" s="414"/>
      <c r="G303" s="414"/>
      <c r="H303" s="414"/>
      <c r="I303" s="414"/>
      <c r="J303" s="414"/>
      <c r="K303" s="414"/>
      <c r="L303" s="143"/>
      <c r="N303" s="57"/>
      <c r="O303" s="143"/>
      <c r="P303" s="143"/>
    </row>
    <row r="304" spans="1:16" s="70" customFormat="1">
      <c r="A304" s="137" t="s">
        <v>293</v>
      </c>
      <c r="B304" s="414" t="s">
        <v>317</v>
      </c>
      <c r="C304" s="414"/>
      <c r="D304" s="414"/>
      <c r="E304" s="414"/>
      <c r="F304" s="414"/>
      <c r="G304" s="414"/>
      <c r="H304" s="414"/>
      <c r="I304" s="414"/>
      <c r="J304" s="414"/>
      <c r="K304" s="414"/>
      <c r="L304" s="72"/>
      <c r="N304" s="69"/>
      <c r="O304" s="72"/>
      <c r="P304" s="72"/>
    </row>
    <row r="305" spans="1:16" s="70" customFormat="1" ht="33" customHeight="1">
      <c r="A305" s="136" t="s">
        <v>294</v>
      </c>
      <c r="B305" s="414" t="s">
        <v>318</v>
      </c>
      <c r="C305" s="414"/>
      <c r="D305" s="414"/>
      <c r="E305" s="414"/>
      <c r="F305" s="414"/>
      <c r="G305" s="414"/>
      <c r="H305" s="414"/>
      <c r="I305" s="414"/>
      <c r="J305" s="414"/>
      <c r="K305" s="414"/>
      <c r="L305" s="72"/>
      <c r="N305" s="69"/>
      <c r="O305" s="72"/>
      <c r="P305" s="72"/>
    </row>
    <row r="306" spans="1:16" s="70" customFormat="1" ht="15" customHeight="1">
      <c r="A306" s="136" t="s">
        <v>296</v>
      </c>
      <c r="B306" s="156" t="s">
        <v>297</v>
      </c>
      <c r="C306" s="140"/>
      <c r="D306" s="140"/>
      <c r="E306" s="140"/>
      <c r="F306" s="140"/>
      <c r="G306" s="140"/>
      <c r="H306" s="140"/>
      <c r="I306" s="140"/>
      <c r="J306" s="140"/>
      <c r="K306" s="140"/>
      <c r="L306" s="72"/>
      <c r="N306" s="69"/>
      <c r="O306" s="72"/>
      <c r="P306" s="72"/>
    </row>
    <row r="307" spans="1:16" s="70" customFormat="1" ht="15" customHeight="1">
      <c r="A307" s="136" t="s">
        <v>298</v>
      </c>
      <c r="B307" s="157" t="s">
        <v>299</v>
      </c>
      <c r="C307" s="140"/>
      <c r="D307" s="140"/>
      <c r="E307" s="140"/>
      <c r="F307" s="140"/>
      <c r="G307" s="140"/>
      <c r="H307" s="140"/>
      <c r="I307" s="140"/>
      <c r="J307" s="140"/>
      <c r="K307" s="140"/>
      <c r="L307" s="72"/>
      <c r="N307" s="69"/>
      <c r="O307" s="72"/>
      <c r="P307" s="72"/>
    </row>
    <row r="308" spans="1:16" s="70" customFormat="1" ht="15" customHeight="1">
      <c r="A308" s="139"/>
      <c r="B308" s="138"/>
      <c r="C308" s="140"/>
      <c r="D308" s="140"/>
      <c r="E308" s="140"/>
      <c r="F308" s="140"/>
      <c r="G308" s="140"/>
      <c r="H308" s="140"/>
      <c r="I308" s="140"/>
      <c r="J308" s="140"/>
      <c r="K308" s="140"/>
      <c r="L308" s="72"/>
      <c r="N308" s="69"/>
      <c r="O308" s="72"/>
      <c r="P308" s="72"/>
    </row>
    <row r="309" spans="1:16" s="70" customFormat="1" ht="15" customHeight="1">
      <c r="A309" s="136"/>
      <c r="B309" s="135"/>
      <c r="C309" s="131"/>
      <c r="D309" s="131"/>
      <c r="E309" s="131"/>
      <c r="F309" s="131"/>
      <c r="G309" s="131"/>
      <c r="H309" s="131"/>
      <c r="I309" s="131"/>
      <c r="J309" s="131"/>
      <c r="K309" s="131"/>
      <c r="L309" s="72"/>
      <c r="N309" s="69"/>
      <c r="O309" s="72"/>
      <c r="P309" s="72"/>
    </row>
    <row r="310" spans="1:16">
      <c r="A310" s="1"/>
      <c r="B310" s="11"/>
      <c r="C310" s="11"/>
      <c r="D310" s="11"/>
      <c r="E310" s="11"/>
      <c r="F310" s="11"/>
      <c r="G310" s="11"/>
      <c r="H310" s="11"/>
      <c r="I310" s="11"/>
      <c r="J310" s="11"/>
      <c r="K310" s="11"/>
      <c r="N310" s="1"/>
      <c r="O310" s="12"/>
      <c r="P310" s="12"/>
    </row>
    <row r="311" spans="1:16">
      <c r="A311" s="1"/>
      <c r="B311" s="11"/>
      <c r="C311" s="11"/>
      <c r="D311" s="11"/>
      <c r="E311" s="11"/>
      <c r="F311" s="11"/>
      <c r="G311" s="11"/>
      <c r="H311" s="11"/>
      <c r="I311" s="11"/>
      <c r="J311" s="11"/>
      <c r="K311" s="11"/>
      <c r="N311" s="1"/>
      <c r="O311" s="12"/>
      <c r="P311" s="12"/>
    </row>
    <row r="312" spans="1:16">
      <c r="A312" s="1"/>
      <c r="B312" s="11"/>
      <c r="C312" s="11"/>
      <c r="D312" s="11"/>
      <c r="E312" s="11"/>
      <c r="F312" s="11"/>
      <c r="G312" s="11"/>
      <c r="H312" s="11"/>
      <c r="I312" s="11"/>
      <c r="J312" s="11"/>
      <c r="K312" s="11"/>
      <c r="N312" s="1"/>
      <c r="O312" s="12"/>
      <c r="P312" s="12"/>
    </row>
    <row r="313" spans="1:16">
      <c r="A313" s="1"/>
      <c r="B313" s="11"/>
      <c r="C313" s="11"/>
      <c r="D313" s="11"/>
      <c r="E313" s="11"/>
      <c r="F313" s="11"/>
      <c r="G313" s="11"/>
      <c r="H313" s="11"/>
      <c r="I313" s="11"/>
      <c r="J313" s="11"/>
      <c r="K313" s="11"/>
      <c r="N313" s="1"/>
      <c r="O313" s="12"/>
      <c r="P313" s="12"/>
    </row>
    <row r="314" spans="1:16">
      <c r="A314" s="1"/>
      <c r="B314" s="11"/>
      <c r="C314" s="11"/>
      <c r="D314" s="11"/>
      <c r="E314" s="11"/>
      <c r="F314" s="11"/>
      <c r="G314" s="11"/>
      <c r="H314" s="11"/>
      <c r="I314" s="11"/>
      <c r="J314" s="11"/>
      <c r="K314" s="11"/>
      <c r="N314" s="1"/>
      <c r="O314" s="12"/>
      <c r="P314" s="12"/>
    </row>
    <row r="315" spans="1:16">
      <c r="A315" s="1"/>
      <c r="B315" s="11"/>
      <c r="C315" s="11"/>
      <c r="D315" s="11"/>
      <c r="E315" s="11"/>
      <c r="F315" s="11"/>
      <c r="G315" s="11"/>
      <c r="H315" s="11"/>
      <c r="I315" s="11"/>
      <c r="J315" s="11"/>
      <c r="K315" s="11"/>
      <c r="N315" s="1"/>
      <c r="O315" s="12"/>
      <c r="P315" s="12"/>
    </row>
    <row r="316" spans="1:16">
      <c r="A316" s="1"/>
      <c r="B316" s="11"/>
      <c r="C316" s="11"/>
      <c r="D316" s="11"/>
      <c r="E316" s="11"/>
      <c r="F316" s="11"/>
      <c r="G316" s="11"/>
      <c r="H316" s="11"/>
      <c r="I316" s="11"/>
      <c r="J316" s="11"/>
      <c r="K316" s="11"/>
      <c r="N316" s="1"/>
      <c r="O316" s="12"/>
      <c r="P316" s="12"/>
    </row>
    <row r="317" spans="1:16">
      <c r="A317" s="1"/>
      <c r="B317" s="11"/>
      <c r="C317" s="11"/>
      <c r="D317" s="11"/>
      <c r="E317" s="11"/>
      <c r="F317" s="11"/>
      <c r="G317" s="11"/>
      <c r="H317" s="11"/>
      <c r="I317" s="11"/>
      <c r="J317" s="11"/>
      <c r="K317" s="11"/>
      <c r="N317" s="1"/>
      <c r="O317" s="12"/>
      <c r="P317" s="12"/>
    </row>
    <row r="318" spans="1:16">
      <c r="A318" s="1"/>
      <c r="B318" s="11"/>
      <c r="C318" s="11"/>
      <c r="D318" s="11"/>
      <c r="E318" s="11"/>
      <c r="F318" s="11"/>
      <c r="G318" s="11"/>
      <c r="H318" s="11"/>
      <c r="I318" s="11"/>
      <c r="J318" s="11"/>
      <c r="K318" s="11"/>
      <c r="N318" s="1"/>
      <c r="O318" s="12"/>
      <c r="P318" s="12"/>
    </row>
    <row r="319" spans="1:16">
      <c r="A319" s="1"/>
      <c r="B319" s="11"/>
      <c r="C319" s="11"/>
      <c r="D319" s="11"/>
      <c r="E319" s="11"/>
      <c r="F319" s="11"/>
      <c r="G319" s="11"/>
      <c r="H319" s="11"/>
      <c r="I319" s="11"/>
      <c r="J319" s="11"/>
      <c r="K319" s="11"/>
      <c r="N319" s="1"/>
      <c r="O319" s="12"/>
      <c r="P319" s="12"/>
    </row>
    <row r="320" spans="1:16">
      <c r="A320" s="1"/>
      <c r="B320" s="11"/>
      <c r="C320" s="11"/>
      <c r="D320" s="11"/>
      <c r="E320" s="11"/>
      <c r="F320" s="11"/>
      <c r="G320" s="11"/>
      <c r="H320" s="11"/>
      <c r="I320" s="11"/>
      <c r="J320" s="11"/>
      <c r="K320" s="11"/>
      <c r="N320" s="1"/>
      <c r="O320" s="12"/>
      <c r="P320" s="12"/>
    </row>
    <row r="321" spans="1:16">
      <c r="A321" s="1"/>
      <c r="B321" s="11"/>
      <c r="C321" s="11"/>
      <c r="D321" s="11"/>
      <c r="E321" s="11"/>
      <c r="F321" s="11"/>
      <c r="G321" s="11"/>
      <c r="H321" s="11"/>
      <c r="I321" s="11"/>
      <c r="J321" s="11"/>
      <c r="K321" s="11"/>
      <c r="N321" s="1"/>
      <c r="O321" s="12"/>
      <c r="P321" s="12"/>
    </row>
    <row r="322" spans="1:16">
      <c r="A322" s="1"/>
      <c r="B322" s="11"/>
      <c r="C322" s="11"/>
      <c r="D322" s="11"/>
      <c r="E322" s="11"/>
      <c r="F322" s="11"/>
      <c r="G322" s="11"/>
      <c r="H322" s="11"/>
      <c r="I322" s="11"/>
      <c r="J322" s="11"/>
      <c r="K322" s="11"/>
      <c r="N322" s="1"/>
      <c r="O322" s="12"/>
      <c r="P322" s="12"/>
    </row>
    <row r="323" spans="1:16">
      <c r="A323" s="1"/>
      <c r="B323" s="11"/>
      <c r="C323" s="11"/>
      <c r="D323" s="11"/>
      <c r="E323" s="11"/>
      <c r="F323" s="11"/>
      <c r="G323" s="11"/>
      <c r="H323" s="11"/>
      <c r="I323" s="11"/>
      <c r="J323" s="11"/>
      <c r="K323" s="11"/>
      <c r="N323" s="1"/>
      <c r="O323" s="12"/>
      <c r="P323" s="12"/>
    </row>
    <row r="324" spans="1:16">
      <c r="A324" s="1"/>
      <c r="B324" s="11"/>
      <c r="C324" s="11"/>
      <c r="D324" s="11"/>
      <c r="E324" s="11"/>
      <c r="F324" s="11"/>
      <c r="G324" s="11"/>
      <c r="H324" s="11"/>
      <c r="I324" s="11"/>
      <c r="J324" s="11"/>
      <c r="K324" s="11"/>
      <c r="N324" s="1"/>
      <c r="O324" s="12"/>
      <c r="P324" s="12"/>
    </row>
    <row r="325" spans="1:16">
      <c r="B325" s="12"/>
      <c r="C325" s="12"/>
      <c r="D325" s="12"/>
      <c r="E325" s="12"/>
      <c r="F325" s="12"/>
      <c r="G325" s="12"/>
      <c r="H325" s="12"/>
      <c r="I325" s="12"/>
      <c r="J325" s="11"/>
      <c r="K325" s="11"/>
      <c r="N325" s="1"/>
      <c r="O325" s="12"/>
      <c r="P325" s="12"/>
    </row>
    <row r="326" spans="1:16">
      <c r="B326" s="12"/>
      <c r="C326" s="12"/>
      <c r="D326" s="12"/>
      <c r="E326" s="12"/>
      <c r="F326" s="12"/>
      <c r="G326" s="12"/>
      <c r="H326" s="12"/>
      <c r="I326" s="12"/>
      <c r="J326" s="12"/>
      <c r="K326" s="12"/>
      <c r="N326" s="1"/>
      <c r="O326" s="12"/>
      <c r="P326" s="12"/>
    </row>
    <row r="327" spans="1:16">
      <c r="B327" s="12"/>
      <c r="C327" s="12"/>
      <c r="D327" s="12"/>
      <c r="E327" s="12"/>
      <c r="F327" s="12"/>
      <c r="G327" s="12"/>
      <c r="H327" s="12"/>
      <c r="I327" s="12"/>
      <c r="J327" s="12"/>
      <c r="K327" s="12"/>
      <c r="N327" s="1"/>
      <c r="O327" s="12"/>
      <c r="P327" s="12"/>
    </row>
    <row r="328" spans="1:16">
      <c r="B328" s="12"/>
      <c r="C328" s="12"/>
      <c r="D328" s="12"/>
      <c r="E328" s="12"/>
      <c r="F328" s="12"/>
      <c r="G328" s="12"/>
      <c r="H328" s="12"/>
      <c r="I328" s="12"/>
      <c r="J328" s="12"/>
      <c r="K328" s="12"/>
      <c r="N328" s="12"/>
      <c r="O328" s="12"/>
      <c r="P328" s="12"/>
    </row>
    <row r="329" spans="1:16">
      <c r="B329" s="12"/>
      <c r="C329" s="12"/>
      <c r="D329" s="12"/>
      <c r="E329" s="12"/>
      <c r="F329" s="12"/>
      <c r="G329" s="12"/>
      <c r="H329" s="12"/>
      <c r="I329" s="12"/>
      <c r="J329" s="12"/>
      <c r="K329" s="12"/>
      <c r="N329" s="12"/>
      <c r="O329" s="12"/>
      <c r="P329" s="12"/>
    </row>
    <row r="330" spans="1:16">
      <c r="B330" s="12"/>
      <c r="C330" s="12"/>
      <c r="D330" s="12"/>
      <c r="E330" s="12"/>
      <c r="F330" s="12"/>
      <c r="G330" s="12"/>
      <c r="H330" s="12"/>
      <c r="I330" s="12"/>
      <c r="J330" s="12"/>
      <c r="K330" s="12"/>
      <c r="N330" s="12"/>
      <c r="O330" s="12"/>
      <c r="P330" s="12"/>
    </row>
    <row r="331" spans="1:16">
      <c r="B331" s="12"/>
      <c r="C331" s="12"/>
      <c r="D331" s="12"/>
      <c r="E331" s="12"/>
      <c r="F331" s="12"/>
      <c r="G331" s="12"/>
      <c r="H331" s="12"/>
      <c r="I331" s="12"/>
      <c r="J331" s="12"/>
      <c r="K331" s="12"/>
      <c r="N331" s="12"/>
      <c r="O331" s="12"/>
      <c r="P331" s="12"/>
    </row>
    <row r="332" spans="1:16">
      <c r="B332" s="12"/>
      <c r="C332" s="12"/>
      <c r="D332" s="12"/>
      <c r="E332" s="12"/>
      <c r="F332" s="12"/>
      <c r="G332" s="12"/>
      <c r="H332" s="12"/>
      <c r="I332" s="12"/>
      <c r="J332" s="12"/>
      <c r="K332" s="12"/>
      <c r="N332" s="12"/>
      <c r="O332" s="12"/>
      <c r="P332" s="12"/>
    </row>
    <row r="333" spans="1:16">
      <c r="B333" s="12"/>
      <c r="C333" s="12"/>
      <c r="D333" s="12"/>
      <c r="E333" s="12"/>
      <c r="F333" s="12"/>
      <c r="G333" s="12"/>
      <c r="H333" s="12"/>
      <c r="I333" s="12"/>
      <c r="J333" s="12"/>
      <c r="K333" s="12"/>
      <c r="N333" s="12"/>
      <c r="O333" s="12"/>
      <c r="P333" s="12"/>
    </row>
    <row r="334" spans="1:16">
      <c r="J334" s="12"/>
      <c r="K334" s="12"/>
      <c r="N334" s="12"/>
      <c r="O334" s="12"/>
      <c r="P334" s="12"/>
    </row>
    <row r="335" spans="1:16">
      <c r="N335" s="12"/>
      <c r="O335" s="12"/>
      <c r="P335" s="12"/>
    </row>
    <row r="336" spans="1:16">
      <c r="N336" s="12"/>
      <c r="O336" s="12"/>
      <c r="P336" s="12"/>
    </row>
  </sheetData>
  <mergeCells count="30">
    <mergeCell ref="B304:K304"/>
    <mergeCell ref="B305:K305"/>
    <mergeCell ref="B299:K299"/>
    <mergeCell ref="B298:K298"/>
    <mergeCell ref="B297:K297"/>
    <mergeCell ref="B303:K303"/>
    <mergeCell ref="B301:K301"/>
    <mergeCell ref="B302:K302"/>
    <mergeCell ref="B300:K300"/>
    <mergeCell ref="B281:K281"/>
    <mergeCell ref="B280:K280"/>
    <mergeCell ref="E290:K290"/>
    <mergeCell ref="E289:K289"/>
    <mergeCell ref="B296:K296"/>
    <mergeCell ref="B295:K295"/>
    <mergeCell ref="B294:K294"/>
    <mergeCell ref="B293:K293"/>
    <mergeCell ref="B292:K292"/>
    <mergeCell ref="B291:K291"/>
    <mergeCell ref="B287:K287"/>
    <mergeCell ref="B286:K286"/>
    <mergeCell ref="B285:K285"/>
    <mergeCell ref="B284:K284"/>
    <mergeCell ref="B283:K283"/>
    <mergeCell ref="B282:K282"/>
    <mergeCell ref="L218:Q218"/>
    <mergeCell ref="B279:K279"/>
    <mergeCell ref="C269:D269"/>
    <mergeCell ref="B278:K278"/>
    <mergeCell ref="B277:K277"/>
  </mergeCells>
  <phoneticPr fontId="0" type="noConversion"/>
  <pageMargins left="0.5" right="0.5" top="0.75" bottom="0.75" header="0.09" footer="0.5"/>
  <pageSetup scale="63" fitToHeight="5" orientation="portrait" horizontalDpi="300" verticalDpi="300" r:id="rId1"/>
  <headerFooter alignWithMargins="0"/>
  <rowBreaks count="4" manualBreakCount="4">
    <brk id="67" max="10" man="1"/>
    <brk id="133" max="10" man="1"/>
    <brk id="200" max="10" man="1"/>
    <brk id="267"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topLeftCell="A7" workbookViewId="0">
      <selection activeCell="E22" sqref="E22"/>
    </sheetView>
  </sheetViews>
  <sheetFormatPr defaultRowHeight="15"/>
  <cols>
    <col min="1" max="1" width="14" bestFit="1" customWidth="1"/>
    <col min="2" max="2" width="10.90625" style="178" bestFit="1" customWidth="1"/>
    <col min="3" max="3" width="10.6328125" bestFit="1" customWidth="1"/>
    <col min="4" max="4" width="14.6328125" bestFit="1" customWidth="1"/>
    <col min="5" max="5" width="14.90625" customWidth="1"/>
  </cols>
  <sheetData>
    <row r="1" spans="1:5" s="283" customFormat="1" ht="16.2">
      <c r="A1" s="374" t="s">
        <v>883</v>
      </c>
      <c r="B1" s="314"/>
      <c r="C1" s="314"/>
      <c r="D1" s="314"/>
      <c r="E1" s="314"/>
    </row>
    <row r="2" spans="1:5" s="283" customFormat="1" ht="16.2">
      <c r="A2" s="375" t="s">
        <v>941</v>
      </c>
      <c r="B2" s="314"/>
      <c r="C2" s="314"/>
      <c r="D2" s="314"/>
      <c r="E2" s="314"/>
    </row>
    <row r="3" spans="1:5" s="283" customFormat="1"/>
    <row r="4" spans="1:5" ht="15.6">
      <c r="A4" s="180" t="s">
        <v>882</v>
      </c>
      <c r="D4" s="227" t="s">
        <v>1122</v>
      </c>
    </row>
    <row r="5" spans="1:5" s="283" customFormat="1" ht="15.6">
      <c r="A5" s="318"/>
      <c r="B5" s="179" t="s">
        <v>510</v>
      </c>
      <c r="C5" s="179" t="s">
        <v>508</v>
      </c>
      <c r="D5" s="354" t="s">
        <v>1123</v>
      </c>
      <c r="E5" s="354" t="s">
        <v>433</v>
      </c>
    </row>
    <row r="6" spans="1:5">
      <c r="A6" s="179" t="s">
        <v>509</v>
      </c>
      <c r="C6" s="178"/>
      <c r="D6" s="178"/>
    </row>
    <row r="7" spans="1:5">
      <c r="A7" s="178" t="s">
        <v>320</v>
      </c>
      <c r="B7" s="178">
        <v>15500.95</v>
      </c>
      <c r="C7" s="178">
        <v>4.28</v>
      </c>
      <c r="D7" s="164">
        <v>3867.61</v>
      </c>
      <c r="E7">
        <f>+B7+C7-D7</f>
        <v>11637.62</v>
      </c>
    </row>
    <row r="8" spans="1:5">
      <c r="A8" s="178" t="s">
        <v>321</v>
      </c>
      <c r="B8" s="178">
        <v>13429.4</v>
      </c>
      <c r="C8" s="178">
        <v>3.8</v>
      </c>
      <c r="D8" s="164">
        <v>3493.32</v>
      </c>
      <c r="E8" s="283">
        <f t="shared" ref="E8:E18" si="0">+B8+C8-D8</f>
        <v>9939.8799999999992</v>
      </c>
    </row>
    <row r="9" spans="1:5">
      <c r="A9" s="178" t="s">
        <v>322</v>
      </c>
      <c r="B9" s="178">
        <v>11961.62</v>
      </c>
      <c r="C9" s="178">
        <v>0</v>
      </c>
      <c r="D9" s="178">
        <v>3867.61</v>
      </c>
      <c r="E9" s="283">
        <f t="shared" si="0"/>
        <v>8094.01</v>
      </c>
    </row>
    <row r="10" spans="1:5">
      <c r="A10" s="178" t="s">
        <v>323</v>
      </c>
      <c r="B10" s="178">
        <v>17997.66</v>
      </c>
      <c r="C10" s="178">
        <v>0</v>
      </c>
      <c r="D10" s="283">
        <v>3611.52</v>
      </c>
      <c r="E10" s="283">
        <f t="shared" si="0"/>
        <v>14386.14</v>
      </c>
    </row>
    <row r="11" spans="1:5">
      <c r="A11" s="178" t="s">
        <v>324</v>
      </c>
      <c r="B11" s="178">
        <v>14363.3</v>
      </c>
      <c r="C11" s="178">
        <v>3.59</v>
      </c>
      <c r="D11" s="283">
        <v>4037.24</v>
      </c>
      <c r="E11" s="283">
        <f t="shared" si="0"/>
        <v>10329.65</v>
      </c>
    </row>
    <row r="12" spans="1:5">
      <c r="A12" s="178" t="s">
        <v>325</v>
      </c>
      <c r="B12" s="178">
        <v>17040.02</v>
      </c>
      <c r="C12" s="178">
        <v>0</v>
      </c>
      <c r="D12" s="283">
        <v>4202.5</v>
      </c>
      <c r="E12" s="283">
        <f t="shared" si="0"/>
        <v>12837.52</v>
      </c>
    </row>
    <row r="13" spans="1:5">
      <c r="A13" s="178" t="s">
        <v>326</v>
      </c>
      <c r="B13" s="178">
        <v>17467.509999999998</v>
      </c>
      <c r="C13" s="178">
        <v>0</v>
      </c>
      <c r="D13" s="283">
        <v>4580.0600000000004</v>
      </c>
      <c r="E13" s="283">
        <f t="shared" si="0"/>
        <v>12887.449999999997</v>
      </c>
    </row>
    <row r="14" spans="1:5">
      <c r="A14" s="178" t="s">
        <v>327</v>
      </c>
      <c r="B14" s="178">
        <v>11430.03</v>
      </c>
      <c r="C14" s="178">
        <v>91.64</v>
      </c>
      <c r="D14" s="283">
        <v>4866.6499999999996</v>
      </c>
      <c r="E14" s="283">
        <f t="shared" si="0"/>
        <v>6655.02</v>
      </c>
    </row>
    <row r="15" spans="1:5">
      <c r="A15" s="178" t="s">
        <v>328</v>
      </c>
      <c r="B15" s="178">
        <v>16597.39</v>
      </c>
      <c r="C15" s="178">
        <v>86.07</v>
      </c>
      <c r="D15" s="283">
        <v>4743.79</v>
      </c>
      <c r="E15" s="283">
        <f t="shared" si="0"/>
        <v>11939.669999999998</v>
      </c>
    </row>
    <row r="16" spans="1:5">
      <c r="A16" s="178" t="s">
        <v>329</v>
      </c>
      <c r="B16" s="178">
        <v>15073.78</v>
      </c>
      <c r="C16" s="178">
        <v>0</v>
      </c>
      <c r="D16" s="283">
        <v>4196.6099999999997</v>
      </c>
      <c r="E16" s="283">
        <f t="shared" si="0"/>
        <v>10877.170000000002</v>
      </c>
    </row>
    <row r="17" spans="1:5">
      <c r="A17" s="178" t="s">
        <v>330</v>
      </c>
      <c r="B17" s="178">
        <v>13086.93</v>
      </c>
      <c r="C17" s="178">
        <v>0</v>
      </c>
      <c r="D17" s="283">
        <v>3958.85</v>
      </c>
      <c r="E17" s="283">
        <f t="shared" si="0"/>
        <v>9128.08</v>
      </c>
    </row>
    <row r="18" spans="1:5">
      <c r="A18" s="178" t="s">
        <v>331</v>
      </c>
      <c r="B18" s="178">
        <v>15197.09</v>
      </c>
      <c r="C18" s="178">
        <v>0</v>
      </c>
      <c r="D18" s="283">
        <v>4372.93</v>
      </c>
      <c r="E18" s="283">
        <f t="shared" si="0"/>
        <v>10824.16</v>
      </c>
    </row>
    <row r="20" spans="1:5">
      <c r="A20" s="165"/>
      <c r="B20" s="178">
        <f t="shared" ref="B20:E20" si="1">SUM(B7:B19)</f>
        <v>179145.68</v>
      </c>
      <c r="C20" s="178">
        <f t="shared" si="1"/>
        <v>189.38</v>
      </c>
      <c r="D20" s="283">
        <f t="shared" si="1"/>
        <v>49798.69</v>
      </c>
      <c r="E20" s="283">
        <f t="shared" si="1"/>
        <v>129536.37000000001</v>
      </c>
    </row>
    <row r="21" spans="1:5">
      <c r="E21" t="s">
        <v>1128</v>
      </c>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workbookViewId="0">
      <selection activeCell="A17" sqref="A17"/>
    </sheetView>
  </sheetViews>
  <sheetFormatPr defaultRowHeight="15"/>
  <cols>
    <col min="1" max="1" width="34.453125" customWidth="1"/>
  </cols>
  <sheetData>
    <row r="1" spans="1:7" ht="16.2">
      <c r="A1" s="374" t="s">
        <v>883</v>
      </c>
      <c r="B1" s="374"/>
      <c r="C1" s="374"/>
      <c r="D1" s="374"/>
      <c r="E1" s="374"/>
      <c r="F1" s="374"/>
      <c r="G1" s="374"/>
    </row>
    <row r="2" spans="1:7" ht="16.2">
      <c r="A2" s="375" t="s">
        <v>941</v>
      </c>
      <c r="B2" s="375"/>
      <c r="C2" s="375"/>
      <c r="D2" s="375"/>
      <c r="E2" s="375"/>
      <c r="F2" s="375"/>
      <c r="G2" s="375"/>
    </row>
    <row r="4" spans="1:7" ht="20.399999999999999">
      <c r="A4" s="260" t="s">
        <v>980</v>
      </c>
      <c r="B4" s="255"/>
      <c r="C4" s="255"/>
      <c r="D4" s="255"/>
      <c r="E4" s="252"/>
      <c r="F4" s="252"/>
      <c r="G4" s="252"/>
    </row>
    <row r="6" spans="1:7" ht="15.6">
      <c r="A6" s="261"/>
      <c r="B6" s="261" t="s">
        <v>981</v>
      </c>
      <c r="C6" s="252"/>
      <c r="D6" s="261"/>
      <c r="E6" s="252"/>
      <c r="F6" s="252"/>
      <c r="G6" s="252"/>
    </row>
    <row r="7" spans="1:7" ht="15.6">
      <c r="A7" s="256" t="s">
        <v>982</v>
      </c>
      <c r="B7" s="256" t="s">
        <v>983</v>
      </c>
      <c r="C7" s="256" t="s">
        <v>7</v>
      </c>
      <c r="D7" s="252"/>
      <c r="E7" s="252"/>
      <c r="F7" s="252"/>
      <c r="G7" s="252"/>
    </row>
    <row r="9" spans="1:7" ht="15.6">
      <c r="A9" s="254" t="s">
        <v>984</v>
      </c>
      <c r="B9" s="257"/>
      <c r="C9" s="257">
        <v>0</v>
      </c>
      <c r="D9" s="252"/>
      <c r="E9" s="252"/>
      <c r="F9" s="252"/>
      <c r="G9" s="252"/>
    </row>
    <row r="10" spans="1:7" ht="15.6">
      <c r="A10" s="254" t="s">
        <v>985</v>
      </c>
      <c r="B10" s="253">
        <v>928</v>
      </c>
      <c r="C10" s="253">
        <v>49799</v>
      </c>
      <c r="D10" s="252"/>
      <c r="E10" s="252"/>
      <c r="F10" s="252"/>
      <c r="G10" s="252"/>
    </row>
    <row r="11" spans="1:7" ht="17.399999999999999">
      <c r="A11" s="254" t="s">
        <v>986</v>
      </c>
      <c r="B11" s="259"/>
      <c r="C11" s="259">
        <v>0</v>
      </c>
      <c r="D11" s="252"/>
      <c r="E11" s="252"/>
      <c r="F11" s="252"/>
      <c r="G11" s="252"/>
    </row>
    <row r="13" spans="1:7" ht="15.6">
      <c r="A13" s="254" t="s">
        <v>9</v>
      </c>
      <c r="B13" s="258"/>
      <c r="C13" s="258">
        <v>49798.69</v>
      </c>
      <c r="D13" s="252"/>
      <c r="E13" s="252"/>
      <c r="F13" s="252"/>
      <c r="G13" s="252"/>
    </row>
    <row r="15" spans="1:7" ht="15.6">
      <c r="A15" s="376" t="s">
        <v>1126</v>
      </c>
      <c r="B15" s="252"/>
      <c r="C15" s="252"/>
      <c r="D15" s="252"/>
      <c r="E15" s="252"/>
      <c r="F15" s="252"/>
      <c r="G15" s="252"/>
    </row>
    <row r="16" spans="1:7" ht="15.6">
      <c r="A16" s="377" t="s">
        <v>1127</v>
      </c>
      <c r="B16" s="252"/>
      <c r="C16" s="252"/>
      <c r="D16" s="252"/>
      <c r="E16" s="252"/>
      <c r="F16" s="252"/>
      <c r="G16" s="252"/>
    </row>
    <row r="17" spans="1:1" ht="15.6">
      <c r="A17" s="254"/>
    </row>
    <row r="21" spans="1:1" ht="15.6">
      <c r="A21" s="25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workbookViewId="0">
      <selection sqref="A1:I2"/>
    </sheetView>
  </sheetViews>
  <sheetFormatPr defaultRowHeight="15"/>
  <sheetData>
    <row r="1" spans="1:9" ht="16.2">
      <c r="A1" s="374" t="s">
        <v>883</v>
      </c>
      <c r="B1" s="374"/>
      <c r="C1" s="374"/>
      <c r="D1" s="374"/>
      <c r="E1" s="374"/>
      <c r="F1" s="374"/>
      <c r="G1" s="374"/>
      <c r="H1" s="374"/>
      <c r="I1" s="374"/>
    </row>
    <row r="2" spans="1:9" ht="16.2">
      <c r="A2" s="375" t="s">
        <v>941</v>
      </c>
      <c r="B2" s="375"/>
      <c r="C2" s="375"/>
      <c r="D2" s="375"/>
      <c r="E2" s="375"/>
      <c r="F2" s="375"/>
      <c r="G2" s="375"/>
      <c r="H2" s="375"/>
      <c r="I2" s="375"/>
    </row>
    <row r="4" spans="1:9" ht="20.399999999999999">
      <c r="A4" s="292" t="s">
        <v>1036</v>
      </c>
      <c r="B4" s="288"/>
      <c r="C4" s="288"/>
      <c r="D4" s="288"/>
      <c r="E4" s="288"/>
      <c r="F4" s="285"/>
      <c r="G4" s="285"/>
      <c r="H4" s="285"/>
      <c r="I4" s="285"/>
    </row>
    <row r="5" spans="1:9">
      <c r="A5" s="284" t="s">
        <v>918</v>
      </c>
    </row>
    <row r="7" spans="1:9" ht="15.6">
      <c r="A7" s="285" t="s">
        <v>1037</v>
      </c>
      <c r="B7" s="289">
        <v>0</v>
      </c>
      <c r="C7" s="285" t="s">
        <v>1038</v>
      </c>
      <c r="D7" s="285"/>
      <c r="E7" s="285"/>
      <c r="F7" s="285"/>
      <c r="G7" s="285"/>
      <c r="H7" s="285"/>
      <c r="I7" s="285"/>
    </row>
    <row r="12" spans="1:9" ht="15.6">
      <c r="A12" s="285" t="s">
        <v>1039</v>
      </c>
      <c r="B12" s="285"/>
      <c r="C12" s="285"/>
      <c r="D12" s="285"/>
      <c r="E12" s="285"/>
      <c r="F12" s="285"/>
      <c r="G12" s="285"/>
      <c r="H12" s="285"/>
      <c r="I12" s="285"/>
    </row>
    <row r="13" spans="1:9" ht="15.6">
      <c r="A13" s="287" t="s">
        <v>1040</v>
      </c>
      <c r="B13" s="289">
        <v>0</v>
      </c>
      <c r="C13" s="285" t="s">
        <v>1041</v>
      </c>
      <c r="D13" s="285"/>
      <c r="E13" s="285"/>
      <c r="F13" s="285"/>
      <c r="G13" s="285"/>
      <c r="H13" s="285"/>
      <c r="I13" s="285"/>
    </row>
    <row r="14" spans="1:9" ht="15.6">
      <c r="A14" s="287" t="s">
        <v>1042</v>
      </c>
      <c r="B14" s="291">
        <v>0</v>
      </c>
      <c r="C14" s="285" t="s">
        <v>1043</v>
      </c>
      <c r="D14" s="285"/>
      <c r="E14" s="285"/>
      <c r="F14" s="285"/>
      <c r="G14" s="285"/>
      <c r="H14" s="285"/>
      <c r="I14" s="285"/>
    </row>
    <row r="15" spans="1:9" ht="15.6">
      <c r="A15" s="285"/>
      <c r="B15" s="290">
        <v>0</v>
      </c>
      <c r="C15" s="285"/>
      <c r="D15" s="285"/>
      <c r="E15" s="285"/>
      <c r="F15" s="285"/>
      <c r="G15" s="285"/>
      <c r="H15" s="285"/>
      <c r="I15" s="285"/>
    </row>
    <row r="18" spans="1:6" ht="15.6">
      <c r="A18" s="285" t="s">
        <v>1044</v>
      </c>
      <c r="B18" s="285"/>
      <c r="C18" s="285"/>
      <c r="D18" s="285"/>
      <c r="E18" s="285"/>
      <c r="F18" s="285"/>
    </row>
    <row r="19" spans="1:6" ht="15.6">
      <c r="A19" s="287" t="s">
        <v>1045</v>
      </c>
      <c r="B19" s="289">
        <v>0</v>
      </c>
      <c r="C19" s="285" t="s">
        <v>1046</v>
      </c>
      <c r="D19" s="285"/>
      <c r="E19" s="285"/>
      <c r="F19" s="285"/>
    </row>
    <row r="20" spans="1:6" ht="15.6">
      <c r="A20" s="287" t="s">
        <v>1045</v>
      </c>
      <c r="B20" s="291">
        <v>0</v>
      </c>
      <c r="C20" s="285" t="s">
        <v>1046</v>
      </c>
      <c r="D20" s="285"/>
      <c r="E20" s="285"/>
      <c r="F20" s="285"/>
    </row>
    <row r="21" spans="1:6" ht="15.6">
      <c r="A21" s="285"/>
      <c r="B21" s="286">
        <v>0</v>
      </c>
      <c r="C21" s="285"/>
      <c r="D21" s="285"/>
      <c r="E21" s="285"/>
      <c r="F21" s="285"/>
    </row>
    <row r="24" spans="1:6" ht="15.6">
      <c r="A24" s="288" t="s">
        <v>1047</v>
      </c>
      <c r="B24" s="288"/>
      <c r="C24" s="288"/>
      <c r="D24" s="288"/>
      <c r="E24" s="288"/>
      <c r="F24" s="288"/>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sqref="A1:H2"/>
    </sheetView>
  </sheetViews>
  <sheetFormatPr defaultRowHeight="15"/>
  <cols>
    <col min="5" max="5" width="9" bestFit="1" customWidth="1"/>
  </cols>
  <sheetData>
    <row r="1" spans="1:8" ht="16.2">
      <c r="A1" s="374" t="s">
        <v>883</v>
      </c>
      <c r="B1" s="374"/>
      <c r="C1" s="374"/>
      <c r="D1" s="374"/>
      <c r="E1" s="374"/>
      <c r="F1" s="374"/>
      <c r="G1" s="374"/>
      <c r="H1" s="374"/>
    </row>
    <row r="2" spans="1:8" ht="16.2">
      <c r="A2" s="375" t="s">
        <v>941</v>
      </c>
      <c r="B2" s="375"/>
      <c r="C2" s="375"/>
      <c r="D2" s="375"/>
      <c r="E2" s="375"/>
      <c r="F2" s="375"/>
      <c r="G2" s="375"/>
      <c r="H2" s="375"/>
    </row>
    <row r="4" spans="1:8" ht="21">
      <c r="A4" s="299" t="s">
        <v>1048</v>
      </c>
      <c r="B4" s="299"/>
      <c r="C4" s="299"/>
      <c r="D4" s="299"/>
      <c r="E4" s="293"/>
      <c r="F4" s="293"/>
      <c r="G4" s="293"/>
      <c r="H4" s="293"/>
    </row>
    <row r="6" spans="1:8" ht="15.6">
      <c r="A6" s="293" t="s">
        <v>1049</v>
      </c>
      <c r="B6" s="293"/>
      <c r="C6" s="293"/>
      <c r="D6" s="293"/>
      <c r="E6" s="296">
        <v>1212915.4099999999</v>
      </c>
      <c r="F6" s="293"/>
      <c r="G6" s="293" t="s">
        <v>1050</v>
      </c>
      <c r="H6" s="293"/>
    </row>
    <row r="7" spans="1:8" ht="15.6">
      <c r="A7" s="293" t="s">
        <v>1051</v>
      </c>
      <c r="B7" s="293"/>
      <c r="C7" s="293"/>
      <c r="D7" s="293"/>
      <c r="E7" s="295">
        <v>0</v>
      </c>
      <c r="F7" s="293"/>
      <c r="G7" s="293" t="s">
        <v>1052</v>
      </c>
      <c r="H7" s="293"/>
    </row>
    <row r="8" spans="1:8" ht="15.6">
      <c r="A8" s="293" t="s">
        <v>1066</v>
      </c>
      <c r="B8" s="293"/>
      <c r="C8" s="293"/>
      <c r="D8" s="293"/>
      <c r="E8" s="295">
        <v>0</v>
      </c>
      <c r="F8" s="293"/>
      <c r="G8" s="293" t="s">
        <v>1053</v>
      </c>
      <c r="H8" s="293"/>
    </row>
    <row r="9" spans="1:8" ht="15.6">
      <c r="A9" s="293" t="s">
        <v>1054</v>
      </c>
      <c r="B9" s="293"/>
      <c r="C9" s="293"/>
      <c r="D9" s="293"/>
      <c r="E9" s="295">
        <v>0</v>
      </c>
      <c r="F9" s="293"/>
      <c r="G9" s="293" t="s">
        <v>1055</v>
      </c>
      <c r="H9" s="293"/>
    </row>
    <row r="10" spans="1:8" ht="15.6">
      <c r="A10" s="293" t="s">
        <v>1056</v>
      </c>
      <c r="B10" s="293"/>
      <c r="C10" s="293"/>
      <c r="D10" s="293"/>
      <c r="E10" s="298">
        <v>0</v>
      </c>
      <c r="F10" s="293"/>
      <c r="G10" s="293" t="s">
        <v>1057</v>
      </c>
      <c r="H10" s="293"/>
    </row>
    <row r="11" spans="1:8" ht="15.6">
      <c r="A11" s="293" t="s">
        <v>1058</v>
      </c>
      <c r="B11" s="293"/>
      <c r="C11" s="293"/>
      <c r="D11" s="293"/>
      <c r="E11" s="297">
        <v>0</v>
      </c>
      <c r="F11" s="293"/>
      <c r="G11" s="293" t="s">
        <v>1059</v>
      </c>
      <c r="H11" s="293"/>
    </row>
    <row r="12" spans="1:8" ht="15.6">
      <c r="A12" s="293" t="s">
        <v>9</v>
      </c>
      <c r="B12" s="293"/>
      <c r="C12" s="293"/>
      <c r="D12" s="293"/>
      <c r="E12" s="294">
        <v>1212915.4099999999</v>
      </c>
      <c r="F12" s="293"/>
      <c r="G12" s="293" t="s">
        <v>1060</v>
      </c>
      <c r="H12" s="293"/>
    </row>
    <row r="13" spans="1:8" ht="15.6">
      <c r="A13" s="293"/>
      <c r="B13" s="293"/>
      <c r="C13" s="293"/>
      <c r="D13" s="293"/>
      <c r="E13" s="293"/>
      <c r="F13" s="293"/>
      <c r="G13" s="293" t="s">
        <v>1061</v>
      </c>
      <c r="H13" s="293"/>
    </row>
    <row r="14" spans="1:8" ht="15.6">
      <c r="A14" s="293"/>
      <c r="B14" s="293"/>
      <c r="C14" s="293"/>
      <c r="D14" s="293"/>
      <c r="E14" s="293"/>
      <c r="F14" s="293"/>
      <c r="G14" s="293" t="s">
        <v>1062</v>
      </c>
      <c r="H14" s="293"/>
    </row>
    <row r="15" spans="1:8" ht="15.6">
      <c r="A15" s="293"/>
      <c r="B15" s="293"/>
      <c r="C15" s="293"/>
      <c r="D15" s="293"/>
      <c r="E15" s="293"/>
      <c r="F15" s="293"/>
      <c r="G15" s="293" t="s">
        <v>1063</v>
      </c>
      <c r="H15" s="293"/>
    </row>
    <row r="16" spans="1:8" ht="15.6">
      <c r="G16" s="264" t="s">
        <v>1064</v>
      </c>
    </row>
    <row r="18" spans="1:1" ht="15.6">
      <c r="A18" s="264" t="s">
        <v>1067</v>
      </c>
    </row>
    <row r="19" spans="1:1" ht="15.6">
      <c r="A19" s="264" t="s">
        <v>1065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topLeftCell="A10" workbookViewId="0">
      <selection sqref="A1:G2"/>
    </sheetView>
  </sheetViews>
  <sheetFormatPr defaultRowHeight="15"/>
  <cols>
    <col min="1" max="1" width="41.7265625" bestFit="1" customWidth="1"/>
  </cols>
  <sheetData>
    <row r="1" spans="1:7" s="283" customFormat="1" ht="16.2">
      <c r="A1" s="374" t="s">
        <v>883</v>
      </c>
      <c r="B1" s="374"/>
      <c r="C1" s="374"/>
      <c r="D1" s="374"/>
      <c r="E1" s="374"/>
      <c r="F1" s="374"/>
      <c r="G1" s="374"/>
    </row>
    <row r="2" spans="1:7" s="283" customFormat="1" ht="16.2">
      <c r="A2" s="375" t="s">
        <v>941</v>
      </c>
      <c r="B2" s="375"/>
      <c r="C2" s="375"/>
      <c r="D2" s="375"/>
      <c r="E2" s="375"/>
      <c r="F2" s="375"/>
      <c r="G2" s="375"/>
    </row>
    <row r="3" spans="1:7">
      <c r="A3" s="174" t="s">
        <v>879</v>
      </c>
      <c r="B3" s="168"/>
      <c r="C3" s="168"/>
      <c r="D3" s="168"/>
      <c r="E3" s="168"/>
    </row>
    <row r="4" spans="1:7">
      <c r="A4" s="174"/>
      <c r="B4" s="168"/>
      <c r="C4" s="168"/>
      <c r="D4" s="168"/>
      <c r="E4" s="168"/>
    </row>
    <row r="5" spans="1:7">
      <c r="A5" s="169" t="s">
        <v>493</v>
      </c>
      <c r="B5" s="169"/>
      <c r="C5" s="168"/>
      <c r="D5" s="168"/>
      <c r="E5" s="168"/>
    </row>
    <row r="6" spans="1:7">
      <c r="A6" s="169" t="s">
        <v>494</v>
      </c>
      <c r="B6" s="170">
        <v>27985</v>
      </c>
      <c r="C6" s="168"/>
      <c r="D6" s="168"/>
      <c r="E6" s="168"/>
    </row>
    <row r="7" spans="1:7">
      <c r="A7" s="169" t="s">
        <v>495</v>
      </c>
      <c r="B7" s="170">
        <v>0</v>
      </c>
      <c r="C7" s="168"/>
      <c r="D7" s="168"/>
      <c r="E7" s="168"/>
    </row>
    <row r="8" spans="1:7">
      <c r="A8" s="169" t="s">
        <v>496</v>
      </c>
      <c r="B8" s="170">
        <v>479371</v>
      </c>
      <c r="C8" s="168"/>
      <c r="D8" s="168"/>
      <c r="E8" s="168"/>
    </row>
    <row r="9" spans="1:7">
      <c r="A9" s="169" t="s">
        <v>497</v>
      </c>
      <c r="B9" s="170">
        <v>462627</v>
      </c>
      <c r="C9" s="168"/>
      <c r="D9" s="168"/>
      <c r="E9" s="168"/>
    </row>
    <row r="10" spans="1:7">
      <c r="A10" s="169" t="s">
        <v>9</v>
      </c>
      <c r="B10" s="173">
        <v>969983</v>
      </c>
      <c r="C10" s="168"/>
      <c r="D10" s="168"/>
      <c r="E10" s="168"/>
    </row>
    <row r="12" spans="1:7">
      <c r="A12" s="169" t="s">
        <v>498</v>
      </c>
      <c r="B12" s="169">
        <v>32.51</v>
      </c>
      <c r="C12" s="168"/>
      <c r="D12" s="168"/>
      <c r="E12" s="168"/>
    </row>
    <row r="14" spans="1:7">
      <c r="A14" s="176" t="s">
        <v>499</v>
      </c>
      <c r="B14" s="176"/>
      <c r="C14" s="175" t="s">
        <v>500</v>
      </c>
      <c r="D14" s="175"/>
      <c r="E14" s="175"/>
    </row>
    <row r="15" spans="1:7">
      <c r="A15" s="176" t="s">
        <v>501</v>
      </c>
      <c r="B15" s="176">
        <v>0.49</v>
      </c>
      <c r="C15" s="175"/>
      <c r="D15" s="175"/>
      <c r="E15" s="175"/>
    </row>
    <row r="16" spans="1:7">
      <c r="A16" s="176" t="s">
        <v>502</v>
      </c>
      <c r="B16" s="176">
        <v>0.78</v>
      </c>
      <c r="C16" s="175"/>
      <c r="D16" s="175"/>
      <c r="E16" s="175"/>
    </row>
    <row r="17" spans="1:5">
      <c r="A17" s="176" t="s">
        <v>503</v>
      </c>
      <c r="B17" s="176">
        <v>0.72</v>
      </c>
      <c r="C17" s="175"/>
      <c r="D17" s="175"/>
      <c r="E17" s="175"/>
    </row>
    <row r="18" spans="1:5">
      <c r="A18" s="176" t="s">
        <v>504</v>
      </c>
      <c r="B18" s="177">
        <v>1.99</v>
      </c>
      <c r="C18" s="175"/>
      <c r="D18" s="175"/>
      <c r="E18" s="175"/>
    </row>
    <row r="20" spans="1:5">
      <c r="A20" s="169" t="s">
        <v>505</v>
      </c>
      <c r="B20" s="171">
        <v>6.1211934789295604E-2</v>
      </c>
      <c r="C20" s="171"/>
    </row>
    <row r="22" spans="1:5" ht="24" customHeight="1">
      <c r="A22" s="172" t="s">
        <v>506</v>
      </c>
      <c r="B22" s="170">
        <v>59374.536142725316</v>
      </c>
      <c r="C22" s="168"/>
    </row>
    <row r="24" spans="1:5">
      <c r="A24" s="168" t="s">
        <v>507</v>
      </c>
      <c r="B24" s="168"/>
      <c r="C24" s="168"/>
    </row>
  </sheetData>
  <pageMargins left="0.7" right="0.7" top="0.75" bottom="0.75" header="0.3" footer="0.3"/>
  <pageSetup scale="9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topLeftCell="A61" workbookViewId="0">
      <selection activeCell="A18" sqref="A18"/>
    </sheetView>
  </sheetViews>
  <sheetFormatPr defaultRowHeight="15"/>
  <cols>
    <col min="1" max="1" width="13.08984375" style="162" customWidth="1"/>
    <col min="2" max="2" width="12.54296875" bestFit="1" customWidth="1"/>
    <col min="3" max="4" width="13.54296875" bestFit="1" customWidth="1"/>
    <col min="5" max="5" width="7.36328125" bestFit="1" customWidth="1"/>
    <col min="6" max="6" width="12.54296875" bestFit="1" customWidth="1"/>
    <col min="7" max="7" width="13.54296875" bestFit="1" customWidth="1"/>
  </cols>
  <sheetData>
    <row r="1" spans="1:7" ht="16.2">
      <c r="A1" s="374" t="s">
        <v>883</v>
      </c>
      <c r="B1" s="374"/>
      <c r="C1" s="374"/>
      <c r="D1" s="374"/>
      <c r="E1" s="374"/>
      <c r="F1" s="374"/>
      <c r="G1" s="374"/>
    </row>
    <row r="2" spans="1:7" ht="16.2">
      <c r="A2" s="375" t="s">
        <v>941</v>
      </c>
      <c r="B2" s="375"/>
      <c r="C2" s="375"/>
      <c r="D2" s="375"/>
      <c r="E2" s="375"/>
      <c r="F2" s="375"/>
      <c r="G2" s="375"/>
    </row>
    <row r="4" spans="1:7" s="166" customFormat="1" ht="21">
      <c r="A4" s="303" t="s">
        <v>1068</v>
      </c>
      <c r="B4" s="300"/>
      <c r="C4" s="300"/>
      <c r="D4" s="300"/>
      <c r="E4" s="300"/>
      <c r="F4" s="300"/>
      <c r="G4" s="300"/>
    </row>
    <row r="5" spans="1:7">
      <c r="A5" s="167"/>
      <c r="B5" s="167"/>
      <c r="C5" s="167"/>
    </row>
    <row r="6" spans="1:7">
      <c r="C6" s="178"/>
    </row>
    <row r="7" spans="1:7" ht="15.6">
      <c r="A7" s="300" t="s">
        <v>907</v>
      </c>
      <c r="B7" s="308">
        <v>8573558.9199999999</v>
      </c>
      <c r="C7" s="300"/>
      <c r="D7" s="300" t="s">
        <v>1069</v>
      </c>
      <c r="E7" s="300"/>
      <c r="F7" s="300"/>
      <c r="G7" s="300"/>
    </row>
    <row r="8" spans="1:7" ht="15.6">
      <c r="A8" s="300" t="s">
        <v>1070</v>
      </c>
      <c r="B8" s="307">
        <v>557927.25</v>
      </c>
      <c r="C8" s="300"/>
      <c r="D8" s="300" t="s">
        <v>1071</v>
      </c>
      <c r="E8" s="300"/>
      <c r="F8" s="300"/>
      <c r="G8" s="300"/>
    </row>
    <row r="9" spans="1:7" ht="15.6">
      <c r="A9" s="300" t="s">
        <v>1072</v>
      </c>
      <c r="B9" s="307">
        <v>2089593.58</v>
      </c>
      <c r="C9" s="300"/>
      <c r="D9" s="300" t="s">
        <v>1073</v>
      </c>
      <c r="E9" s="300"/>
      <c r="F9" s="300"/>
      <c r="G9" s="300"/>
    </row>
    <row r="10" spans="1:7" ht="17.399999999999999">
      <c r="A10" s="300" t="s">
        <v>1074</v>
      </c>
      <c r="B10" s="309">
        <v>440217.13</v>
      </c>
      <c r="C10" s="300"/>
      <c r="D10" s="300" t="s">
        <v>1075</v>
      </c>
      <c r="E10" s="300"/>
      <c r="F10" s="300"/>
      <c r="G10" s="300"/>
    </row>
    <row r="11" spans="1:7" ht="15.6">
      <c r="A11" s="300"/>
      <c r="B11" s="302">
        <v>11661296.880000001</v>
      </c>
      <c r="C11" s="300"/>
      <c r="D11" s="300" t="s">
        <v>1079</v>
      </c>
      <c r="E11" s="300"/>
      <c r="F11" s="300"/>
      <c r="G11" s="300"/>
    </row>
    <row r="12" spans="1:7" ht="15.6">
      <c r="A12" s="300"/>
      <c r="B12" s="300"/>
      <c r="C12" s="300"/>
      <c r="D12" s="300" t="s">
        <v>1076</v>
      </c>
      <c r="E12" s="300"/>
      <c r="F12" s="300"/>
      <c r="G12" s="300"/>
    </row>
    <row r="13" spans="1:7" ht="15.6">
      <c r="A13" s="300"/>
      <c r="B13" s="300"/>
      <c r="C13" s="300"/>
      <c r="D13" s="301" t="s">
        <v>1080</v>
      </c>
      <c r="E13" s="300"/>
      <c r="F13" s="300"/>
      <c r="G13" s="300"/>
    </row>
    <row r="14" spans="1:7" ht="15.6">
      <c r="A14" s="300"/>
      <c r="B14" s="300"/>
      <c r="C14" s="300"/>
      <c r="D14" s="301"/>
      <c r="E14" s="300"/>
      <c r="F14" s="300"/>
      <c r="G14" s="300"/>
    </row>
    <row r="15" spans="1:7">
      <c r="C15" s="178"/>
    </row>
    <row r="16" spans="1:7" ht="15.6">
      <c r="A16" s="376" t="s">
        <v>1124</v>
      </c>
      <c r="B16" s="304"/>
      <c r="C16" s="304"/>
      <c r="D16" s="304"/>
      <c r="E16" s="304"/>
      <c r="F16" s="304"/>
      <c r="G16" s="304"/>
    </row>
    <row r="17" spans="1:7" ht="15.6">
      <c r="A17" s="376" t="s">
        <v>1125</v>
      </c>
      <c r="B17" s="304"/>
      <c r="C17" s="304"/>
      <c r="D17" s="304"/>
      <c r="E17" s="304"/>
      <c r="F17" s="304"/>
      <c r="G17" s="304"/>
    </row>
    <row r="18" spans="1:7" ht="15.6">
      <c r="A18" s="306"/>
      <c r="B18" s="304"/>
      <c r="C18" s="304"/>
      <c r="D18" s="304"/>
      <c r="E18" s="304"/>
      <c r="F18" s="304"/>
      <c r="G18" s="304"/>
    </row>
    <row r="19" spans="1:7" ht="15.6">
      <c r="A19" s="300" t="s">
        <v>1077</v>
      </c>
      <c r="B19" s="300"/>
      <c r="C19" s="300"/>
      <c r="D19" s="300"/>
      <c r="E19" s="300"/>
      <c r="F19" s="300"/>
      <c r="G19" s="300"/>
    </row>
    <row r="20" spans="1:7" ht="15.6">
      <c r="A20" s="305" t="s">
        <v>1078</v>
      </c>
      <c r="B20" s="300"/>
      <c r="C20" s="300"/>
      <c r="D20" s="300"/>
      <c r="E20" s="300"/>
      <c r="F20" s="300"/>
      <c r="G20" s="300"/>
    </row>
    <row r="21" spans="1:7" ht="15.6">
      <c r="A21" s="300"/>
      <c r="B21" s="300"/>
      <c r="C21" s="300"/>
      <c r="D21" s="300"/>
      <c r="E21" s="300"/>
      <c r="F21" s="300"/>
      <c r="G21" s="300"/>
    </row>
    <row r="23" spans="1:7" ht="15.6">
      <c r="A23" s="311" t="s">
        <v>881</v>
      </c>
      <c r="B23" s="283"/>
      <c r="C23" s="283"/>
      <c r="D23" s="178"/>
      <c r="E23" s="178"/>
    </row>
    <row r="24" spans="1:7" ht="15.6">
      <c r="A24" s="311" t="s">
        <v>434</v>
      </c>
      <c r="B24" s="283"/>
      <c r="C24" s="283"/>
      <c r="D24" s="178"/>
      <c r="E24" s="178"/>
    </row>
    <row r="25" spans="1:7">
      <c r="B25" s="178"/>
      <c r="C25" s="178"/>
      <c r="D25" s="178"/>
      <c r="E25" s="178"/>
    </row>
    <row r="26" spans="1:7">
      <c r="A26" s="317" t="s">
        <v>488</v>
      </c>
      <c r="B26" s="317" t="s">
        <v>489</v>
      </c>
      <c r="C26" s="317" t="s">
        <v>490</v>
      </c>
      <c r="D26" s="178"/>
      <c r="E26" s="178"/>
    </row>
    <row r="27" spans="1:7">
      <c r="A27" s="317" t="s">
        <v>491</v>
      </c>
      <c r="B27" s="317" t="s">
        <v>492</v>
      </c>
      <c r="C27" s="317" t="s">
        <v>880</v>
      </c>
      <c r="D27" s="178"/>
      <c r="E27" s="178"/>
    </row>
    <row r="28" spans="1:7">
      <c r="A28" s="310">
        <v>500</v>
      </c>
      <c r="B28" s="283" t="s">
        <v>435</v>
      </c>
      <c r="C28" s="316">
        <v>952234.33</v>
      </c>
      <c r="D28" s="178"/>
      <c r="E28" s="178"/>
    </row>
    <row r="29" spans="1:7">
      <c r="A29" s="310">
        <v>501</v>
      </c>
      <c r="B29" s="283" t="s">
        <v>436</v>
      </c>
      <c r="C29" s="316">
        <v>493706.88</v>
      </c>
      <c r="D29" s="178"/>
      <c r="E29" s="178"/>
    </row>
    <row r="30" spans="1:7">
      <c r="A30" s="310">
        <v>502</v>
      </c>
      <c r="B30" s="283" t="s">
        <v>437</v>
      </c>
      <c r="C30" s="316">
        <v>1207049.29</v>
      </c>
      <c r="D30" s="178"/>
      <c r="E30" s="178"/>
    </row>
    <row r="31" spans="1:7">
      <c r="A31" s="310">
        <v>505</v>
      </c>
      <c r="B31" s="283" t="s">
        <v>438</v>
      </c>
      <c r="C31" s="316">
        <v>726504.34</v>
      </c>
      <c r="D31" s="178"/>
      <c r="E31" s="178"/>
    </row>
    <row r="32" spans="1:7">
      <c r="A32" s="310">
        <v>506</v>
      </c>
      <c r="B32" s="283" t="s">
        <v>439</v>
      </c>
      <c r="C32" s="316">
        <v>1094433</v>
      </c>
      <c r="D32" s="178"/>
      <c r="E32" s="178"/>
    </row>
    <row r="33" spans="1:5">
      <c r="A33" s="310">
        <v>510</v>
      </c>
      <c r="B33" s="283" t="s">
        <v>440</v>
      </c>
      <c r="C33" s="316">
        <v>969369.31</v>
      </c>
      <c r="D33" s="178"/>
      <c r="E33" s="178"/>
    </row>
    <row r="34" spans="1:5">
      <c r="A34" s="310">
        <v>511</v>
      </c>
      <c r="B34" s="283" t="s">
        <v>441</v>
      </c>
      <c r="C34" s="316">
        <v>280233.65999999997</v>
      </c>
      <c r="D34" s="178"/>
      <c r="E34" s="178"/>
    </row>
    <row r="35" spans="1:5">
      <c r="A35" s="310">
        <v>512</v>
      </c>
      <c r="B35" s="283" t="s">
        <v>442</v>
      </c>
      <c r="C35" s="316">
        <v>1196089.03</v>
      </c>
      <c r="D35" s="178"/>
      <c r="E35" s="178"/>
    </row>
    <row r="36" spans="1:5">
      <c r="A36" s="310">
        <v>513</v>
      </c>
      <c r="B36" s="283" t="s">
        <v>443</v>
      </c>
      <c r="C36" s="316">
        <v>475979.44</v>
      </c>
      <c r="D36" s="178"/>
      <c r="E36" s="178"/>
    </row>
    <row r="37" spans="1:5">
      <c r="A37" s="310">
        <v>514</v>
      </c>
      <c r="B37" s="283" t="s">
        <v>444</v>
      </c>
      <c r="C37" s="316">
        <v>229869.96</v>
      </c>
      <c r="D37" s="178"/>
      <c r="E37" s="178"/>
    </row>
    <row r="38" spans="1:5">
      <c r="A38" s="310">
        <v>516</v>
      </c>
      <c r="B38" s="283" t="s">
        <v>445</v>
      </c>
      <c r="C38" s="316">
        <v>261255.46</v>
      </c>
      <c r="D38" s="178"/>
      <c r="E38" s="178"/>
    </row>
    <row r="39" spans="1:5">
      <c r="A39" s="310">
        <v>556</v>
      </c>
      <c r="B39" s="283" t="s">
        <v>446</v>
      </c>
      <c r="C39" s="316">
        <v>93503.6</v>
      </c>
      <c r="D39" s="283"/>
      <c r="E39" s="178"/>
    </row>
    <row r="40" spans="1:5">
      <c r="A40" s="310">
        <v>557</v>
      </c>
      <c r="B40" s="283" t="s">
        <v>447</v>
      </c>
      <c r="C40" s="316">
        <v>593330.62</v>
      </c>
      <c r="D40" s="316">
        <v>8573558.9199999999</v>
      </c>
      <c r="E40" s="178"/>
    </row>
    <row r="41" spans="1:5">
      <c r="A41" s="310">
        <v>560</v>
      </c>
      <c r="B41" s="283" t="s">
        <v>448</v>
      </c>
      <c r="C41" s="315">
        <v>48164.76</v>
      </c>
      <c r="D41" s="283"/>
      <c r="E41" s="178"/>
    </row>
    <row r="42" spans="1:5">
      <c r="A42" s="310">
        <v>561</v>
      </c>
      <c r="B42" s="283" t="s">
        <v>449</v>
      </c>
      <c r="C42" s="315">
        <v>201740.79</v>
      </c>
      <c r="D42" s="283"/>
      <c r="E42" s="178"/>
    </row>
    <row r="43" spans="1:5">
      <c r="A43" s="310">
        <v>562</v>
      </c>
      <c r="B43" s="283" t="s">
        <v>450</v>
      </c>
      <c r="C43" s="315">
        <v>91065.39</v>
      </c>
      <c r="D43" s="283"/>
      <c r="E43" s="178"/>
    </row>
    <row r="44" spans="1:5">
      <c r="A44" s="310">
        <v>563</v>
      </c>
      <c r="B44" s="283" t="s">
        <v>451</v>
      </c>
      <c r="C44" s="315">
        <v>2870.12</v>
      </c>
      <c r="D44" s="283"/>
      <c r="E44" s="178"/>
    </row>
    <row r="45" spans="1:5">
      <c r="A45" s="310">
        <v>566</v>
      </c>
      <c r="B45" s="283" t="s">
        <v>452</v>
      </c>
      <c r="C45" s="315">
        <v>46302.27</v>
      </c>
      <c r="D45" s="283"/>
      <c r="E45" s="178"/>
    </row>
    <row r="46" spans="1:5">
      <c r="A46" s="310">
        <v>568</v>
      </c>
      <c r="B46" s="283" t="s">
        <v>453</v>
      </c>
      <c r="C46" s="315">
        <v>22697.06</v>
      </c>
      <c r="D46" s="283"/>
      <c r="E46" s="178"/>
    </row>
    <row r="47" spans="1:5">
      <c r="A47" s="310">
        <v>570</v>
      </c>
      <c r="B47" s="283" t="s">
        <v>454</v>
      </c>
      <c r="C47" s="315">
        <v>39346.69</v>
      </c>
      <c r="D47" s="283"/>
      <c r="E47" s="178"/>
    </row>
    <row r="48" spans="1:5">
      <c r="A48" s="310">
        <v>571</v>
      </c>
      <c r="B48" s="283" t="s">
        <v>455</v>
      </c>
      <c r="C48" s="315">
        <v>57374.05</v>
      </c>
      <c r="D48" s="283"/>
      <c r="E48" s="178"/>
    </row>
    <row r="49" spans="1:5">
      <c r="A49" s="310">
        <v>575</v>
      </c>
      <c r="B49" s="283" t="s">
        <v>456</v>
      </c>
      <c r="C49" s="315">
        <v>48366.12</v>
      </c>
      <c r="D49" s="315">
        <v>557927.25</v>
      </c>
      <c r="E49" s="178"/>
    </row>
    <row r="50" spans="1:5">
      <c r="A50" s="310">
        <v>580</v>
      </c>
      <c r="B50" s="283" t="s">
        <v>457</v>
      </c>
      <c r="C50" s="313">
        <v>135011.6</v>
      </c>
      <c r="D50" s="283"/>
      <c r="E50" s="178"/>
    </row>
    <row r="51" spans="1:5">
      <c r="A51" s="310">
        <v>581</v>
      </c>
      <c r="B51" s="283" t="s">
        <v>458</v>
      </c>
      <c r="C51" s="313">
        <v>269428.49</v>
      </c>
      <c r="D51" s="283"/>
      <c r="E51" s="178"/>
    </row>
    <row r="52" spans="1:5">
      <c r="A52" s="310">
        <v>582</v>
      </c>
      <c r="B52" s="283" t="s">
        <v>459</v>
      </c>
      <c r="C52" s="313">
        <v>66504.67</v>
      </c>
      <c r="D52" s="283"/>
      <c r="E52" s="178"/>
    </row>
    <row r="53" spans="1:5">
      <c r="A53" s="310">
        <v>583</v>
      </c>
      <c r="B53" s="283" t="s">
        <v>460</v>
      </c>
      <c r="C53" s="313">
        <v>324.95999999999998</v>
      </c>
      <c r="D53" s="283"/>
      <c r="E53" s="178"/>
    </row>
    <row r="54" spans="1:5">
      <c r="A54" s="310">
        <v>584</v>
      </c>
      <c r="B54" s="283" t="s">
        <v>461</v>
      </c>
      <c r="C54" s="313">
        <v>31529.9</v>
      </c>
      <c r="D54" s="283"/>
      <c r="E54" s="178"/>
    </row>
    <row r="55" spans="1:5">
      <c r="A55" s="310">
        <v>585</v>
      </c>
      <c r="B55" s="283" t="s">
        <v>462</v>
      </c>
      <c r="C55" s="313">
        <v>16416.88</v>
      </c>
      <c r="D55" s="283"/>
      <c r="E55" s="178"/>
    </row>
    <row r="56" spans="1:5">
      <c r="A56" s="310">
        <v>586</v>
      </c>
      <c r="B56" s="283" t="s">
        <v>463</v>
      </c>
      <c r="C56" s="313">
        <v>87899.53</v>
      </c>
      <c r="D56" s="283"/>
      <c r="E56" s="178"/>
    </row>
    <row r="57" spans="1:5">
      <c r="A57" s="310">
        <v>587</v>
      </c>
      <c r="B57" s="283" t="s">
        <v>464</v>
      </c>
      <c r="C57" s="313">
        <v>6378.41</v>
      </c>
      <c r="D57" s="283"/>
      <c r="E57" s="178"/>
    </row>
    <row r="58" spans="1:5">
      <c r="A58" s="310">
        <v>588</v>
      </c>
      <c r="B58" s="283" t="s">
        <v>465</v>
      </c>
      <c r="C58" s="313">
        <v>380406.91</v>
      </c>
      <c r="D58" s="283"/>
      <c r="E58" s="178"/>
    </row>
    <row r="59" spans="1:5">
      <c r="A59" s="310">
        <v>589</v>
      </c>
      <c r="B59" s="283" t="s">
        <v>466</v>
      </c>
      <c r="C59" s="313">
        <v>69599.37</v>
      </c>
      <c r="D59" s="283"/>
      <c r="E59" s="178"/>
    </row>
    <row r="60" spans="1:5">
      <c r="A60" s="310">
        <v>590</v>
      </c>
      <c r="B60" s="283" t="s">
        <v>467</v>
      </c>
      <c r="C60" s="313">
        <v>121977.07</v>
      </c>
      <c r="D60" s="283"/>
      <c r="E60" s="178"/>
    </row>
    <row r="61" spans="1:5">
      <c r="A61" s="310">
        <v>592</v>
      </c>
      <c r="B61" s="283" t="s">
        <v>468</v>
      </c>
      <c r="C61" s="313">
        <v>49466.32</v>
      </c>
      <c r="D61" s="283"/>
      <c r="E61" s="178"/>
    </row>
    <row r="62" spans="1:5">
      <c r="A62" s="310">
        <v>593</v>
      </c>
      <c r="B62" s="283" t="s">
        <v>469</v>
      </c>
      <c r="C62" s="313">
        <v>482375.87</v>
      </c>
      <c r="D62" s="283"/>
      <c r="E62" s="178"/>
    </row>
    <row r="63" spans="1:5">
      <c r="A63" s="310">
        <v>594</v>
      </c>
      <c r="B63" s="283" t="s">
        <v>470</v>
      </c>
      <c r="C63" s="313">
        <v>69504.789999999994</v>
      </c>
      <c r="D63" s="283"/>
      <c r="E63" s="178"/>
    </row>
    <row r="64" spans="1:5">
      <c r="A64" s="310">
        <v>595</v>
      </c>
      <c r="B64" s="283" t="s">
        <v>471</v>
      </c>
      <c r="C64" s="313">
        <v>43112.480000000003</v>
      </c>
      <c r="D64" s="283"/>
      <c r="E64" s="178"/>
    </row>
    <row r="65" spans="1:5">
      <c r="A65" s="310">
        <v>596</v>
      </c>
      <c r="B65" s="283" t="s">
        <v>472</v>
      </c>
      <c r="C65" s="313">
        <v>42020.37</v>
      </c>
      <c r="D65" s="283"/>
      <c r="E65" s="178"/>
    </row>
    <row r="66" spans="1:5">
      <c r="A66" s="310">
        <v>597</v>
      </c>
      <c r="B66" s="283" t="s">
        <v>473</v>
      </c>
      <c r="C66" s="313">
        <v>21505.18</v>
      </c>
      <c r="D66" s="283"/>
      <c r="E66" s="178"/>
    </row>
    <row r="67" spans="1:5">
      <c r="A67" s="310">
        <v>598</v>
      </c>
      <c r="B67" s="283" t="s">
        <v>474</v>
      </c>
      <c r="C67" s="313">
        <v>14758.56</v>
      </c>
      <c r="D67" s="283"/>
      <c r="E67" s="178"/>
    </row>
    <row r="68" spans="1:5">
      <c r="A68" s="310">
        <v>599</v>
      </c>
      <c r="B68" s="283" t="s">
        <v>475</v>
      </c>
      <c r="C68" s="313">
        <v>181372.22</v>
      </c>
      <c r="D68" s="313">
        <v>2089593.5800000005</v>
      </c>
      <c r="E68" s="178"/>
    </row>
    <row r="69" spans="1:5">
      <c r="A69" s="310">
        <v>901</v>
      </c>
      <c r="B69" s="283" t="s">
        <v>476</v>
      </c>
      <c r="C69" s="312">
        <v>34461.449999999997</v>
      </c>
      <c r="D69" s="283"/>
      <c r="E69" s="178"/>
    </row>
    <row r="70" spans="1:5">
      <c r="A70" s="310">
        <v>902</v>
      </c>
      <c r="B70" s="283" t="s">
        <v>477</v>
      </c>
      <c r="C70" s="312">
        <v>85914.83</v>
      </c>
      <c r="D70" s="283"/>
      <c r="E70" s="178"/>
    </row>
    <row r="71" spans="1:5">
      <c r="A71" s="310">
        <v>903</v>
      </c>
      <c r="B71" s="283" t="s">
        <v>478</v>
      </c>
      <c r="C71" s="312">
        <v>285018.28999999998</v>
      </c>
      <c r="D71" s="283"/>
      <c r="E71" s="283"/>
    </row>
    <row r="72" spans="1:5">
      <c r="A72" s="310">
        <v>906</v>
      </c>
      <c r="B72" s="283" t="s">
        <v>479</v>
      </c>
      <c r="C72" s="312">
        <v>28220.98</v>
      </c>
      <c r="D72" s="283"/>
      <c r="E72" s="283"/>
    </row>
    <row r="73" spans="1:5">
      <c r="A73" s="310">
        <v>910</v>
      </c>
      <c r="B73" s="283" t="s">
        <v>480</v>
      </c>
      <c r="C73" s="312">
        <v>5821.96</v>
      </c>
      <c r="D73" s="283"/>
      <c r="E73" s="283"/>
    </row>
    <row r="74" spans="1:5">
      <c r="A74" s="310">
        <v>911</v>
      </c>
      <c r="B74" s="283" t="s">
        <v>481</v>
      </c>
      <c r="C74" s="312">
        <v>779.62</v>
      </c>
      <c r="D74" s="312">
        <v>440217.12999999995</v>
      </c>
      <c r="E74" s="283"/>
    </row>
    <row r="75" spans="1:5">
      <c r="A75" s="310">
        <v>920</v>
      </c>
      <c r="B75" s="283" t="s">
        <v>482</v>
      </c>
      <c r="C75" s="283">
        <v>2084771.49</v>
      </c>
      <c r="D75" s="283"/>
      <c r="E75" s="283"/>
    </row>
    <row r="76" spans="1:5">
      <c r="A76" s="310">
        <v>921</v>
      </c>
      <c r="B76" s="283" t="s">
        <v>483</v>
      </c>
      <c r="C76" s="283">
        <v>3236.09</v>
      </c>
      <c r="D76" s="283"/>
      <c r="E76" s="283"/>
    </row>
    <row r="77" spans="1:5">
      <c r="A77" s="310">
        <v>925</v>
      </c>
      <c r="B77" s="283" t="s">
        <v>484</v>
      </c>
      <c r="C77" s="283">
        <v>2965.42</v>
      </c>
      <c r="D77" s="283"/>
      <c r="E77" s="283"/>
    </row>
    <row r="78" spans="1:5">
      <c r="A78" s="310">
        <v>930</v>
      </c>
      <c r="B78" s="283" t="s">
        <v>485</v>
      </c>
      <c r="C78" s="283">
        <v>46419.040000000001</v>
      </c>
      <c r="D78" s="283"/>
      <c r="E78" s="283"/>
    </row>
    <row r="79" spans="1:5">
      <c r="A79" s="310">
        <v>932</v>
      </c>
      <c r="B79" s="283" t="s">
        <v>486</v>
      </c>
      <c r="C79" s="283">
        <v>31605.23</v>
      </c>
      <c r="D79" s="283"/>
      <c r="E79" s="283"/>
    </row>
    <row r="80" spans="1:5">
      <c r="A80" s="310">
        <v>934</v>
      </c>
      <c r="B80" s="283" t="s">
        <v>487</v>
      </c>
      <c r="C80" s="283">
        <v>160252.82999999999</v>
      </c>
      <c r="D80" s="283"/>
      <c r="E80" s="283"/>
    </row>
    <row r="81" spans="1:5">
      <c r="A81" s="310">
        <v>936</v>
      </c>
      <c r="B81" s="283" t="s">
        <v>479</v>
      </c>
      <c r="C81" s="283">
        <v>172003.15</v>
      </c>
      <c r="D81" s="283"/>
      <c r="E81" s="283"/>
    </row>
    <row r="82" spans="1:5">
      <c r="B82" s="178"/>
      <c r="C82" s="178"/>
      <c r="D82" s="178"/>
      <c r="E82" s="178"/>
    </row>
    <row r="83" spans="1:5">
      <c r="A83" s="310" t="s">
        <v>2</v>
      </c>
      <c r="B83" s="283" t="s">
        <v>9</v>
      </c>
      <c r="C83" s="283">
        <v>14162550.129999997</v>
      </c>
      <c r="D83" s="283">
        <v>11661296.880000001</v>
      </c>
      <c r="E83" s="283"/>
    </row>
    <row r="84" spans="1:5">
      <c r="A84" s="283"/>
      <c r="B84" s="283"/>
      <c r="C84" s="283"/>
      <c r="D84" s="283"/>
      <c r="E84" s="310"/>
    </row>
    <row r="85" spans="1:5">
      <c r="A85" s="283"/>
      <c r="B85" s="283"/>
      <c r="C85" s="283"/>
      <c r="D85" s="283"/>
      <c r="E85" s="310"/>
    </row>
  </sheetData>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sqref="A1:G2"/>
    </sheetView>
  </sheetViews>
  <sheetFormatPr defaultRowHeight="15"/>
  <cols>
    <col min="2" max="2" width="28.1796875" customWidth="1"/>
    <col min="3" max="3" width="14.26953125" bestFit="1" customWidth="1"/>
    <col min="4" max="4" width="10.453125" customWidth="1"/>
  </cols>
  <sheetData>
    <row r="1" spans="1:11" ht="16.2">
      <c r="A1" s="374" t="s">
        <v>883</v>
      </c>
      <c r="B1" s="374"/>
      <c r="C1" s="374"/>
      <c r="D1" s="374"/>
      <c r="E1" s="374"/>
      <c r="F1" s="374"/>
      <c r="G1" s="374"/>
      <c r="H1" s="343"/>
      <c r="I1" s="319"/>
      <c r="J1" s="319"/>
      <c r="K1" s="319"/>
    </row>
    <row r="2" spans="1:11" ht="16.2">
      <c r="A2" s="375" t="s">
        <v>941</v>
      </c>
      <c r="B2" s="375"/>
      <c r="C2" s="375"/>
      <c r="D2" s="375"/>
      <c r="E2" s="375"/>
      <c r="F2" s="375"/>
      <c r="G2" s="375"/>
      <c r="H2" s="343"/>
      <c r="I2" s="319"/>
      <c r="J2" s="319"/>
      <c r="K2" s="319"/>
    </row>
    <row r="3" spans="1:11" ht="15.6">
      <c r="A3" s="263" t="s">
        <v>918</v>
      </c>
      <c r="B3" s="324"/>
      <c r="C3" s="331"/>
      <c r="D3" s="324"/>
      <c r="E3" s="324"/>
      <c r="F3" s="319"/>
      <c r="G3" s="319"/>
      <c r="H3" s="319"/>
      <c r="I3" s="319"/>
      <c r="J3" s="319"/>
      <c r="K3" s="319"/>
    </row>
    <row r="4" spans="1:11" ht="15.6">
      <c r="A4" s="324"/>
      <c r="B4" s="321" t="s">
        <v>1081</v>
      </c>
      <c r="C4" s="322" t="s">
        <v>1082</v>
      </c>
      <c r="D4" s="323" t="s">
        <v>1083</v>
      </c>
      <c r="E4" s="324"/>
      <c r="F4" s="319"/>
      <c r="G4" s="319"/>
      <c r="H4" s="319"/>
      <c r="I4" s="319"/>
      <c r="J4" s="319"/>
      <c r="K4" s="319"/>
    </row>
    <row r="5" spans="1:11" ht="15.6">
      <c r="A5" s="324"/>
      <c r="B5" s="321"/>
      <c r="C5" s="322" t="s">
        <v>1084</v>
      </c>
      <c r="D5" s="323" t="s">
        <v>343</v>
      </c>
      <c r="E5" s="324"/>
      <c r="F5" s="319"/>
      <c r="G5" s="319"/>
      <c r="H5" s="319"/>
      <c r="I5" s="319"/>
      <c r="J5" s="319"/>
      <c r="K5" s="319"/>
    </row>
    <row r="6" spans="1:11" ht="15.6">
      <c r="A6" s="324"/>
      <c r="B6" s="324"/>
      <c r="C6" s="319"/>
      <c r="D6" s="331"/>
      <c r="E6" s="324"/>
      <c r="F6" s="319"/>
      <c r="G6" s="319"/>
      <c r="H6" s="319"/>
      <c r="I6" s="319"/>
      <c r="J6" s="319"/>
      <c r="K6" s="319"/>
    </row>
    <row r="7" spans="1:11" ht="15.6">
      <c r="A7" s="324"/>
      <c r="B7" s="325" t="s">
        <v>1085</v>
      </c>
      <c r="C7" s="326">
        <v>0</v>
      </c>
      <c r="D7" s="326">
        <v>0</v>
      </c>
      <c r="E7" s="324"/>
      <c r="F7" s="319"/>
      <c r="G7" s="319"/>
      <c r="H7" s="341"/>
      <c r="I7" s="342"/>
      <c r="J7" s="342"/>
      <c r="K7" s="342"/>
    </row>
    <row r="8" spans="1:11" ht="15.6">
      <c r="A8" s="324"/>
      <c r="B8" s="327"/>
      <c r="C8" s="328">
        <v>0</v>
      </c>
      <c r="D8" s="328">
        <v>0</v>
      </c>
      <c r="E8" s="324"/>
      <c r="F8" s="319"/>
      <c r="G8" s="319"/>
      <c r="H8" s="342"/>
      <c r="I8" s="342"/>
      <c r="J8" s="342"/>
      <c r="K8" s="342"/>
    </row>
    <row r="9" spans="1:11" ht="16.8">
      <c r="A9" s="324"/>
      <c r="B9" s="327"/>
      <c r="C9" s="338">
        <v>0</v>
      </c>
      <c r="D9" s="338">
        <v>0</v>
      </c>
      <c r="E9" s="324"/>
      <c r="F9" s="319"/>
      <c r="G9" s="319"/>
      <c r="H9" s="319"/>
      <c r="I9" s="319"/>
      <c r="J9" s="319"/>
      <c r="K9" s="319"/>
    </row>
    <row r="10" spans="1:11" ht="15.6">
      <c r="A10" s="324"/>
      <c r="B10" s="329" t="s">
        <v>9</v>
      </c>
      <c r="C10" s="330">
        <v>0</v>
      </c>
      <c r="D10" s="330">
        <v>0</v>
      </c>
      <c r="E10" s="324"/>
      <c r="F10" s="319"/>
      <c r="G10" s="319"/>
      <c r="H10" s="319"/>
      <c r="I10" s="319"/>
      <c r="J10" s="319"/>
      <c r="K10" s="319"/>
    </row>
    <row r="11" spans="1:11" ht="15.6">
      <c r="A11" s="324"/>
      <c r="B11" s="324"/>
      <c r="C11" s="331"/>
      <c r="D11" s="324"/>
      <c r="E11" s="324"/>
      <c r="F11" s="319"/>
      <c r="G11" s="319"/>
      <c r="H11" s="319"/>
      <c r="I11" s="319"/>
      <c r="J11" s="319"/>
      <c r="K11" s="319"/>
    </row>
    <row r="12" spans="1:11" ht="15.6">
      <c r="A12" s="324"/>
      <c r="B12" s="324"/>
      <c r="C12" s="331"/>
      <c r="D12" s="324"/>
      <c r="E12" s="324"/>
      <c r="F12" s="319"/>
      <c r="G12" s="319"/>
      <c r="H12" s="319"/>
      <c r="I12" s="319"/>
      <c r="J12" s="319"/>
      <c r="K12" s="319"/>
    </row>
    <row r="13" spans="1:11" ht="15.6">
      <c r="A13" s="324"/>
      <c r="B13" s="325" t="s">
        <v>1085</v>
      </c>
      <c r="C13" s="326">
        <v>0</v>
      </c>
      <c r="D13" s="326">
        <v>0</v>
      </c>
      <c r="E13" s="324"/>
      <c r="F13" s="319"/>
      <c r="G13" s="319"/>
      <c r="H13" s="319"/>
      <c r="I13" s="319"/>
      <c r="J13" s="319"/>
      <c r="K13" s="319"/>
    </row>
    <row r="14" spans="1:11" ht="15.6">
      <c r="A14" s="324"/>
      <c r="B14" s="327"/>
      <c r="C14" s="328">
        <v>0</v>
      </c>
      <c r="D14" s="328">
        <v>0</v>
      </c>
      <c r="E14" s="324"/>
      <c r="F14" s="319"/>
      <c r="G14" s="319"/>
      <c r="H14" s="319"/>
      <c r="I14" s="319"/>
      <c r="J14" s="319"/>
      <c r="K14" s="319"/>
    </row>
    <row r="15" spans="1:11" ht="16.8">
      <c r="A15" s="324"/>
      <c r="B15" s="327"/>
      <c r="C15" s="338">
        <v>0</v>
      </c>
      <c r="D15" s="338">
        <v>0</v>
      </c>
      <c r="E15" s="324"/>
      <c r="F15" s="319"/>
      <c r="G15" s="319"/>
      <c r="H15" s="319"/>
      <c r="I15" s="319"/>
      <c r="J15" s="319"/>
      <c r="K15" s="319"/>
    </row>
    <row r="16" spans="1:11" ht="15.6">
      <c r="A16" s="324"/>
      <c r="B16" s="329" t="s">
        <v>9</v>
      </c>
      <c r="C16" s="330">
        <v>0</v>
      </c>
      <c r="D16" s="330">
        <v>0</v>
      </c>
      <c r="E16" s="324"/>
      <c r="F16" s="319"/>
      <c r="G16" s="319"/>
      <c r="H16" s="319"/>
      <c r="I16" s="319"/>
      <c r="J16" s="319"/>
      <c r="K16" s="319"/>
    </row>
    <row r="17" spans="1:5">
      <c r="A17" s="324"/>
      <c r="B17" s="324"/>
      <c r="C17" s="331"/>
      <c r="D17" s="324"/>
      <c r="E17" s="324"/>
    </row>
    <row r="18" spans="1:5">
      <c r="A18" s="324"/>
      <c r="B18" s="324"/>
      <c r="C18" s="331"/>
      <c r="D18" s="324"/>
      <c r="E18" s="324"/>
    </row>
    <row r="19" spans="1:5">
      <c r="A19" s="324"/>
      <c r="B19" s="325" t="s">
        <v>1085</v>
      </c>
      <c r="C19" s="326">
        <v>0</v>
      </c>
      <c r="D19" s="326">
        <v>0</v>
      </c>
      <c r="E19" s="324"/>
    </row>
    <row r="20" spans="1:5">
      <c r="A20" s="324"/>
      <c r="B20" s="327"/>
      <c r="C20" s="328">
        <v>0</v>
      </c>
      <c r="D20" s="328">
        <v>0</v>
      </c>
      <c r="E20" s="324"/>
    </row>
    <row r="21" spans="1:5" ht="16.8">
      <c r="A21" s="324"/>
      <c r="B21" s="327"/>
      <c r="C21" s="338">
        <v>0</v>
      </c>
      <c r="D21" s="338">
        <v>0</v>
      </c>
      <c r="E21" s="324"/>
    </row>
    <row r="22" spans="1:5">
      <c r="A22" s="324"/>
      <c r="B22" s="329" t="s">
        <v>9</v>
      </c>
      <c r="C22" s="330">
        <v>0</v>
      </c>
      <c r="D22" s="330">
        <v>0</v>
      </c>
      <c r="E22" s="324"/>
    </row>
    <row r="23" spans="1:5">
      <c r="A23" s="324"/>
      <c r="B23" s="327"/>
      <c r="C23" s="331"/>
      <c r="D23" s="324"/>
      <c r="E23" s="324"/>
    </row>
    <row r="24" spans="1:5">
      <c r="A24" s="324"/>
      <c r="B24" s="332"/>
      <c r="C24" s="331"/>
      <c r="D24" s="324"/>
      <c r="E24" s="324"/>
    </row>
    <row r="25" spans="1:5">
      <c r="A25" s="324"/>
      <c r="B25" s="325" t="s">
        <v>1085</v>
      </c>
      <c r="C25" s="333">
        <v>0</v>
      </c>
      <c r="D25" s="334">
        <v>0</v>
      </c>
      <c r="E25" s="324"/>
    </row>
    <row r="26" spans="1:5">
      <c r="A26" s="324"/>
      <c r="B26" s="327"/>
      <c r="C26" s="335">
        <v>0</v>
      </c>
      <c r="D26" s="336">
        <v>0</v>
      </c>
      <c r="E26" s="324"/>
    </row>
    <row r="27" spans="1:5" ht="16.8">
      <c r="A27" s="324"/>
      <c r="B27" s="327"/>
      <c r="C27" s="339">
        <v>0</v>
      </c>
      <c r="D27" s="339">
        <v>0</v>
      </c>
      <c r="E27" s="324"/>
    </row>
    <row r="28" spans="1:5">
      <c r="A28" s="324"/>
      <c r="B28" s="329" t="s">
        <v>9</v>
      </c>
      <c r="C28" s="330">
        <v>0</v>
      </c>
      <c r="D28" s="330">
        <v>0</v>
      </c>
      <c r="E28" s="324"/>
    </row>
    <row r="29" spans="1:5">
      <c r="A29" s="324"/>
      <c r="B29" s="329"/>
      <c r="C29" s="331"/>
      <c r="D29" s="331"/>
      <c r="E29" s="324"/>
    </row>
    <row r="30" spans="1:5">
      <c r="A30" s="324"/>
      <c r="B30" s="329"/>
      <c r="C30" s="331"/>
      <c r="D30" s="331"/>
      <c r="E30" s="324"/>
    </row>
    <row r="31" spans="1:5">
      <c r="A31" s="324"/>
      <c r="B31" s="325" t="s">
        <v>1085</v>
      </c>
      <c r="C31" s="326">
        <v>0</v>
      </c>
      <c r="D31" s="326">
        <v>0</v>
      </c>
      <c r="E31" s="324"/>
    </row>
    <row r="32" spans="1:5">
      <c r="A32" s="324"/>
      <c r="B32" s="327"/>
      <c r="C32" s="328">
        <v>0</v>
      </c>
      <c r="D32" s="328">
        <v>0</v>
      </c>
      <c r="E32" s="324"/>
    </row>
    <row r="33" spans="1:7" ht="16.8">
      <c r="A33" s="324"/>
      <c r="B33" s="327"/>
      <c r="C33" s="338">
        <v>0</v>
      </c>
      <c r="D33" s="338">
        <v>0</v>
      </c>
      <c r="E33" s="324"/>
      <c r="F33" s="319"/>
      <c r="G33" s="319"/>
    </row>
    <row r="34" spans="1:7" ht="15.6">
      <c r="A34" s="324"/>
      <c r="B34" s="329" t="s">
        <v>9</v>
      </c>
      <c r="C34" s="330">
        <v>0</v>
      </c>
      <c r="D34" s="330">
        <v>0</v>
      </c>
      <c r="E34" s="324"/>
      <c r="F34" s="319"/>
      <c r="G34" s="319"/>
    </row>
    <row r="35" spans="1:7" ht="15.6">
      <c r="A35" s="324"/>
      <c r="B35" s="329"/>
      <c r="C35" s="331"/>
      <c r="D35" s="331"/>
      <c r="E35" s="324"/>
      <c r="F35" s="319"/>
      <c r="G35" s="319"/>
    </row>
    <row r="36" spans="1:7" ht="15.6">
      <c r="A36" s="324"/>
      <c r="B36" s="324"/>
      <c r="C36" s="331"/>
      <c r="D36" s="324"/>
      <c r="E36" s="324"/>
      <c r="F36" s="319"/>
      <c r="G36" s="319"/>
    </row>
    <row r="37" spans="1:7" ht="15.6">
      <c r="A37" s="324"/>
      <c r="B37" s="327" t="s">
        <v>1092</v>
      </c>
      <c r="C37" s="330">
        <v>0</v>
      </c>
      <c r="D37" s="330">
        <v>0</v>
      </c>
      <c r="E37" s="324"/>
      <c r="F37" s="319"/>
      <c r="G37" s="320" t="s">
        <v>1086</v>
      </c>
    </row>
    <row r="38" spans="1:7" ht="15.6">
      <c r="A38" s="324"/>
      <c r="B38" s="324"/>
      <c r="C38" s="331"/>
      <c r="D38" s="324"/>
      <c r="E38" s="324"/>
      <c r="F38" s="319"/>
      <c r="G38" s="340" t="s">
        <v>1087</v>
      </c>
    </row>
    <row r="39" spans="1:7" ht="15.6">
      <c r="A39" s="324"/>
      <c r="B39" s="324"/>
      <c r="C39" s="331"/>
      <c r="D39" s="324"/>
      <c r="E39" s="324"/>
      <c r="F39" s="319"/>
      <c r="G39" s="340" t="s">
        <v>1088</v>
      </c>
    </row>
    <row r="40" spans="1:7" ht="15.6">
      <c r="A40" s="319"/>
      <c r="B40" s="319"/>
      <c r="C40" s="319"/>
      <c r="D40" s="319"/>
      <c r="E40" s="319"/>
      <c r="F40" s="319"/>
      <c r="G40" s="340" t="s">
        <v>1089</v>
      </c>
    </row>
    <row r="41" spans="1:7" ht="15.6">
      <c r="A41" s="319"/>
      <c r="B41" s="319"/>
      <c r="C41" s="331"/>
      <c r="D41" s="324"/>
      <c r="E41" s="319"/>
      <c r="F41" s="319"/>
      <c r="G41" s="340" t="s">
        <v>1090</v>
      </c>
    </row>
    <row r="42" spans="1:7" ht="15.6">
      <c r="A42" s="319"/>
      <c r="B42" s="337"/>
      <c r="C42" s="319"/>
      <c r="D42" s="324"/>
      <c r="E42" s="319"/>
      <c r="F42" s="319"/>
      <c r="G42" s="340" t="s">
        <v>1091</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workbookViewId="0">
      <selection sqref="A1:A2"/>
    </sheetView>
  </sheetViews>
  <sheetFormatPr defaultRowHeight="15"/>
  <cols>
    <col min="1" max="1" width="14.7265625" customWidth="1"/>
  </cols>
  <sheetData>
    <row r="1" spans="1:9" ht="16.2">
      <c r="A1" s="374" t="s">
        <v>883</v>
      </c>
      <c r="B1" s="373"/>
      <c r="C1" s="373"/>
      <c r="D1" s="373"/>
      <c r="E1" s="373"/>
      <c r="F1" s="373"/>
      <c r="G1" s="373"/>
      <c r="H1" s="373"/>
      <c r="I1" s="344"/>
    </row>
    <row r="2" spans="1:9" ht="16.2">
      <c r="A2" s="375" t="s">
        <v>941</v>
      </c>
      <c r="B2" s="373"/>
      <c r="C2" s="373"/>
      <c r="D2" s="373"/>
      <c r="E2" s="373"/>
      <c r="F2" s="373"/>
      <c r="G2" s="373"/>
      <c r="H2" s="373"/>
      <c r="I2" s="344"/>
    </row>
    <row r="3" spans="1:9" ht="15.6">
      <c r="A3" s="373" t="s">
        <v>1093</v>
      </c>
      <c r="B3" s="373"/>
      <c r="C3" s="373"/>
      <c r="D3" s="373"/>
      <c r="E3" s="373"/>
      <c r="F3" s="373"/>
      <c r="G3" s="373"/>
      <c r="H3" s="373"/>
      <c r="I3" s="344"/>
    </row>
    <row r="5" spans="1:9" ht="17.399999999999999">
      <c r="A5" s="349" t="s">
        <v>1094</v>
      </c>
      <c r="B5" s="346"/>
      <c r="C5" s="346"/>
      <c r="D5" s="344"/>
      <c r="E5" s="344"/>
      <c r="F5" s="344"/>
      <c r="G5" s="344"/>
      <c r="H5" s="344"/>
      <c r="I5" s="344"/>
    </row>
    <row r="6" spans="1:9">
      <c r="A6" s="284" t="s">
        <v>918</v>
      </c>
    </row>
    <row r="8" spans="1:9" ht="15.6">
      <c r="A8" s="353" t="s">
        <v>1095</v>
      </c>
      <c r="B8" s="347" t="s">
        <v>7</v>
      </c>
      <c r="C8" s="344"/>
      <c r="D8" s="344"/>
      <c r="E8" s="344"/>
      <c r="F8" s="344"/>
      <c r="G8" s="344"/>
      <c r="H8" s="344"/>
      <c r="I8" s="344"/>
    </row>
    <row r="10" spans="1:9" ht="15.6">
      <c r="A10" s="344" t="s">
        <v>1096</v>
      </c>
      <c r="B10" s="348">
        <v>0</v>
      </c>
      <c r="C10" s="344"/>
      <c r="D10" s="344"/>
      <c r="E10" s="344"/>
      <c r="F10" s="344"/>
      <c r="G10" s="344"/>
      <c r="H10" s="344"/>
      <c r="I10" s="344"/>
    </row>
    <row r="11" spans="1:9" ht="15.6">
      <c r="A11" s="344" t="s">
        <v>1096</v>
      </c>
      <c r="B11" s="350">
        <v>0</v>
      </c>
      <c r="C11" s="344"/>
      <c r="D11" s="344"/>
      <c r="E11" s="344"/>
      <c r="F11" s="344"/>
      <c r="G11" s="344"/>
      <c r="H11" s="344"/>
      <c r="I11" s="344"/>
    </row>
    <row r="12" spans="1:9" ht="15.6">
      <c r="A12" s="344" t="s">
        <v>1096</v>
      </c>
      <c r="B12" s="345">
        <v>0</v>
      </c>
      <c r="C12" s="344"/>
      <c r="D12" s="344"/>
      <c r="E12" s="344"/>
      <c r="F12" s="344"/>
      <c r="G12" s="344"/>
      <c r="H12" s="344"/>
      <c r="I12" s="344"/>
    </row>
    <row r="13" spans="1:9" ht="15.6">
      <c r="A13" s="344" t="s">
        <v>1096</v>
      </c>
      <c r="B13" s="345">
        <v>0</v>
      </c>
      <c r="C13" s="344"/>
      <c r="D13" s="344"/>
      <c r="E13" s="344"/>
      <c r="F13" s="344"/>
      <c r="G13" s="344"/>
      <c r="H13" s="344"/>
      <c r="I13" s="344"/>
    </row>
    <row r="14" spans="1:9" ht="15.6">
      <c r="A14" s="344" t="s">
        <v>1097</v>
      </c>
      <c r="B14" s="351">
        <v>0</v>
      </c>
      <c r="C14" s="344"/>
      <c r="D14" s="344" t="s">
        <v>1098</v>
      </c>
      <c r="E14" s="344"/>
      <c r="F14" s="344"/>
      <c r="G14" s="344"/>
      <c r="H14" s="344"/>
      <c r="I14" s="344"/>
    </row>
    <row r="15" spans="1:9" ht="15.6">
      <c r="A15" s="344"/>
      <c r="B15" s="344"/>
      <c r="C15" s="344"/>
      <c r="D15" s="418" t="s">
        <v>1099</v>
      </c>
      <c r="E15" s="418"/>
      <c r="F15" s="418" t="s">
        <v>1100</v>
      </c>
      <c r="G15" s="418"/>
      <c r="H15" s="418"/>
      <c r="I15" s="418"/>
    </row>
    <row r="16" spans="1:9" ht="15.6">
      <c r="A16" s="344"/>
      <c r="B16" s="344"/>
      <c r="C16" s="344"/>
      <c r="D16" s="344" t="s">
        <v>911</v>
      </c>
      <c r="E16" s="344"/>
      <c r="F16" s="344"/>
      <c r="G16" s="344"/>
      <c r="H16" s="344"/>
      <c r="I16" s="344"/>
    </row>
    <row r="17" spans="4:6" ht="15.6">
      <c r="D17" s="344" t="s">
        <v>929</v>
      </c>
      <c r="E17" s="344"/>
      <c r="F17" s="352"/>
    </row>
    <row r="18" spans="4:6" ht="15.6">
      <c r="D18" s="344" t="s">
        <v>913</v>
      </c>
      <c r="E18" s="344"/>
      <c r="F18" s="344"/>
    </row>
    <row r="19" spans="4:6" ht="15.6">
      <c r="D19" s="344" t="s">
        <v>914</v>
      </c>
      <c r="E19" s="344"/>
      <c r="F19" s="344"/>
    </row>
    <row r="21" spans="4:6" ht="15.6">
      <c r="D21" s="344"/>
      <c r="E21" s="344"/>
      <c r="F21" s="344"/>
    </row>
  </sheetData>
  <mergeCells count="1">
    <mergeCell ref="D15:I15"/>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zoomScale="70" zoomScaleNormal="70" workbookViewId="0"/>
  </sheetViews>
  <sheetFormatPr defaultRowHeight="15"/>
  <cols>
    <col min="2" max="2" width="67.6328125" bestFit="1" customWidth="1"/>
    <col min="3" max="3" width="14.26953125" customWidth="1"/>
    <col min="4" max="5" width="9.90625" bestFit="1" customWidth="1"/>
  </cols>
  <sheetData>
    <row r="1" spans="1:7" ht="16.2">
      <c r="A1" s="374" t="s">
        <v>883</v>
      </c>
      <c r="B1" s="373"/>
      <c r="C1" s="373"/>
      <c r="D1" s="373"/>
      <c r="E1" s="355"/>
      <c r="F1" s="355"/>
      <c r="G1" s="355"/>
    </row>
    <row r="2" spans="1:7" ht="16.2">
      <c r="A2" s="375" t="s">
        <v>941</v>
      </c>
      <c r="B2" s="373"/>
      <c r="C2" s="373"/>
      <c r="D2" s="373"/>
      <c r="E2" s="355"/>
      <c r="F2" s="355"/>
      <c r="G2" s="355"/>
    </row>
    <row r="3" spans="1:7" ht="15.6">
      <c r="A3" s="373" t="s">
        <v>1101</v>
      </c>
      <c r="B3" s="373"/>
      <c r="C3" s="373"/>
      <c r="D3" s="373"/>
      <c r="E3" s="356"/>
      <c r="F3" s="355"/>
      <c r="G3" s="355"/>
    </row>
    <row r="4" spans="1:7" ht="15.6">
      <c r="A4" s="356"/>
      <c r="B4" s="356"/>
      <c r="C4" s="356"/>
      <c r="D4" s="356"/>
      <c r="E4" s="356"/>
      <c r="F4" s="356"/>
      <c r="G4" s="356"/>
    </row>
    <row r="5" spans="1:7" ht="15.6">
      <c r="A5" s="356"/>
      <c r="B5" s="357" t="s">
        <v>1102</v>
      </c>
      <c r="C5" s="358" t="s">
        <v>1102</v>
      </c>
      <c r="D5" s="356"/>
      <c r="E5" s="356"/>
      <c r="F5" s="356"/>
      <c r="G5" s="356"/>
    </row>
    <row r="6" spans="1:7" ht="15.6">
      <c r="A6" s="356"/>
      <c r="B6" s="356"/>
      <c r="C6" s="355"/>
      <c r="D6" s="359" t="s">
        <v>1103</v>
      </c>
      <c r="E6" s="356"/>
      <c r="F6" s="356"/>
      <c r="G6" s="356"/>
    </row>
    <row r="7" spans="1:7" ht="15.6">
      <c r="A7" s="356"/>
      <c r="B7" s="356"/>
      <c r="C7" s="356"/>
      <c r="D7" s="356"/>
      <c r="E7" s="356"/>
      <c r="F7" s="356"/>
      <c r="G7" s="356"/>
    </row>
    <row r="8" spans="1:7" ht="15.6">
      <c r="A8" s="356"/>
      <c r="B8" s="371" t="s">
        <v>1104</v>
      </c>
      <c r="C8" s="372">
        <v>29408.97</v>
      </c>
      <c r="D8" s="356"/>
      <c r="E8" s="356"/>
      <c r="F8" s="356"/>
      <c r="G8" s="356"/>
    </row>
    <row r="9" spans="1:7" ht="15.6">
      <c r="A9" s="356"/>
      <c r="B9" s="371" t="s">
        <v>1105</v>
      </c>
      <c r="C9" s="372">
        <v>0</v>
      </c>
      <c r="D9" s="356"/>
      <c r="E9" s="356"/>
      <c r="F9" s="356"/>
      <c r="G9" s="356"/>
    </row>
    <row r="10" spans="1:7" ht="15.6">
      <c r="A10" s="356"/>
      <c r="B10" s="356" t="s">
        <v>1106</v>
      </c>
      <c r="C10" s="360">
        <v>0</v>
      </c>
      <c r="D10" s="356"/>
      <c r="E10" s="356"/>
      <c r="F10" s="356"/>
      <c r="G10" s="356"/>
    </row>
    <row r="11" spans="1:7" ht="15.6">
      <c r="A11" s="356"/>
      <c r="B11" s="356" t="s">
        <v>1107</v>
      </c>
      <c r="C11" s="360">
        <v>0</v>
      </c>
      <c r="D11" s="356"/>
      <c r="E11" s="356"/>
      <c r="F11" s="356"/>
      <c r="G11" s="356"/>
    </row>
    <row r="12" spans="1:7" ht="15.6">
      <c r="A12" s="356"/>
      <c r="B12" s="356" t="s">
        <v>1108</v>
      </c>
      <c r="C12" s="360">
        <v>0</v>
      </c>
      <c r="D12" s="356"/>
      <c r="E12" s="356"/>
      <c r="F12" s="356"/>
      <c r="G12" s="356"/>
    </row>
    <row r="13" spans="1:7" ht="15.6">
      <c r="A13" s="356"/>
      <c r="B13" s="356" t="s">
        <v>1109</v>
      </c>
      <c r="C13" s="360">
        <v>0</v>
      </c>
      <c r="D13" s="356"/>
      <c r="E13" s="356"/>
      <c r="F13" s="356"/>
      <c r="G13" s="356"/>
    </row>
    <row r="14" spans="1:7" ht="15.6">
      <c r="A14" s="356"/>
      <c r="B14" s="356" t="s">
        <v>1110</v>
      </c>
      <c r="C14" s="360">
        <v>0</v>
      </c>
      <c r="D14" s="356"/>
      <c r="E14" s="361"/>
      <c r="F14" s="356"/>
      <c r="G14" s="356"/>
    </row>
    <row r="15" spans="1:7" ht="15.6">
      <c r="A15" s="356"/>
      <c r="B15" s="356" t="s">
        <v>1111</v>
      </c>
      <c r="C15" s="360">
        <v>8164</v>
      </c>
      <c r="D15" s="356"/>
      <c r="E15" s="361"/>
      <c r="F15" s="356"/>
      <c r="G15" s="356"/>
    </row>
    <row r="16" spans="1:7" ht="15.6">
      <c r="A16" s="356"/>
      <c r="B16" s="356" t="s">
        <v>1112</v>
      </c>
      <c r="C16" s="360">
        <v>0</v>
      </c>
      <c r="D16" s="356"/>
      <c r="E16" s="361"/>
      <c r="F16" s="356"/>
      <c r="G16" s="356"/>
    </row>
    <row r="17" spans="1:7" ht="15.6">
      <c r="A17" s="356"/>
      <c r="B17" s="356" t="s">
        <v>1113</v>
      </c>
      <c r="C17" s="362">
        <v>37572.97</v>
      </c>
      <c r="D17" s="356"/>
      <c r="E17" s="361"/>
      <c r="F17" s="356"/>
      <c r="G17" s="356"/>
    </row>
    <row r="18" spans="1:7" ht="15.6">
      <c r="A18" s="356"/>
      <c r="B18" s="356"/>
      <c r="C18" s="363"/>
      <c r="D18" s="356"/>
      <c r="E18" s="361"/>
      <c r="F18" s="356"/>
      <c r="G18" s="356"/>
    </row>
    <row r="19" spans="1:7" ht="15.6">
      <c r="A19" s="356"/>
      <c r="B19" s="356"/>
      <c r="C19" s="364"/>
      <c r="D19" s="356"/>
      <c r="E19" s="361"/>
      <c r="F19" s="356"/>
      <c r="G19" s="356"/>
    </row>
    <row r="20" spans="1:7" ht="15.6">
      <c r="A20" s="365"/>
      <c r="B20" s="366" t="s">
        <v>140</v>
      </c>
      <c r="C20" s="364">
        <v>37572.97</v>
      </c>
      <c r="D20" s="356"/>
      <c r="E20" s="361" t="s">
        <v>1114</v>
      </c>
      <c r="F20" s="356"/>
      <c r="G20" s="356"/>
    </row>
    <row r="21" spans="1:7" ht="15.6">
      <c r="A21" s="365"/>
      <c r="B21" s="367" t="s">
        <v>1115</v>
      </c>
      <c r="C21" s="364">
        <v>0</v>
      </c>
      <c r="D21" s="356"/>
      <c r="E21" s="361" t="s">
        <v>1116</v>
      </c>
      <c r="F21" s="356"/>
      <c r="G21" s="356"/>
    </row>
    <row r="22" spans="1:7" ht="15.6">
      <c r="A22" s="368"/>
      <c r="B22" s="369" t="s">
        <v>313</v>
      </c>
      <c r="C22" s="364">
        <v>0</v>
      </c>
      <c r="D22" s="356"/>
      <c r="E22" s="361" t="s">
        <v>1117</v>
      </c>
      <c r="F22" s="356"/>
      <c r="G22" s="356"/>
    </row>
    <row r="23" spans="1:7" ht="15.6">
      <c r="A23" s="368"/>
      <c r="B23" s="369" t="s">
        <v>314</v>
      </c>
      <c r="C23" s="364">
        <v>0</v>
      </c>
      <c r="D23" s="356"/>
      <c r="E23" s="361" t="s">
        <v>1118</v>
      </c>
      <c r="F23" s="356"/>
      <c r="G23" s="356"/>
    </row>
    <row r="24" spans="1:7" ht="15.6">
      <c r="A24" s="365"/>
      <c r="B24" s="369" t="s">
        <v>1119</v>
      </c>
      <c r="C24" s="370">
        <v>37572.97</v>
      </c>
      <c r="D24" s="356"/>
      <c r="E24" s="361" t="s">
        <v>1120</v>
      </c>
      <c r="F24" s="356"/>
      <c r="G24" s="356"/>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2"/>
  <sheetViews>
    <sheetView topLeftCell="A10" workbookViewId="0">
      <selection activeCell="B23" sqref="B23"/>
    </sheetView>
  </sheetViews>
  <sheetFormatPr defaultRowHeight="15"/>
  <cols>
    <col min="1" max="1" width="79.7265625" style="163" bestFit="1" customWidth="1"/>
    <col min="2" max="2" width="10.1796875" style="163" bestFit="1" customWidth="1"/>
    <col min="3" max="3" width="7.6328125" style="163" customWidth="1"/>
    <col min="4" max="16384" width="8.7265625" style="163"/>
  </cols>
  <sheetData>
    <row r="1" spans="1:7" ht="16.2">
      <c r="A1" s="415" t="s">
        <v>883</v>
      </c>
      <c r="B1" s="416"/>
      <c r="C1" s="416"/>
      <c r="D1" s="416"/>
      <c r="E1" s="416"/>
      <c r="F1" s="416"/>
      <c r="G1" s="416"/>
    </row>
    <row r="2" spans="1:7" ht="16.2">
      <c r="A2" s="417" t="s">
        <v>941</v>
      </c>
      <c r="B2" s="417"/>
      <c r="C2" s="417"/>
      <c r="D2" s="417"/>
      <c r="E2" s="417"/>
      <c r="F2" s="417"/>
      <c r="G2" s="417"/>
    </row>
    <row r="3" spans="1:7" ht="16.2">
      <c r="A3" s="202"/>
      <c r="B3" s="202"/>
      <c r="C3" s="202"/>
      <c r="D3" s="202"/>
      <c r="E3" s="202"/>
      <c r="F3" s="202"/>
      <c r="G3" s="202"/>
    </row>
    <row r="4" spans="1:7" ht="22.8">
      <c r="A4" s="203" t="s">
        <v>884</v>
      </c>
    </row>
    <row r="7" spans="1:7" ht="15.6">
      <c r="A7" s="204" t="s">
        <v>885</v>
      </c>
      <c r="B7" s="204"/>
      <c r="C7" s="204"/>
      <c r="D7" s="204"/>
    </row>
    <row r="9" spans="1:7">
      <c r="A9" s="163" t="s">
        <v>886</v>
      </c>
      <c r="B9" s="205">
        <v>114150</v>
      </c>
    </row>
    <row r="10" spans="1:7">
      <c r="A10" s="163" t="s">
        <v>887</v>
      </c>
      <c r="B10" s="205">
        <v>114210</v>
      </c>
    </row>
    <row r="11" spans="1:7">
      <c r="A11" s="163" t="s">
        <v>888</v>
      </c>
      <c r="B11" s="205">
        <v>114210</v>
      </c>
    </row>
    <row r="12" spans="1:7">
      <c r="A12" s="163" t="s">
        <v>889</v>
      </c>
      <c r="B12" s="205">
        <v>109430</v>
      </c>
    </row>
    <row r="13" spans="1:7">
      <c r="A13" s="163" t="s">
        <v>324</v>
      </c>
      <c r="B13" s="205">
        <v>119280</v>
      </c>
    </row>
    <row r="14" spans="1:7">
      <c r="A14" s="163" t="s">
        <v>890</v>
      </c>
      <c r="B14" s="205">
        <v>127520</v>
      </c>
    </row>
    <row r="15" spans="1:7">
      <c r="A15" s="163" t="s">
        <v>891</v>
      </c>
      <c r="B15" s="205">
        <v>134800</v>
      </c>
    </row>
    <row r="16" spans="1:7">
      <c r="A16" s="163" t="s">
        <v>892</v>
      </c>
      <c r="B16" s="205">
        <v>137860</v>
      </c>
    </row>
    <row r="17" spans="1:15">
      <c r="A17" s="163" t="s">
        <v>893</v>
      </c>
      <c r="B17" s="205">
        <v>138170</v>
      </c>
    </row>
    <row r="18" spans="1:15">
      <c r="A18" s="163" t="s">
        <v>894</v>
      </c>
      <c r="B18" s="205">
        <v>118150</v>
      </c>
    </row>
    <row r="19" spans="1:15">
      <c r="A19" s="163" t="s">
        <v>895</v>
      </c>
      <c r="B19" s="205">
        <v>116300</v>
      </c>
    </row>
    <row r="20" spans="1:15">
      <c r="A20" s="163" t="s">
        <v>896</v>
      </c>
      <c r="B20" s="205">
        <v>123060</v>
      </c>
    </row>
    <row r="21" spans="1:15">
      <c r="A21" s="206" t="s">
        <v>897</v>
      </c>
      <c r="B21" s="205">
        <f>SUM(B9:B20)</f>
        <v>1467140</v>
      </c>
    </row>
    <row r="22" spans="1:15">
      <c r="B22" s="205"/>
    </row>
    <row r="23" spans="1:15">
      <c r="A23" s="163" t="s">
        <v>898</v>
      </c>
      <c r="B23" s="207">
        <f>B21/12</f>
        <v>122261.66666666667</v>
      </c>
      <c r="C23" s="163" t="s">
        <v>899</v>
      </c>
    </row>
    <row r="26" spans="1:15">
      <c r="A26" s="163" t="s">
        <v>904</v>
      </c>
    </row>
    <row r="27" spans="1:15">
      <c r="A27" s="163" t="s">
        <v>900</v>
      </c>
    </row>
    <row r="29" spans="1:15" ht="15.6">
      <c r="A29" s="209" t="s">
        <v>918</v>
      </c>
      <c r="B29" s="208" t="s">
        <v>886</v>
      </c>
      <c r="C29" s="208" t="s">
        <v>887</v>
      </c>
      <c r="D29" s="208" t="s">
        <v>888</v>
      </c>
      <c r="E29" s="208" t="s">
        <v>889</v>
      </c>
      <c r="F29" s="208" t="s">
        <v>324</v>
      </c>
      <c r="G29" s="208" t="s">
        <v>325</v>
      </c>
      <c r="H29" s="208" t="s">
        <v>891</v>
      </c>
      <c r="I29" s="208" t="s">
        <v>892</v>
      </c>
      <c r="J29" s="208" t="s">
        <v>893</v>
      </c>
      <c r="K29" s="208" t="s">
        <v>894</v>
      </c>
      <c r="L29" s="208" t="s">
        <v>895</v>
      </c>
      <c r="M29" s="208" t="s">
        <v>896</v>
      </c>
      <c r="N29" s="208" t="s">
        <v>9</v>
      </c>
      <c r="O29" s="208" t="s">
        <v>898</v>
      </c>
    </row>
    <row r="31" spans="1:15">
      <c r="A31" s="163" t="s">
        <v>901</v>
      </c>
      <c r="B31" s="205"/>
      <c r="C31" s="205"/>
      <c r="D31" s="205"/>
      <c r="E31" s="205"/>
      <c r="F31" s="205"/>
      <c r="G31" s="205"/>
      <c r="H31" s="205"/>
      <c r="I31" s="205"/>
      <c r="J31" s="205"/>
      <c r="K31" s="205"/>
      <c r="L31" s="205"/>
      <c r="M31" s="205"/>
      <c r="N31" s="205"/>
      <c r="O31" s="205"/>
    </row>
    <row r="32" spans="1:15">
      <c r="A32" s="206" t="s">
        <v>902</v>
      </c>
      <c r="B32" s="205"/>
      <c r="C32" s="205"/>
      <c r="D32" s="205"/>
      <c r="E32" s="205"/>
      <c r="F32" s="205"/>
      <c r="G32" s="205"/>
      <c r="H32" s="205"/>
      <c r="I32" s="205"/>
      <c r="J32" s="205"/>
      <c r="K32" s="205"/>
      <c r="L32" s="205"/>
      <c r="M32" s="205"/>
      <c r="N32" s="205">
        <f>SUM(B32:M32)</f>
        <v>0</v>
      </c>
      <c r="O32" s="205">
        <f>N32/12</f>
        <v>0</v>
      </c>
    </row>
    <row r="33" spans="1:15">
      <c r="A33" s="206" t="s">
        <v>903</v>
      </c>
      <c r="B33" s="205"/>
      <c r="C33" s="205"/>
      <c r="D33" s="205"/>
      <c r="E33" s="205"/>
      <c r="F33" s="205"/>
      <c r="G33" s="205"/>
      <c r="H33" s="205"/>
      <c r="I33" s="205"/>
      <c r="J33" s="205"/>
      <c r="K33" s="205"/>
      <c r="L33" s="205"/>
      <c r="M33" s="205"/>
      <c r="N33" s="205">
        <f>SUM(B33:M33)</f>
        <v>0</v>
      </c>
      <c r="O33" s="205">
        <f>N33/12</f>
        <v>0</v>
      </c>
    </row>
    <row r="34" spans="1:15">
      <c r="B34" s="205"/>
      <c r="C34" s="205"/>
      <c r="D34" s="205"/>
      <c r="E34" s="205"/>
      <c r="F34" s="205"/>
      <c r="G34" s="205"/>
      <c r="H34" s="205"/>
      <c r="I34" s="205"/>
      <c r="J34" s="205"/>
      <c r="K34" s="205"/>
      <c r="L34" s="205"/>
      <c r="M34" s="205"/>
      <c r="N34" s="205"/>
      <c r="O34" s="205"/>
    </row>
    <row r="35" spans="1:15">
      <c r="A35" s="163" t="s">
        <v>901</v>
      </c>
      <c r="B35" s="205"/>
      <c r="C35" s="205"/>
      <c r="D35" s="205"/>
      <c r="E35" s="205"/>
      <c r="F35" s="205"/>
      <c r="G35" s="205"/>
      <c r="H35" s="205"/>
      <c r="I35" s="205"/>
      <c r="J35" s="205"/>
      <c r="K35" s="205"/>
      <c r="L35" s="205"/>
      <c r="M35" s="205"/>
      <c r="N35" s="205"/>
      <c r="O35" s="205"/>
    </row>
    <row r="36" spans="1:15">
      <c r="A36" s="206" t="s">
        <v>902</v>
      </c>
      <c r="B36" s="205"/>
      <c r="C36" s="205"/>
      <c r="D36" s="205"/>
      <c r="E36" s="205"/>
      <c r="F36" s="205"/>
      <c r="G36" s="205"/>
      <c r="H36" s="205"/>
      <c r="I36" s="205"/>
      <c r="J36" s="205"/>
      <c r="K36" s="205"/>
      <c r="L36" s="205"/>
      <c r="M36" s="205"/>
      <c r="N36" s="205">
        <f>SUM(B36:M36)</f>
        <v>0</v>
      </c>
      <c r="O36" s="205">
        <f>N36/12</f>
        <v>0</v>
      </c>
    </row>
    <row r="37" spans="1:15">
      <c r="A37" s="206" t="s">
        <v>903</v>
      </c>
      <c r="B37" s="205"/>
      <c r="C37" s="205"/>
      <c r="D37" s="205"/>
      <c r="E37" s="205"/>
      <c r="F37" s="205"/>
      <c r="G37" s="205"/>
      <c r="H37" s="205"/>
      <c r="I37" s="205"/>
      <c r="J37" s="205"/>
      <c r="K37" s="205"/>
      <c r="L37" s="205"/>
      <c r="M37" s="205"/>
      <c r="N37" s="205">
        <f>SUM(B37:M37)</f>
        <v>0</v>
      </c>
      <c r="O37" s="205">
        <f>N37/12</f>
        <v>0</v>
      </c>
    </row>
    <row r="38" spans="1:15">
      <c r="B38" s="205"/>
      <c r="C38" s="205"/>
      <c r="D38" s="205"/>
      <c r="E38" s="205"/>
      <c r="F38" s="205"/>
      <c r="G38" s="205"/>
      <c r="H38" s="205"/>
      <c r="I38" s="205"/>
      <c r="J38" s="205"/>
      <c r="K38" s="205"/>
      <c r="L38" s="205"/>
      <c r="M38" s="205"/>
      <c r="N38" s="205"/>
      <c r="O38" s="205"/>
    </row>
    <row r="39" spans="1:15">
      <c r="A39" s="163" t="s">
        <v>901</v>
      </c>
      <c r="B39" s="205"/>
      <c r="C39" s="205"/>
      <c r="D39" s="205"/>
      <c r="E39" s="205"/>
      <c r="F39" s="205"/>
      <c r="G39" s="205"/>
      <c r="H39" s="205"/>
      <c r="I39" s="205"/>
      <c r="J39" s="205"/>
      <c r="K39" s="205"/>
      <c r="L39" s="205"/>
      <c r="M39" s="205"/>
      <c r="N39" s="205"/>
      <c r="O39" s="205"/>
    </row>
    <row r="40" spans="1:15">
      <c r="A40" s="206" t="s">
        <v>902</v>
      </c>
      <c r="B40" s="205"/>
      <c r="C40" s="205"/>
      <c r="D40" s="205"/>
      <c r="E40" s="205"/>
      <c r="F40" s="205"/>
      <c r="G40" s="205"/>
      <c r="H40" s="205"/>
      <c r="I40" s="205"/>
      <c r="J40" s="205"/>
      <c r="K40" s="205"/>
      <c r="L40" s="205"/>
      <c r="M40" s="205"/>
      <c r="N40" s="205">
        <f>SUM(B40:M40)</f>
        <v>0</v>
      </c>
      <c r="O40" s="205">
        <f>N40/12</f>
        <v>0</v>
      </c>
    </row>
    <row r="41" spans="1:15">
      <c r="A41" s="206" t="s">
        <v>903</v>
      </c>
      <c r="B41" s="205"/>
      <c r="C41" s="205"/>
      <c r="D41" s="205"/>
      <c r="E41" s="205"/>
      <c r="F41" s="205"/>
      <c r="G41" s="205"/>
      <c r="H41" s="205"/>
      <c r="I41" s="205"/>
      <c r="J41" s="205"/>
      <c r="K41" s="205"/>
      <c r="L41" s="205"/>
      <c r="M41" s="205"/>
      <c r="N41" s="205">
        <f>SUM(B41:M41)</f>
        <v>0</v>
      </c>
      <c r="O41" s="205">
        <f>N41/12</f>
        <v>0</v>
      </c>
    </row>
    <row r="42" spans="1:15">
      <c r="B42" s="205"/>
      <c r="C42" s="205"/>
      <c r="D42" s="205"/>
      <c r="E42" s="205"/>
      <c r="F42" s="205"/>
      <c r="G42" s="205"/>
      <c r="H42" s="205"/>
      <c r="I42" s="205"/>
      <c r="J42" s="205"/>
      <c r="K42" s="205"/>
      <c r="L42" s="205"/>
      <c r="M42" s="205"/>
      <c r="N42" s="205"/>
      <c r="O42" s="205"/>
    </row>
  </sheetData>
  <mergeCells count="2">
    <mergeCell ref="A1:G1"/>
    <mergeCell ref="A2:G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7"/>
  <sheetViews>
    <sheetView topLeftCell="D58" zoomScale="75" zoomScaleNormal="75" workbookViewId="0">
      <selection activeCell="L86" sqref="L86"/>
    </sheetView>
  </sheetViews>
  <sheetFormatPr defaultRowHeight="15"/>
  <cols>
    <col min="1" max="1" width="18.36328125" style="187" customWidth="1"/>
    <col min="2" max="2" width="41.26953125" style="163" bestFit="1" customWidth="1"/>
    <col min="3" max="3" width="14.54296875" style="188" bestFit="1" customWidth="1"/>
    <col min="4" max="4" width="12.453125" style="189" bestFit="1" customWidth="1"/>
    <col min="5" max="5" width="12.81640625" style="189" bestFit="1" customWidth="1"/>
    <col min="6" max="6" width="12.453125" style="189" bestFit="1" customWidth="1"/>
    <col min="7" max="7" width="14.54296875" style="189" bestFit="1" customWidth="1"/>
    <col min="8" max="8" width="2.81640625" style="190" customWidth="1"/>
    <col min="9" max="9" width="11.26953125" style="165" bestFit="1" customWidth="1"/>
    <col min="10" max="10" width="14.1796875" style="188" bestFit="1" customWidth="1"/>
    <col min="11" max="11" width="13.1796875" style="188" bestFit="1" customWidth="1"/>
    <col min="12" max="12" width="14.36328125" style="188" bestFit="1" customWidth="1"/>
    <col min="13" max="13" width="9.54296875" style="188" bestFit="1" customWidth="1"/>
    <col min="14" max="14" width="14.1796875" style="188" bestFit="1" customWidth="1"/>
    <col min="15" max="16384" width="8.7265625" style="163"/>
  </cols>
  <sheetData>
    <row r="1" spans="1:14" s="186" customFormat="1" ht="15.6">
      <c r="A1" s="415" t="s">
        <v>883</v>
      </c>
      <c r="B1" s="416"/>
      <c r="C1" s="416"/>
      <c r="D1" s="416"/>
      <c r="E1" s="416"/>
      <c r="F1" s="416"/>
      <c r="G1" s="416"/>
      <c r="H1" s="184"/>
      <c r="I1" s="185"/>
      <c r="J1" s="182"/>
      <c r="K1" s="182"/>
      <c r="L1" s="182"/>
      <c r="M1" s="182"/>
      <c r="N1" s="182"/>
    </row>
    <row r="2" spans="1:14" s="186" customFormat="1" ht="15.6">
      <c r="A2" s="417" t="s">
        <v>941</v>
      </c>
      <c r="B2" s="417"/>
      <c r="C2" s="417"/>
      <c r="D2" s="417"/>
      <c r="E2" s="417"/>
      <c r="F2" s="417"/>
      <c r="G2" s="417"/>
      <c r="H2" s="184"/>
      <c r="I2" s="185"/>
      <c r="J2" s="182"/>
      <c r="K2" s="182"/>
      <c r="L2" s="182"/>
      <c r="M2" s="182"/>
      <c r="N2" s="182"/>
    </row>
    <row r="3" spans="1:14" s="186" customFormat="1" ht="15.6">
      <c r="A3" s="214" t="s">
        <v>917</v>
      </c>
      <c r="C3" s="182"/>
      <c r="D3" s="183"/>
      <c r="E3" s="183"/>
      <c r="F3" s="183"/>
      <c r="G3" s="183"/>
      <c r="H3" s="184"/>
      <c r="I3" s="185"/>
      <c r="J3" s="182"/>
      <c r="K3" s="182"/>
      <c r="L3" s="182"/>
      <c r="M3" s="182"/>
      <c r="N3" s="182"/>
    </row>
    <row r="4" spans="1:14">
      <c r="I4" s="165" t="s">
        <v>332</v>
      </c>
      <c r="J4" s="191"/>
      <c r="K4" s="191"/>
      <c r="L4" s="191"/>
      <c r="M4" s="191"/>
      <c r="N4" s="191"/>
    </row>
    <row r="5" spans="1:14">
      <c r="C5" s="191" t="s">
        <v>333</v>
      </c>
      <c r="D5" s="192" t="s">
        <v>334</v>
      </c>
      <c r="E5" s="192"/>
      <c r="F5" s="192"/>
      <c r="G5" s="192" t="s">
        <v>333</v>
      </c>
      <c r="I5" s="165" t="s">
        <v>335</v>
      </c>
      <c r="J5" s="191" t="s">
        <v>333</v>
      </c>
      <c r="K5" s="191" t="s">
        <v>335</v>
      </c>
      <c r="L5" s="191" t="s">
        <v>336</v>
      </c>
      <c r="M5" s="191"/>
      <c r="N5" s="191" t="s">
        <v>333</v>
      </c>
    </row>
    <row r="6" spans="1:14">
      <c r="A6" s="193" t="s">
        <v>337</v>
      </c>
      <c r="B6" s="194" t="s">
        <v>338</v>
      </c>
      <c r="C6" s="195" t="s">
        <v>342</v>
      </c>
      <c r="D6" s="196" t="s">
        <v>339</v>
      </c>
      <c r="E6" s="196" t="s">
        <v>340</v>
      </c>
      <c r="F6" s="196" t="s">
        <v>341</v>
      </c>
      <c r="G6" s="197" t="s">
        <v>866</v>
      </c>
      <c r="I6" s="198" t="s">
        <v>337</v>
      </c>
      <c r="J6" s="221">
        <v>41274</v>
      </c>
      <c r="K6" s="199" t="s">
        <v>343</v>
      </c>
      <c r="L6" s="199" t="s">
        <v>344</v>
      </c>
      <c r="M6" s="199" t="s">
        <v>345</v>
      </c>
      <c r="N6" s="195" t="s">
        <v>866</v>
      </c>
    </row>
    <row r="7" spans="1:14">
      <c r="A7" s="181" t="s">
        <v>346</v>
      </c>
    </row>
    <row r="8" spans="1:14">
      <c r="A8" s="215">
        <v>310</v>
      </c>
      <c r="B8" s="163" t="s">
        <v>347</v>
      </c>
      <c r="C8" s="188">
        <v>784559.78</v>
      </c>
      <c r="D8" s="189">
        <v>0</v>
      </c>
      <c r="E8" s="189">
        <v>0</v>
      </c>
      <c r="F8" s="189">
        <v>0</v>
      </c>
      <c r="G8" s="189">
        <f>+C8+D8+E8-F8</f>
        <v>784559.78</v>
      </c>
    </row>
    <row r="9" spans="1:14">
      <c r="A9" s="215">
        <v>311</v>
      </c>
      <c r="B9" s="163" t="s">
        <v>348</v>
      </c>
      <c r="C9" s="188">
        <v>69445094.88000001</v>
      </c>
      <c r="D9" s="189">
        <v>4852.45</v>
      </c>
      <c r="E9" s="189">
        <v>0</v>
      </c>
      <c r="F9" s="189">
        <v>0</v>
      </c>
      <c r="G9" s="189">
        <f t="shared" ref="G9:G24" si="0">+C9+D9+E9-F9</f>
        <v>69449947.330000013</v>
      </c>
    </row>
    <row r="10" spans="1:14">
      <c r="A10" s="215" t="s">
        <v>349</v>
      </c>
      <c r="B10" s="163" t="s">
        <v>350</v>
      </c>
      <c r="C10" s="188">
        <v>3744006.34</v>
      </c>
      <c r="D10" s="189">
        <v>0</v>
      </c>
      <c r="E10" s="189">
        <v>0</v>
      </c>
      <c r="F10" s="189">
        <v>0</v>
      </c>
      <c r="G10" s="189">
        <f t="shared" si="0"/>
        <v>3744006.34</v>
      </c>
    </row>
    <row r="11" spans="1:14">
      <c r="A11" s="215" t="s">
        <v>351</v>
      </c>
      <c r="B11" s="163" t="s">
        <v>352</v>
      </c>
      <c r="C11" s="188">
        <v>2584204.0699999998</v>
      </c>
      <c r="D11" s="189">
        <v>0</v>
      </c>
      <c r="E11" s="189">
        <v>0</v>
      </c>
      <c r="F11" s="189">
        <v>0</v>
      </c>
      <c r="G11" s="189">
        <f t="shared" si="0"/>
        <v>2584204.0699999998</v>
      </c>
    </row>
    <row r="12" spans="1:14">
      <c r="A12" s="215">
        <v>312</v>
      </c>
      <c r="B12" s="163" t="s">
        <v>353</v>
      </c>
      <c r="C12" s="188">
        <v>133403924.99999997</v>
      </c>
      <c r="D12" s="189">
        <f>134658554.63-134645791.03</f>
        <v>12763.59999999404</v>
      </c>
      <c r="E12" s="189">
        <v>1719637.65</v>
      </c>
      <c r="F12" s="189">
        <f>14858.32+462913.3</f>
        <v>477771.62</v>
      </c>
      <c r="G12" s="189">
        <f t="shared" si="0"/>
        <v>134658554.62999997</v>
      </c>
    </row>
    <row r="13" spans="1:14">
      <c r="A13" s="215" t="s">
        <v>354</v>
      </c>
      <c r="B13" s="163" t="s">
        <v>355</v>
      </c>
      <c r="C13" s="188">
        <v>2469750.65</v>
      </c>
      <c r="D13" s="189">
        <v>0</v>
      </c>
      <c r="E13" s="189">
        <v>0</v>
      </c>
      <c r="F13" s="189">
        <v>0</v>
      </c>
      <c r="G13" s="189">
        <f t="shared" si="0"/>
        <v>2469750.65</v>
      </c>
    </row>
    <row r="14" spans="1:14">
      <c r="A14" s="215" t="s">
        <v>356</v>
      </c>
      <c r="B14" s="163" t="s">
        <v>357</v>
      </c>
      <c r="C14" s="188">
        <v>25224778.09</v>
      </c>
      <c r="D14" s="189">
        <v>0</v>
      </c>
      <c r="E14" s="189">
        <v>0</v>
      </c>
      <c r="F14" s="189">
        <v>0</v>
      </c>
      <c r="G14" s="189">
        <f t="shared" si="0"/>
        <v>25224778.09</v>
      </c>
    </row>
    <row r="15" spans="1:14">
      <c r="A15" s="215" t="s">
        <v>358</v>
      </c>
      <c r="B15" s="163" t="s">
        <v>359</v>
      </c>
      <c r="C15" s="188">
        <v>4062320.97</v>
      </c>
      <c r="D15" s="189">
        <v>0</v>
      </c>
      <c r="E15" s="189">
        <v>0</v>
      </c>
      <c r="F15" s="189">
        <v>0</v>
      </c>
      <c r="G15" s="189">
        <f t="shared" si="0"/>
        <v>4062320.97</v>
      </c>
    </row>
    <row r="16" spans="1:14">
      <c r="A16" s="215">
        <v>314</v>
      </c>
      <c r="B16" s="163" t="s">
        <v>360</v>
      </c>
      <c r="C16" s="188">
        <v>28612869.659999996</v>
      </c>
      <c r="D16" s="189">
        <v>0</v>
      </c>
      <c r="E16" s="189">
        <v>0</v>
      </c>
      <c r="F16" s="189">
        <v>0</v>
      </c>
      <c r="G16" s="189">
        <f t="shared" si="0"/>
        <v>28612869.659999996</v>
      </c>
    </row>
    <row r="17" spans="1:14">
      <c r="A17" s="215" t="s">
        <v>361</v>
      </c>
      <c r="B17" s="163" t="s">
        <v>362</v>
      </c>
      <c r="C17" s="188">
        <v>57600.43</v>
      </c>
      <c r="D17" s="189">
        <v>0</v>
      </c>
      <c r="E17" s="189">
        <v>0</v>
      </c>
      <c r="F17" s="189">
        <v>0</v>
      </c>
      <c r="G17" s="189">
        <f t="shared" si="0"/>
        <v>57600.43</v>
      </c>
    </row>
    <row r="18" spans="1:14">
      <c r="A18" s="215" t="s">
        <v>363</v>
      </c>
      <c r="B18" s="163" t="s">
        <v>364</v>
      </c>
      <c r="C18" s="188">
        <v>5055774.62</v>
      </c>
      <c r="D18" s="189">
        <v>0</v>
      </c>
      <c r="E18" s="189">
        <v>0</v>
      </c>
      <c r="F18" s="189">
        <v>0</v>
      </c>
      <c r="G18" s="189">
        <f t="shared" si="0"/>
        <v>5055774.62</v>
      </c>
    </row>
    <row r="19" spans="1:14">
      <c r="A19" s="215">
        <v>315</v>
      </c>
      <c r="B19" s="163" t="s">
        <v>365</v>
      </c>
      <c r="C19" s="188">
        <v>22418215.740000006</v>
      </c>
      <c r="D19" s="189">
        <v>0</v>
      </c>
      <c r="E19" s="189">
        <v>21939.59</v>
      </c>
      <c r="F19" s="189">
        <f>29715.47+36456.8</f>
        <v>66172.27</v>
      </c>
      <c r="G19" s="189">
        <f t="shared" si="0"/>
        <v>22373983.060000006</v>
      </c>
    </row>
    <row r="20" spans="1:14">
      <c r="A20" s="215" t="s">
        <v>366</v>
      </c>
      <c r="B20" s="163" t="s">
        <v>367</v>
      </c>
      <c r="C20" s="188">
        <v>2417127.8699999996</v>
      </c>
      <c r="D20" s="189">
        <v>0</v>
      </c>
      <c r="E20" s="189">
        <v>31483.25</v>
      </c>
      <c r="F20" s="189">
        <v>64047.32</v>
      </c>
      <c r="G20" s="189">
        <f t="shared" si="0"/>
        <v>2384563.7999999998</v>
      </c>
    </row>
    <row r="21" spans="1:14">
      <c r="A21" s="215" t="s">
        <v>368</v>
      </c>
      <c r="B21" s="163" t="s">
        <v>369</v>
      </c>
      <c r="C21" s="188">
        <v>306525</v>
      </c>
      <c r="D21" s="189">
        <v>0</v>
      </c>
      <c r="E21" s="189">
        <v>0</v>
      </c>
      <c r="F21" s="189">
        <v>0</v>
      </c>
      <c r="G21" s="189">
        <f t="shared" si="0"/>
        <v>306525</v>
      </c>
    </row>
    <row r="22" spans="1:14">
      <c r="A22" s="215">
        <v>316</v>
      </c>
      <c r="B22" s="163" t="s">
        <v>370</v>
      </c>
      <c r="C22" s="188">
        <v>4227529.1199999992</v>
      </c>
      <c r="D22" s="189">
        <f>4302.97+11216.02</f>
        <v>15518.990000000002</v>
      </c>
      <c r="E22" s="189">
        <f>9434+7.88+1201.77+66452.18</f>
        <v>77095.829999999987</v>
      </c>
      <c r="F22" s="189">
        <f>50489.12+12772.15+458.71</f>
        <v>63719.98</v>
      </c>
      <c r="G22" s="189">
        <f t="shared" si="0"/>
        <v>4256423.959999999</v>
      </c>
    </row>
    <row r="23" spans="1:14">
      <c r="A23" s="215">
        <v>317</v>
      </c>
      <c r="B23" s="163" t="s">
        <v>371</v>
      </c>
      <c r="C23" s="188">
        <v>11089280.719999999</v>
      </c>
      <c r="D23" s="189">
        <v>0</v>
      </c>
      <c r="E23" s="189">
        <v>245524.91</v>
      </c>
      <c r="F23" s="189">
        <v>122712.46</v>
      </c>
      <c r="G23" s="189">
        <f t="shared" si="0"/>
        <v>11212093.169999998</v>
      </c>
    </row>
    <row r="24" spans="1:14">
      <c r="A24" s="215">
        <v>319</v>
      </c>
      <c r="B24" s="163" t="s">
        <v>372</v>
      </c>
      <c r="C24" s="222">
        <v>14191998.109999999</v>
      </c>
      <c r="D24" s="223">
        <v>0</v>
      </c>
      <c r="E24" s="223">
        <v>0</v>
      </c>
      <c r="F24" s="223">
        <v>54075.25</v>
      </c>
      <c r="G24" s="223">
        <f t="shared" si="0"/>
        <v>14137922.859999999</v>
      </c>
    </row>
    <row r="26" spans="1:14">
      <c r="B26" s="163" t="s">
        <v>373</v>
      </c>
      <c r="C26" s="222">
        <f>SUM(C8:C25)</f>
        <v>330095561.05000007</v>
      </c>
      <c r="D26" s="223">
        <f t="shared" ref="D26:G26" si="1">SUM(D8:D25)</f>
        <v>33135.039999994042</v>
      </c>
      <c r="E26" s="223">
        <f t="shared" si="1"/>
        <v>2095681.23</v>
      </c>
      <c r="F26" s="223">
        <f t="shared" si="1"/>
        <v>848498.89999999991</v>
      </c>
      <c r="G26" s="223">
        <f t="shared" si="1"/>
        <v>331375878.42000002</v>
      </c>
      <c r="I26" s="165" t="s">
        <v>374</v>
      </c>
      <c r="J26" s="188">
        <v>248157548.46999997</v>
      </c>
      <c r="K26" s="188">
        <f>622373*12</f>
        <v>7468476</v>
      </c>
      <c r="L26" s="188">
        <v>-848498.9</v>
      </c>
      <c r="M26" s="188">
        <f>92.5+5650+22</f>
        <v>5764.5</v>
      </c>
      <c r="N26" s="188">
        <f>SUM(J26:M26)</f>
        <v>254783290.06999996</v>
      </c>
    </row>
    <row r="27" spans="1:14">
      <c r="K27" s="200">
        <f>+K26/(C26-C8)</f>
        <v>2.2679096571926068E-2</v>
      </c>
    </row>
    <row r="28" spans="1:14">
      <c r="A28" s="181" t="s">
        <v>375</v>
      </c>
      <c r="K28" s="201">
        <f>+(C26-C8)/K26</f>
        <v>44.093467163849773</v>
      </c>
      <c r="L28" s="188" t="s">
        <v>376</v>
      </c>
    </row>
    <row r="29" spans="1:14">
      <c r="A29" s="215">
        <v>350</v>
      </c>
      <c r="B29" s="163" t="s">
        <v>347</v>
      </c>
      <c r="C29" s="188">
        <v>851116.58</v>
      </c>
      <c r="D29" s="189">
        <v>0</v>
      </c>
      <c r="E29" s="189">
        <v>0</v>
      </c>
      <c r="F29" s="189">
        <v>0</v>
      </c>
      <c r="G29" s="189">
        <f t="shared" ref="G29:G34" si="2">+C29+D29+E29-F29</f>
        <v>851116.58</v>
      </c>
    </row>
    <row r="30" spans="1:14">
      <c r="A30" s="215">
        <v>352</v>
      </c>
      <c r="B30" s="163" t="s">
        <v>348</v>
      </c>
      <c r="C30" s="188">
        <v>705079.13</v>
      </c>
      <c r="D30" s="189">
        <v>0</v>
      </c>
      <c r="E30" s="189">
        <v>0</v>
      </c>
      <c r="F30" s="189">
        <v>0</v>
      </c>
      <c r="G30" s="189">
        <f t="shared" si="2"/>
        <v>705079.13</v>
      </c>
    </row>
    <row r="31" spans="1:14">
      <c r="A31" s="215">
        <v>353</v>
      </c>
      <c r="B31" s="163" t="s">
        <v>377</v>
      </c>
      <c r="C31" s="188">
        <v>6207910.7900000028</v>
      </c>
      <c r="D31" s="189">
        <v>0</v>
      </c>
      <c r="E31" s="189">
        <f>22080.6+23130.81</f>
        <v>45211.41</v>
      </c>
      <c r="F31" s="189">
        <v>22605.71</v>
      </c>
      <c r="G31" s="189">
        <f t="shared" si="2"/>
        <v>6230516.490000003</v>
      </c>
    </row>
    <row r="32" spans="1:14">
      <c r="A32" s="215">
        <v>354</v>
      </c>
      <c r="B32" s="163" t="s">
        <v>378</v>
      </c>
      <c r="C32" s="188">
        <v>30581.85</v>
      </c>
      <c r="D32" s="189">
        <v>0</v>
      </c>
      <c r="E32" s="189">
        <v>0</v>
      </c>
      <c r="F32" s="189">
        <v>0</v>
      </c>
      <c r="G32" s="189">
        <f t="shared" si="2"/>
        <v>30581.85</v>
      </c>
    </row>
    <row r="33" spans="1:14">
      <c r="A33" s="215">
        <v>355</v>
      </c>
      <c r="B33" s="163" t="s">
        <v>379</v>
      </c>
      <c r="C33" s="188">
        <v>2057688.3499999999</v>
      </c>
      <c r="D33" s="189">
        <v>18.87</v>
      </c>
      <c r="E33" s="189">
        <v>0</v>
      </c>
      <c r="F33" s="189">
        <v>0</v>
      </c>
      <c r="G33" s="189">
        <f t="shared" si="2"/>
        <v>2057707.22</v>
      </c>
    </row>
    <row r="34" spans="1:14">
      <c r="A34" s="215">
        <v>356</v>
      </c>
      <c r="B34" s="163" t="s">
        <v>380</v>
      </c>
      <c r="C34" s="222">
        <v>2207628.69</v>
      </c>
      <c r="D34" s="223">
        <v>0</v>
      </c>
      <c r="E34" s="223">
        <v>0</v>
      </c>
      <c r="F34" s="223">
        <v>0</v>
      </c>
      <c r="G34" s="223">
        <f t="shared" si="2"/>
        <v>2207628.69</v>
      </c>
    </row>
    <row r="36" spans="1:14">
      <c r="B36" s="163" t="s">
        <v>381</v>
      </c>
      <c r="C36" s="222">
        <f>SUM(C29:C35)</f>
        <v>12060005.390000002</v>
      </c>
      <c r="D36" s="223">
        <f t="shared" ref="D36:G36" si="3">SUM(D29:D35)</f>
        <v>18.87</v>
      </c>
      <c r="E36" s="223">
        <f t="shared" si="3"/>
        <v>45211.41</v>
      </c>
      <c r="F36" s="223">
        <f t="shared" si="3"/>
        <v>22605.71</v>
      </c>
      <c r="G36" s="223">
        <f t="shared" si="3"/>
        <v>12082629.960000003</v>
      </c>
      <c r="I36" s="165" t="s">
        <v>382</v>
      </c>
      <c r="J36" s="188">
        <v>9257666.4899999984</v>
      </c>
      <c r="K36" s="188">
        <f>30625*12</f>
        <v>367500</v>
      </c>
      <c r="L36" s="188">
        <v>-22605.71</v>
      </c>
      <c r="M36" s="188">
        <v>0</v>
      </c>
      <c r="N36" s="188">
        <f>SUM(J36:M36)</f>
        <v>9602560.7799999975</v>
      </c>
    </row>
    <row r="38" spans="1:14">
      <c r="A38" s="181" t="s">
        <v>383</v>
      </c>
      <c r="K38" s="200"/>
    </row>
    <row r="39" spans="1:14">
      <c r="A39" s="215">
        <v>360</v>
      </c>
      <c r="B39" s="163" t="s">
        <v>347</v>
      </c>
      <c r="C39" s="188">
        <v>141532.75</v>
      </c>
      <c r="D39" s="189">
        <v>0</v>
      </c>
      <c r="E39" s="189">
        <v>0</v>
      </c>
      <c r="F39" s="189">
        <v>0</v>
      </c>
      <c r="G39" s="189">
        <f t="shared" ref="G39:G58" si="4">+C39+D39+E39-F39</f>
        <v>141532.75</v>
      </c>
    </row>
    <row r="40" spans="1:14">
      <c r="A40" s="215">
        <v>361</v>
      </c>
      <c r="B40" s="163" t="s">
        <v>348</v>
      </c>
      <c r="C40" s="188">
        <v>359594.19</v>
      </c>
      <c r="D40" s="189">
        <v>0</v>
      </c>
      <c r="E40" s="189">
        <v>0</v>
      </c>
      <c r="F40" s="189">
        <v>0</v>
      </c>
      <c r="G40" s="189">
        <f t="shared" si="4"/>
        <v>359594.19</v>
      </c>
    </row>
    <row r="41" spans="1:14">
      <c r="A41" s="215">
        <v>362</v>
      </c>
      <c r="B41" s="163" t="s">
        <v>377</v>
      </c>
      <c r="C41" s="188">
        <v>5684480.8199999984</v>
      </c>
      <c r="D41" s="189">
        <v>0</v>
      </c>
      <c r="E41" s="189">
        <v>0</v>
      </c>
      <c r="F41" s="189">
        <v>7976.5</v>
      </c>
      <c r="G41" s="189">
        <f t="shared" si="4"/>
        <v>5676504.3199999984</v>
      </c>
    </row>
    <row r="42" spans="1:14">
      <c r="A42" s="215">
        <v>363</v>
      </c>
      <c r="B42" s="163" t="s">
        <v>384</v>
      </c>
      <c r="C42" s="188">
        <v>41102.25</v>
      </c>
      <c r="D42" s="189">
        <v>0</v>
      </c>
      <c r="E42" s="189">
        <v>0</v>
      </c>
      <c r="F42" s="189">
        <v>0</v>
      </c>
      <c r="G42" s="189">
        <f t="shared" si="4"/>
        <v>41102.25</v>
      </c>
    </row>
    <row r="43" spans="1:14">
      <c r="A43" s="215">
        <v>364</v>
      </c>
      <c r="B43" s="163" t="s">
        <v>385</v>
      </c>
      <c r="C43" s="188">
        <v>4189634.94</v>
      </c>
      <c r="D43" s="189">
        <v>5532.62</v>
      </c>
      <c r="E43" s="189">
        <v>28896.85</v>
      </c>
      <c r="F43" s="189">
        <v>10207.209999999999</v>
      </c>
      <c r="G43" s="189">
        <f t="shared" si="4"/>
        <v>4213857.1999999993</v>
      </c>
    </row>
    <row r="44" spans="1:14">
      <c r="A44" s="215">
        <v>365</v>
      </c>
      <c r="B44" s="163" t="s">
        <v>380</v>
      </c>
      <c r="C44" s="188">
        <v>4790870.9099999983</v>
      </c>
      <c r="D44" s="189">
        <f>1270.89+190.64</f>
        <v>1461.5300000000002</v>
      </c>
      <c r="E44" s="189">
        <v>11373.21</v>
      </c>
      <c r="F44" s="189">
        <v>3344.74</v>
      </c>
      <c r="G44" s="189">
        <f t="shared" si="4"/>
        <v>4800360.9099999983</v>
      </c>
    </row>
    <row r="45" spans="1:14">
      <c r="A45" s="215">
        <v>366</v>
      </c>
      <c r="B45" s="163" t="s">
        <v>386</v>
      </c>
      <c r="C45" s="188">
        <v>3067915.2100000004</v>
      </c>
      <c r="D45" s="189">
        <f>3086189.96-3083953.67</f>
        <v>2236.2900000000373</v>
      </c>
      <c r="E45" s="189">
        <v>24186.560000000001</v>
      </c>
      <c r="F45" s="189">
        <f>812.38+7335.72</f>
        <v>8148.1</v>
      </c>
      <c r="G45" s="189">
        <f t="shared" si="4"/>
        <v>3086189.9600000004</v>
      </c>
    </row>
    <row r="46" spans="1:14">
      <c r="A46" s="215">
        <v>367</v>
      </c>
      <c r="B46" s="163" t="s">
        <v>387</v>
      </c>
      <c r="C46" s="188">
        <v>7115051.5000000009</v>
      </c>
      <c r="D46" s="189">
        <v>41200.19</v>
      </c>
      <c r="E46" s="189">
        <v>100151.16</v>
      </c>
      <c r="F46" s="189">
        <v>25019</v>
      </c>
      <c r="G46" s="189">
        <f t="shared" si="4"/>
        <v>7231383.8500000015</v>
      </c>
    </row>
    <row r="47" spans="1:14">
      <c r="A47" s="215">
        <v>368</v>
      </c>
      <c r="B47" s="163" t="s">
        <v>388</v>
      </c>
      <c r="C47" s="188">
        <v>-634.30999999999995</v>
      </c>
      <c r="D47" s="189">
        <v>0</v>
      </c>
      <c r="E47" s="189">
        <v>0</v>
      </c>
      <c r="F47" s="189">
        <v>0</v>
      </c>
      <c r="G47" s="189">
        <f t="shared" si="4"/>
        <v>-634.30999999999995</v>
      </c>
    </row>
    <row r="48" spans="1:14">
      <c r="A48" s="215" t="s">
        <v>389</v>
      </c>
      <c r="B48" s="163" t="s">
        <v>390</v>
      </c>
      <c r="C48" s="188">
        <v>4388374.0100000016</v>
      </c>
      <c r="D48" s="189">
        <f>346.53+825.4</f>
        <v>1171.9299999999998</v>
      </c>
      <c r="E48" s="189">
        <v>6933.67</v>
      </c>
      <c r="F48" s="189">
        <v>692.34</v>
      </c>
      <c r="G48" s="189">
        <f t="shared" si="4"/>
        <v>4395787.2700000014</v>
      </c>
    </row>
    <row r="49" spans="1:14">
      <c r="A49" s="215" t="s">
        <v>391</v>
      </c>
      <c r="B49" s="163" t="s">
        <v>392</v>
      </c>
      <c r="C49" s="188">
        <v>4910873.879999999</v>
      </c>
      <c r="D49" s="189">
        <f>5162922.35-4928302.77</f>
        <v>234619.58000000007</v>
      </c>
      <c r="E49" s="189">
        <v>17428.89</v>
      </c>
      <c r="F49" s="189">
        <v>0</v>
      </c>
      <c r="G49" s="189">
        <f t="shared" si="4"/>
        <v>5162922.3499999987</v>
      </c>
    </row>
    <row r="50" spans="1:14">
      <c r="A50" s="215" t="s">
        <v>393</v>
      </c>
      <c r="B50" s="163" t="s">
        <v>394</v>
      </c>
      <c r="C50" s="188">
        <v>1490762.7499999995</v>
      </c>
      <c r="D50" s="189">
        <v>13301.96</v>
      </c>
      <c r="E50" s="189">
        <v>26558.25</v>
      </c>
      <c r="F50" s="189">
        <v>11470.05</v>
      </c>
      <c r="G50" s="189">
        <f t="shared" si="4"/>
        <v>1519152.9099999995</v>
      </c>
    </row>
    <row r="51" spans="1:14">
      <c r="A51" s="215" t="s">
        <v>395</v>
      </c>
      <c r="B51" s="163" t="s">
        <v>396</v>
      </c>
      <c r="C51" s="188">
        <v>5085096.5000000009</v>
      </c>
      <c r="D51" s="189">
        <f>5422141.05-5164062.34</f>
        <v>258078.70999999996</v>
      </c>
      <c r="E51" s="189">
        <v>78965.84</v>
      </c>
      <c r="F51" s="189">
        <v>0</v>
      </c>
      <c r="G51" s="189">
        <f t="shared" si="4"/>
        <v>5422141.0500000007</v>
      </c>
    </row>
    <row r="52" spans="1:14">
      <c r="A52" s="215">
        <v>370</v>
      </c>
      <c r="B52" s="163" t="s">
        <v>397</v>
      </c>
      <c r="C52" s="188">
        <v>1538027.3899999994</v>
      </c>
      <c r="D52" s="189">
        <v>21239.35</v>
      </c>
      <c r="E52" s="189">
        <v>0</v>
      </c>
      <c r="F52" s="189">
        <v>5213</v>
      </c>
      <c r="G52" s="189">
        <f t="shared" si="4"/>
        <v>1554053.7399999995</v>
      </c>
    </row>
    <row r="53" spans="1:14">
      <c r="A53" s="215">
        <v>371</v>
      </c>
      <c r="B53" s="163" t="s">
        <v>398</v>
      </c>
      <c r="C53" s="188">
        <v>121050.92</v>
      </c>
      <c r="D53" s="189">
        <v>0</v>
      </c>
      <c r="E53" s="189">
        <v>0</v>
      </c>
      <c r="F53" s="189">
        <v>0</v>
      </c>
      <c r="G53" s="189">
        <f t="shared" si="4"/>
        <v>121050.92</v>
      </c>
    </row>
    <row r="54" spans="1:14">
      <c r="A54" s="215">
        <v>372</v>
      </c>
      <c r="B54" s="163" t="s">
        <v>399</v>
      </c>
      <c r="C54" s="188">
        <v>8155.58</v>
      </c>
      <c r="D54" s="189">
        <v>0</v>
      </c>
      <c r="E54" s="189">
        <v>0</v>
      </c>
      <c r="F54" s="189">
        <v>0</v>
      </c>
      <c r="G54" s="189">
        <f t="shared" si="4"/>
        <v>8155.58</v>
      </c>
    </row>
    <row r="55" spans="1:14">
      <c r="A55" s="215">
        <v>373</v>
      </c>
      <c r="B55" s="163" t="s">
        <v>400</v>
      </c>
      <c r="C55" s="188">
        <v>23722.18</v>
      </c>
      <c r="D55" s="189">
        <v>0</v>
      </c>
      <c r="E55" s="189">
        <v>52447.81</v>
      </c>
      <c r="F55" s="189">
        <v>0</v>
      </c>
      <c r="G55" s="189">
        <f t="shared" si="4"/>
        <v>76169.989999999991</v>
      </c>
    </row>
    <row r="56" spans="1:14">
      <c r="A56" s="215" t="s">
        <v>401</v>
      </c>
      <c r="B56" s="163" t="s">
        <v>402</v>
      </c>
      <c r="C56" s="188">
        <v>2231165.73</v>
      </c>
      <c r="D56" s="189">
        <f>553.72+438.86</f>
        <v>992.58</v>
      </c>
      <c r="E56" s="189">
        <v>923.98</v>
      </c>
      <c r="F56" s="189">
        <f>438.86+56286.56</f>
        <v>56725.42</v>
      </c>
      <c r="G56" s="189">
        <f t="shared" si="4"/>
        <v>2176356.87</v>
      </c>
    </row>
    <row r="57" spans="1:14">
      <c r="A57" s="215" t="s">
        <v>403</v>
      </c>
      <c r="B57" s="163" t="s">
        <v>404</v>
      </c>
      <c r="C57" s="188">
        <v>1243801.6100000003</v>
      </c>
      <c r="D57" s="189">
        <v>3616.7</v>
      </c>
      <c r="E57" s="189">
        <v>1810.92</v>
      </c>
      <c r="F57" s="189">
        <v>0</v>
      </c>
      <c r="G57" s="189">
        <f t="shared" si="4"/>
        <v>1249229.2300000002</v>
      </c>
    </row>
    <row r="58" spans="1:14">
      <c r="A58" s="215">
        <v>374</v>
      </c>
      <c r="B58" s="163" t="s">
        <v>405</v>
      </c>
      <c r="C58" s="222">
        <v>484204.35</v>
      </c>
      <c r="D58" s="223">
        <v>16221.63</v>
      </c>
      <c r="E58" s="223">
        <v>0</v>
      </c>
      <c r="F58" s="223">
        <v>0</v>
      </c>
      <c r="G58" s="223">
        <f t="shared" si="4"/>
        <v>500425.98</v>
      </c>
    </row>
    <row r="59" spans="1:14">
      <c r="C59" s="222"/>
      <c r="D59" s="223"/>
      <c r="E59" s="223"/>
      <c r="F59" s="223"/>
      <c r="G59" s="223"/>
    </row>
    <row r="60" spans="1:14">
      <c r="B60" s="163" t="s">
        <v>406</v>
      </c>
      <c r="C60" s="222">
        <f>SUM(C39:C59)</f>
        <v>46914783.159999996</v>
      </c>
      <c r="D60" s="223">
        <f t="shared" ref="D60:G60" si="5">SUM(D39:D59)</f>
        <v>599673.06999999995</v>
      </c>
      <c r="E60" s="223">
        <f t="shared" si="5"/>
        <v>349677.14</v>
      </c>
      <c r="F60" s="223">
        <f t="shared" si="5"/>
        <v>128796.35999999999</v>
      </c>
      <c r="G60" s="223">
        <f t="shared" si="5"/>
        <v>47735337.009999998</v>
      </c>
      <c r="I60" s="165" t="s">
        <v>407</v>
      </c>
      <c r="J60" s="188">
        <v>35248312.86999999</v>
      </c>
      <c r="K60" s="188">
        <f>155502*12</f>
        <v>1866024</v>
      </c>
      <c r="L60" s="188">
        <f>36944328-37119620.87</f>
        <v>-175292.86999999732</v>
      </c>
      <c r="M60" s="188">
        <f>4000+321+321+321+321</f>
        <v>5284</v>
      </c>
      <c r="N60" s="188">
        <f>SUM(J60:M60)</f>
        <v>36944327.999999993</v>
      </c>
    </row>
    <row r="61" spans="1:14">
      <c r="K61" s="200">
        <f>(+K60+K36)/(C60+C36-C29-C39)</f>
        <v>3.8520896780393055E-2</v>
      </c>
    </row>
    <row r="62" spans="1:14">
      <c r="A62" s="181" t="s">
        <v>408</v>
      </c>
      <c r="K62" s="188">
        <f>(C60+C36-C29-C39)/(+K60+K36)</f>
        <v>25.959935608482379</v>
      </c>
      <c r="L62" s="188" t="s">
        <v>376</v>
      </c>
    </row>
    <row r="63" spans="1:14">
      <c r="A63" s="215">
        <v>389</v>
      </c>
      <c r="B63" s="163" t="s">
        <v>347</v>
      </c>
      <c r="C63" s="188">
        <v>97380.73</v>
      </c>
      <c r="D63" s="189">
        <v>0</v>
      </c>
      <c r="E63" s="189">
        <v>0</v>
      </c>
      <c r="F63" s="189">
        <v>0</v>
      </c>
      <c r="G63" s="189">
        <f t="shared" ref="G63:G76" si="6">+C63+D63+E63-F63</f>
        <v>97380.73</v>
      </c>
    </row>
    <row r="64" spans="1:14">
      <c r="A64" s="215" t="s">
        <v>409</v>
      </c>
      <c r="B64" s="163" t="s">
        <v>410</v>
      </c>
      <c r="C64" s="188">
        <v>69863.63</v>
      </c>
      <c r="D64" s="189">
        <v>0</v>
      </c>
      <c r="E64" s="189">
        <v>0</v>
      </c>
      <c r="F64" s="189">
        <v>0</v>
      </c>
      <c r="G64" s="189">
        <f t="shared" si="6"/>
        <v>69863.63</v>
      </c>
    </row>
    <row r="65" spans="1:14">
      <c r="A65" s="215" t="s">
        <v>411</v>
      </c>
      <c r="B65" s="163" t="s">
        <v>412</v>
      </c>
      <c r="C65" s="188">
        <v>8201609.7600000007</v>
      </c>
      <c r="D65" s="189">
        <v>0</v>
      </c>
      <c r="E65" s="189">
        <v>167784.85</v>
      </c>
      <c r="F65" s="189">
        <v>83791.240000000005</v>
      </c>
      <c r="G65" s="189">
        <f t="shared" si="6"/>
        <v>8285603.3700000001</v>
      </c>
    </row>
    <row r="66" spans="1:14">
      <c r="A66" s="215">
        <v>391</v>
      </c>
      <c r="B66" s="163" t="s">
        <v>413</v>
      </c>
      <c r="C66" s="188">
        <v>1391670.53</v>
      </c>
      <c r="D66" s="189">
        <v>4743.45</v>
      </c>
      <c r="E66" s="189">
        <v>2100</v>
      </c>
      <c r="F66" s="189">
        <v>5047.76</v>
      </c>
      <c r="G66" s="189">
        <f t="shared" si="6"/>
        <v>1393466.22</v>
      </c>
    </row>
    <row r="67" spans="1:14">
      <c r="A67" s="215" t="s">
        <v>414</v>
      </c>
      <c r="B67" s="163" t="s">
        <v>415</v>
      </c>
      <c r="C67" s="188">
        <v>1439628.5999999999</v>
      </c>
      <c r="D67" s="189">
        <f>2587.28+36.66</f>
        <v>2623.94</v>
      </c>
      <c r="E67" s="189">
        <v>212154.16</v>
      </c>
      <c r="F67" s="189">
        <v>70545.67</v>
      </c>
      <c r="G67" s="189">
        <f t="shared" si="6"/>
        <v>1583861.0299999998</v>
      </c>
    </row>
    <row r="68" spans="1:14">
      <c r="A68" s="215" t="s">
        <v>416</v>
      </c>
      <c r="B68" s="163" t="s">
        <v>417</v>
      </c>
      <c r="C68" s="188">
        <v>2041710.8</v>
      </c>
      <c r="D68" s="189">
        <f>14316.61+9798.39</f>
        <v>24115</v>
      </c>
      <c r="E68" s="189">
        <v>79147.5</v>
      </c>
      <c r="F68" s="189">
        <v>142840.92000000001</v>
      </c>
      <c r="G68" s="189">
        <f t="shared" si="6"/>
        <v>2002132.38</v>
      </c>
    </row>
    <row r="69" spans="1:14">
      <c r="A69" s="215">
        <v>392</v>
      </c>
      <c r="B69" s="163" t="s">
        <v>418</v>
      </c>
      <c r="C69" s="188">
        <v>3490541.24</v>
      </c>
      <c r="D69" s="189">
        <v>24677.84</v>
      </c>
      <c r="E69" s="189">
        <f>473303.3-24677.84</f>
        <v>448625.45999999996</v>
      </c>
      <c r="F69" s="189">
        <v>338998.64</v>
      </c>
      <c r="G69" s="189">
        <f t="shared" si="6"/>
        <v>3624845.9</v>
      </c>
    </row>
    <row r="70" spans="1:14">
      <c r="A70" s="215">
        <v>393</v>
      </c>
      <c r="B70" s="163" t="s">
        <v>419</v>
      </c>
      <c r="C70" s="188">
        <v>386043.65</v>
      </c>
      <c r="D70" s="189">
        <v>0</v>
      </c>
      <c r="E70" s="189">
        <v>0</v>
      </c>
      <c r="F70" s="189">
        <v>0</v>
      </c>
      <c r="G70" s="189">
        <f t="shared" si="6"/>
        <v>386043.65</v>
      </c>
    </row>
    <row r="71" spans="1:14">
      <c r="A71" s="215">
        <v>394</v>
      </c>
      <c r="B71" s="163" t="s">
        <v>420</v>
      </c>
      <c r="C71" s="188">
        <v>920718.25999999989</v>
      </c>
      <c r="D71" s="189">
        <v>34306.36</v>
      </c>
      <c r="E71" s="189">
        <v>0</v>
      </c>
      <c r="F71" s="189">
        <v>0</v>
      </c>
      <c r="G71" s="189">
        <f t="shared" si="6"/>
        <v>955024.61999999988</v>
      </c>
    </row>
    <row r="72" spans="1:14">
      <c r="A72" s="215">
        <v>395</v>
      </c>
      <c r="B72" s="163" t="s">
        <v>421</v>
      </c>
      <c r="C72" s="188">
        <v>286843.46000000002</v>
      </c>
      <c r="D72" s="189">
        <v>0</v>
      </c>
      <c r="E72" s="189">
        <v>0</v>
      </c>
      <c r="F72" s="189">
        <v>0</v>
      </c>
      <c r="G72" s="189">
        <f t="shared" si="6"/>
        <v>286843.46000000002</v>
      </c>
    </row>
    <row r="73" spans="1:14">
      <c r="A73" s="215">
        <v>396</v>
      </c>
      <c r="B73" s="163" t="s">
        <v>422</v>
      </c>
      <c r="C73" s="188">
        <v>487893.13</v>
      </c>
      <c r="D73" s="189">
        <v>0</v>
      </c>
      <c r="E73" s="189">
        <v>1654.82</v>
      </c>
      <c r="F73" s="189">
        <v>0</v>
      </c>
      <c r="G73" s="189">
        <f t="shared" si="6"/>
        <v>489547.95</v>
      </c>
    </row>
    <row r="74" spans="1:14">
      <c r="A74" s="215">
        <v>397</v>
      </c>
      <c r="B74" s="163" t="s">
        <v>423</v>
      </c>
      <c r="C74" s="188">
        <v>1001660.86</v>
      </c>
      <c r="D74" s="189">
        <v>0</v>
      </c>
      <c r="E74" s="189">
        <f>19106.72+61327.06</f>
        <v>80433.78</v>
      </c>
      <c r="F74" s="189">
        <v>56545.599999999999</v>
      </c>
      <c r="G74" s="189">
        <f t="shared" si="6"/>
        <v>1025549.0399999999</v>
      </c>
    </row>
    <row r="75" spans="1:14">
      <c r="A75" s="215">
        <v>398</v>
      </c>
      <c r="B75" s="163" t="s">
        <v>424</v>
      </c>
      <c r="C75" s="188">
        <v>158104.71000000002</v>
      </c>
      <c r="D75" s="189">
        <v>0</v>
      </c>
      <c r="E75" s="189">
        <v>0</v>
      </c>
      <c r="F75" s="189">
        <v>0</v>
      </c>
      <c r="G75" s="189">
        <f t="shared" si="6"/>
        <v>158104.71000000002</v>
      </c>
    </row>
    <row r="76" spans="1:14">
      <c r="A76" s="215">
        <v>399</v>
      </c>
      <c r="B76" s="163" t="s">
        <v>425</v>
      </c>
      <c r="C76" s="222">
        <v>60238.79</v>
      </c>
      <c r="D76" s="223">
        <v>0</v>
      </c>
      <c r="E76" s="223">
        <v>0</v>
      </c>
      <c r="F76" s="223">
        <v>0</v>
      </c>
      <c r="G76" s="223">
        <f t="shared" si="6"/>
        <v>60238.79</v>
      </c>
    </row>
    <row r="77" spans="1:14">
      <c r="A77" s="215"/>
      <c r="C77" s="222"/>
      <c r="D77" s="223"/>
      <c r="E77" s="223"/>
      <c r="F77" s="223"/>
      <c r="G77" s="223"/>
    </row>
    <row r="78" spans="1:14">
      <c r="A78" s="215"/>
      <c r="B78" s="163" t="s">
        <v>426</v>
      </c>
      <c r="C78" s="222">
        <f>SUM(C63:C77)</f>
        <v>20033908.150000002</v>
      </c>
      <c r="D78" s="223">
        <f t="shared" ref="D78:G78" si="7">SUM(D63:D77)</f>
        <v>90466.59</v>
      </c>
      <c r="E78" s="223">
        <f t="shared" si="7"/>
        <v>991900.57</v>
      </c>
      <c r="F78" s="223">
        <f t="shared" si="7"/>
        <v>697769.83</v>
      </c>
      <c r="G78" s="223">
        <f t="shared" si="7"/>
        <v>20418505.479999997</v>
      </c>
      <c r="I78" s="165" t="s">
        <v>427</v>
      </c>
      <c r="J78" s="188">
        <v>18371908.500000004</v>
      </c>
      <c r="K78" s="188">
        <f>128501*12</f>
        <v>1542012</v>
      </c>
      <c r="L78" s="188">
        <f>19256532.75-19970531.02</f>
        <v>-713998.26999999955</v>
      </c>
      <c r="M78" s="188">
        <v>56610.52</v>
      </c>
      <c r="N78" s="188">
        <f>SUM(J78:M78)</f>
        <v>19256532.750000004</v>
      </c>
    </row>
    <row r="79" spans="1:14">
      <c r="A79" s="215"/>
      <c r="K79" s="200">
        <f>+K78/(C78-C63)</f>
        <v>7.7346067723563464E-2</v>
      </c>
    </row>
    <row r="80" spans="1:14">
      <c r="A80" s="215"/>
      <c r="B80" s="163" t="s">
        <v>428</v>
      </c>
      <c r="C80" s="188">
        <f t="shared" ref="C80:F80" si="8">+C26+C36+C60+C78</f>
        <v>409104257.75</v>
      </c>
      <c r="D80" s="189">
        <f t="shared" si="8"/>
        <v>723293.56999999401</v>
      </c>
      <c r="E80" s="189">
        <f t="shared" si="8"/>
        <v>3482470.35</v>
      </c>
      <c r="F80" s="189">
        <f t="shared" si="8"/>
        <v>1697670.7999999998</v>
      </c>
      <c r="G80" s="189">
        <f>+G26+G36+G60+G78</f>
        <v>411612350.87</v>
      </c>
      <c r="K80" s="188">
        <f>(C78-C63)/K78</f>
        <v>12.928905494898874</v>
      </c>
      <c r="L80" s="188" t="s">
        <v>376</v>
      </c>
    </row>
    <row r="81" spans="1:14">
      <c r="A81" s="215"/>
      <c r="I81" s="165" t="s">
        <v>429</v>
      </c>
    </row>
    <row r="82" spans="1:14">
      <c r="A82" s="215">
        <v>107</v>
      </c>
      <c r="B82" s="163" t="s">
        <v>430</v>
      </c>
      <c r="C82" s="222">
        <v>259107.98999999941</v>
      </c>
      <c r="D82" s="223">
        <v>3903354.14</v>
      </c>
      <c r="E82" s="223">
        <v>-3482470.35</v>
      </c>
      <c r="F82" s="223">
        <v>267605.86</v>
      </c>
      <c r="G82" s="223">
        <f>+C82+D82+E82-F82</f>
        <v>412385.91999999934</v>
      </c>
      <c r="I82" s="165" t="s">
        <v>431</v>
      </c>
      <c r="J82" s="222">
        <v>660488.22</v>
      </c>
      <c r="K82" s="222">
        <v>0</v>
      </c>
      <c r="L82" s="222">
        <v>0</v>
      </c>
      <c r="M82" s="222">
        <v>0</v>
      </c>
      <c r="N82" s="222">
        <f>SUM(J82:M82)</f>
        <v>660488.22</v>
      </c>
    </row>
    <row r="83" spans="1:14">
      <c r="A83" s="215"/>
    </row>
    <row r="84" spans="1:14">
      <c r="B84" s="163" t="s">
        <v>432</v>
      </c>
      <c r="C84" s="224">
        <f t="shared" ref="C84:G84" si="9">SUM(C80:C83)</f>
        <v>409363365.74000001</v>
      </c>
      <c r="D84" s="225">
        <f t="shared" si="9"/>
        <v>4626647.7099999944</v>
      </c>
      <c r="E84" s="225">
        <f t="shared" si="9"/>
        <v>0</v>
      </c>
      <c r="F84" s="225">
        <f t="shared" si="9"/>
        <v>1965276.6599999997</v>
      </c>
      <c r="G84" s="225">
        <f t="shared" si="9"/>
        <v>412024736.79000002</v>
      </c>
      <c r="I84" s="165" t="s">
        <v>433</v>
      </c>
      <c r="J84" s="224">
        <f t="shared" ref="J84:M84" si="10">+J26+J36+J60+J78+J82+J37</f>
        <v>311695924.55000001</v>
      </c>
      <c r="K84" s="224">
        <f t="shared" si="10"/>
        <v>11244012</v>
      </c>
      <c r="L84" s="226">
        <f t="shared" si="10"/>
        <v>-1760395.7499999967</v>
      </c>
      <c r="M84" s="224">
        <f t="shared" si="10"/>
        <v>67659.01999999999</v>
      </c>
      <c r="N84" s="224">
        <f>+N26+N36+N60+N78+N82+N37</f>
        <v>321247199.81999999</v>
      </c>
    </row>
    <row r="87" spans="1:14">
      <c r="M87" s="191" t="s">
        <v>939</v>
      </c>
      <c r="N87" s="224">
        <f>+G80-N84</f>
        <v>90365151.050000012</v>
      </c>
    </row>
  </sheetData>
  <mergeCells count="2">
    <mergeCell ref="A1:G1"/>
    <mergeCell ref="A2:G2"/>
  </mergeCells>
  <pageMargins left="0.7" right="0.7" top="0.75" bottom="0.75" header="0.3" footer="0.3"/>
  <pageSetup paperSize="17" scale="5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workbookViewId="0">
      <selection activeCell="A3" sqref="A3"/>
    </sheetView>
  </sheetViews>
  <sheetFormatPr defaultRowHeight="15"/>
  <cols>
    <col min="1" max="1" width="32.1796875" style="163" customWidth="1"/>
    <col min="2" max="2" width="10.6328125" style="163" customWidth="1"/>
    <col min="3" max="3" width="2.81640625" style="163" customWidth="1"/>
    <col min="4" max="16384" width="8.7265625" style="163"/>
  </cols>
  <sheetData>
    <row r="1" spans="1:8" ht="16.2">
      <c r="A1" s="374" t="s">
        <v>883</v>
      </c>
      <c r="B1" s="374"/>
      <c r="C1" s="374"/>
      <c r="D1" s="374"/>
      <c r="E1" s="374"/>
      <c r="F1" s="374"/>
      <c r="G1" s="374"/>
      <c r="H1" s="374"/>
    </row>
    <row r="2" spans="1:8" ht="16.2">
      <c r="A2" s="375" t="s">
        <v>1121</v>
      </c>
      <c r="B2" s="375"/>
      <c r="C2" s="375"/>
      <c r="D2" s="375"/>
      <c r="E2" s="375"/>
      <c r="F2" s="375"/>
      <c r="G2" s="375"/>
      <c r="H2" s="375"/>
    </row>
    <row r="3" spans="1:8" ht="17.399999999999999">
      <c r="A3" s="210" t="s">
        <v>905</v>
      </c>
      <c r="B3" s="204"/>
      <c r="C3" s="204"/>
    </row>
    <row r="5" spans="1:8">
      <c r="A5" s="209" t="s">
        <v>918</v>
      </c>
    </row>
    <row r="6" spans="1:8">
      <c r="B6" s="163" t="s">
        <v>906</v>
      </c>
    </row>
    <row r="8" spans="1:8">
      <c r="A8" s="163" t="s">
        <v>907</v>
      </c>
      <c r="B8" s="211">
        <v>0</v>
      </c>
    </row>
    <row r="9" spans="1:8">
      <c r="A9" s="163" t="s">
        <v>45</v>
      </c>
      <c r="B9" s="207">
        <v>0</v>
      </c>
      <c r="D9" s="163" t="s">
        <v>908</v>
      </c>
    </row>
    <row r="10" spans="1:8">
      <c r="A10" s="163" t="s">
        <v>909</v>
      </c>
      <c r="B10" s="205">
        <v>0</v>
      </c>
    </row>
    <row r="11" spans="1:8" ht="17.399999999999999">
      <c r="A11" s="163" t="s">
        <v>910</v>
      </c>
      <c r="B11" s="212">
        <v>0</v>
      </c>
    </row>
    <row r="12" spans="1:8">
      <c r="B12" s="213">
        <f>SUM(B8:B11)</f>
        <v>0</v>
      </c>
      <c r="D12" s="163" t="s">
        <v>911</v>
      </c>
    </row>
    <row r="13" spans="1:8">
      <c r="D13" s="163" t="s">
        <v>912</v>
      </c>
    </row>
    <row r="14" spans="1:8">
      <c r="D14" s="163" t="s">
        <v>913</v>
      </c>
    </row>
    <row r="15" spans="1:8">
      <c r="D15" s="163" t="s">
        <v>914</v>
      </c>
    </row>
    <row r="18" spans="1:1" ht="15.6">
      <c r="A18" s="163" t="s">
        <v>915</v>
      </c>
    </row>
    <row r="19" spans="1:1">
      <c r="A19" s="206" t="s">
        <v>916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sqref="A1:A2"/>
    </sheetView>
  </sheetViews>
  <sheetFormatPr defaultRowHeight="15"/>
  <cols>
    <col min="1" max="1" width="31.26953125" style="163" customWidth="1"/>
    <col min="2" max="2" width="10.54296875" style="163" customWidth="1"/>
    <col min="3" max="3" width="2.81640625" style="163" customWidth="1"/>
    <col min="4" max="16384" width="8.7265625" style="163"/>
  </cols>
  <sheetData>
    <row r="1" spans="1:7" ht="16.2">
      <c r="A1" s="374" t="s">
        <v>883</v>
      </c>
      <c r="B1" s="374"/>
      <c r="C1" s="374"/>
      <c r="D1" s="374"/>
      <c r="E1" s="374"/>
      <c r="F1" s="374"/>
      <c r="G1" s="374"/>
    </row>
    <row r="2" spans="1:7" ht="16.2">
      <c r="A2" s="375" t="s">
        <v>1121</v>
      </c>
      <c r="B2" s="375"/>
      <c r="C2" s="375"/>
      <c r="D2" s="375"/>
      <c r="E2" s="375"/>
      <c r="F2" s="375"/>
      <c r="G2" s="375"/>
    </row>
    <row r="4" spans="1:7" ht="17.399999999999999">
      <c r="A4" s="210" t="s">
        <v>919</v>
      </c>
      <c r="B4" s="204"/>
      <c r="C4" s="204"/>
    </row>
    <row r="7" spans="1:7" ht="15.6">
      <c r="A7" s="208" t="s">
        <v>920</v>
      </c>
      <c r="B7" s="208" t="s">
        <v>7</v>
      </c>
    </row>
    <row r="9" spans="1:7">
      <c r="A9" s="163" t="s">
        <v>921</v>
      </c>
      <c r="B9" s="211">
        <v>196331</v>
      </c>
    </row>
    <row r="10" spans="1:7">
      <c r="A10" s="163" t="s">
        <v>922</v>
      </c>
      <c r="B10" s="216">
        <v>191411</v>
      </c>
    </row>
    <row r="11" spans="1:7">
      <c r="A11" s="163" t="s">
        <v>923</v>
      </c>
      <c r="B11" s="216">
        <f>96703.53-92492.89</f>
        <v>4210.6399999999994</v>
      </c>
    </row>
    <row r="12" spans="1:7">
      <c r="A12" s="163" t="s">
        <v>924</v>
      </c>
      <c r="B12" s="205">
        <f>8670.83</f>
        <v>8670.83</v>
      </c>
    </row>
    <row r="13" spans="1:7">
      <c r="A13" s="163" t="s">
        <v>925</v>
      </c>
      <c r="B13" s="205">
        <v>4913.75</v>
      </c>
    </row>
    <row r="14" spans="1:7">
      <c r="A14" s="163" t="s">
        <v>926</v>
      </c>
      <c r="B14" s="205">
        <v>86788.4</v>
      </c>
    </row>
    <row r="15" spans="1:7">
      <c r="A15" s="163" t="s">
        <v>927</v>
      </c>
      <c r="B15" s="217">
        <f>SUM(B9:B14)</f>
        <v>492325.62</v>
      </c>
      <c r="D15" s="163" t="s">
        <v>928</v>
      </c>
    </row>
    <row r="16" spans="1:7">
      <c r="D16" s="163" t="s">
        <v>911</v>
      </c>
    </row>
    <row r="17" spans="1:4">
      <c r="D17" s="163" t="s">
        <v>929</v>
      </c>
    </row>
    <row r="18" spans="1:4">
      <c r="D18" s="163" t="s">
        <v>913</v>
      </c>
    </row>
    <row r="19" spans="1:4">
      <c r="B19" s="213"/>
      <c r="D19" s="163" t="s">
        <v>914</v>
      </c>
    </row>
    <row r="22" spans="1:4">
      <c r="A22" s="20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57"/>
  <sheetViews>
    <sheetView workbookViewId="0"/>
  </sheetViews>
  <sheetFormatPr defaultColWidth="30.08984375" defaultRowHeight="15"/>
  <cols>
    <col min="1" max="1" width="30.08984375" style="163"/>
    <col min="2" max="2" width="16.36328125" style="163" customWidth="1"/>
    <col min="3" max="3" width="5.26953125" style="163" customWidth="1"/>
    <col min="4" max="4" width="19.54296875" style="163" customWidth="1"/>
    <col min="5" max="9" width="14.54296875" style="163" customWidth="1"/>
    <col min="10" max="10" width="6.7265625" style="163" customWidth="1"/>
    <col min="11" max="16" width="14.54296875" style="163" customWidth="1"/>
    <col min="17" max="16384" width="30.08984375" style="163"/>
  </cols>
  <sheetData>
    <row r="1" spans="1:8" ht="16.2">
      <c r="A1" s="374" t="s">
        <v>883</v>
      </c>
      <c r="B1" s="374"/>
      <c r="C1" s="374"/>
      <c r="D1" s="374"/>
      <c r="E1" s="374"/>
      <c r="F1" s="374"/>
      <c r="G1" s="374"/>
      <c r="H1" s="374"/>
    </row>
    <row r="2" spans="1:8" ht="16.2">
      <c r="A2" s="375" t="s">
        <v>1121</v>
      </c>
      <c r="B2" s="375"/>
      <c r="C2" s="375"/>
      <c r="D2" s="375"/>
      <c r="E2" s="375"/>
      <c r="F2" s="375"/>
      <c r="G2" s="375"/>
      <c r="H2" s="375"/>
    </row>
    <row r="4" spans="1:8" ht="17.399999999999999">
      <c r="A4" s="210" t="s">
        <v>930</v>
      </c>
      <c r="B4" s="204"/>
      <c r="C4" s="204"/>
    </row>
    <row r="7" spans="1:8">
      <c r="B7" s="165" t="s">
        <v>931</v>
      </c>
    </row>
    <row r="9" spans="1:8">
      <c r="A9" s="163" t="s">
        <v>907</v>
      </c>
      <c r="B9" s="211">
        <v>5246973.34</v>
      </c>
    </row>
    <row r="10" spans="1:8">
      <c r="A10" s="163" t="s">
        <v>45</v>
      </c>
      <c r="B10" s="207">
        <v>239577.79</v>
      </c>
      <c r="D10" s="163" t="s">
        <v>932</v>
      </c>
    </row>
    <row r="11" spans="1:8">
      <c r="A11" s="163" t="s">
        <v>909</v>
      </c>
      <c r="B11" s="205">
        <f>1363691.39-239577.79</f>
        <v>1124113.5999999999</v>
      </c>
    </row>
    <row r="12" spans="1:8">
      <c r="A12" s="163" t="s">
        <v>933</v>
      </c>
      <c r="B12" s="205">
        <v>75299.41</v>
      </c>
    </row>
    <row r="13" spans="1:8">
      <c r="A13" s="163" t="s">
        <v>934</v>
      </c>
      <c r="B13" s="205">
        <v>179737.48</v>
      </c>
    </row>
    <row r="14" spans="1:8">
      <c r="A14" s="163" t="s">
        <v>910</v>
      </c>
      <c r="B14" s="219">
        <f>3294.46+110848.65+372159.4+34489.84</f>
        <v>520792.35</v>
      </c>
      <c r="D14" s="163" t="s">
        <v>940</v>
      </c>
    </row>
    <row r="15" spans="1:8">
      <c r="B15" s="213">
        <f>SUM(B9:B14)</f>
        <v>7386493.9699999997</v>
      </c>
      <c r="D15" s="163" t="s">
        <v>911</v>
      </c>
    </row>
    <row r="16" spans="1:8">
      <c r="A16" s="163" t="s">
        <v>935</v>
      </c>
      <c r="B16" s="219">
        <v>-1199700.52</v>
      </c>
      <c r="D16" s="163" t="s">
        <v>936</v>
      </c>
    </row>
    <row r="17" spans="1:16" ht="16.8">
      <c r="B17" s="220">
        <f>SUM(B15:B16)</f>
        <v>6186793.4499999993</v>
      </c>
      <c r="D17" s="163" t="s">
        <v>913</v>
      </c>
    </row>
    <row r="18" spans="1:16">
      <c r="D18" s="163" t="s">
        <v>914</v>
      </c>
    </row>
    <row r="21" spans="1:16" ht="15.6">
      <c r="A21" s="163" t="s">
        <v>937</v>
      </c>
    </row>
    <row r="22" spans="1:16">
      <c r="A22" s="206" t="s">
        <v>938</v>
      </c>
    </row>
    <row r="23" spans="1:16" ht="26.4" customHeight="1"/>
    <row r="24" spans="1:16">
      <c r="A24" s="163" t="s">
        <v>867</v>
      </c>
      <c r="B24" s="163" t="s">
        <v>868</v>
      </c>
      <c r="C24" s="163" t="s">
        <v>869</v>
      </c>
      <c r="D24" s="163" t="s">
        <v>511</v>
      </c>
      <c r="E24" s="163" t="s">
        <v>870</v>
      </c>
      <c r="F24" s="163" t="s">
        <v>871</v>
      </c>
      <c r="G24" s="163" t="s">
        <v>872</v>
      </c>
      <c r="H24" s="163" t="s">
        <v>512</v>
      </c>
      <c r="I24" s="163" t="s">
        <v>513</v>
      </c>
      <c r="J24" s="163" t="s">
        <v>514</v>
      </c>
      <c r="K24" s="163" t="s">
        <v>873</v>
      </c>
      <c r="L24" s="163" t="s">
        <v>874</v>
      </c>
      <c r="M24" s="163" t="s">
        <v>875</v>
      </c>
      <c r="N24" s="163" t="s">
        <v>515</v>
      </c>
      <c r="O24" s="163" t="s">
        <v>876</v>
      </c>
      <c r="P24" s="163" t="s">
        <v>877</v>
      </c>
    </row>
    <row r="25" spans="1:16">
      <c r="A25" s="163" t="s">
        <v>516</v>
      </c>
      <c r="B25" s="163" t="s">
        <v>517</v>
      </c>
      <c r="C25" s="163" t="s">
        <v>144</v>
      </c>
      <c r="D25" s="163">
        <v>1</v>
      </c>
      <c r="E25" s="163">
        <v>0</v>
      </c>
      <c r="F25" s="163">
        <v>0</v>
      </c>
      <c r="G25" s="163">
        <v>0</v>
      </c>
      <c r="H25" s="163">
        <v>600</v>
      </c>
      <c r="I25" s="163">
        <v>600</v>
      </c>
      <c r="J25" s="163" t="s">
        <v>518</v>
      </c>
      <c r="K25" s="163">
        <v>600</v>
      </c>
      <c r="L25" s="163" t="s">
        <v>147</v>
      </c>
      <c r="M25" s="163" t="s">
        <v>519</v>
      </c>
      <c r="N25" s="163">
        <v>0</v>
      </c>
      <c r="O25" s="163" t="s">
        <v>520</v>
      </c>
      <c r="P25" s="163" t="s">
        <v>521</v>
      </c>
    </row>
    <row r="26" spans="1:16">
      <c r="A26" s="163" t="s">
        <v>522</v>
      </c>
      <c r="B26" s="163" t="s">
        <v>517</v>
      </c>
      <c r="C26" s="163" t="s">
        <v>144</v>
      </c>
      <c r="D26" s="163">
        <v>2</v>
      </c>
      <c r="E26" s="163">
        <v>0</v>
      </c>
      <c r="F26" s="163">
        <v>0</v>
      </c>
      <c r="G26" s="163">
        <v>0</v>
      </c>
      <c r="H26" s="163">
        <v>2707.1</v>
      </c>
      <c r="I26" s="163">
        <v>1353.55</v>
      </c>
      <c r="J26" s="163" t="s">
        <v>518</v>
      </c>
      <c r="K26" s="163">
        <v>1313.3166000000001</v>
      </c>
      <c r="L26" s="163" t="s">
        <v>147</v>
      </c>
      <c r="M26" s="163" t="s">
        <v>523</v>
      </c>
      <c r="N26" s="163">
        <v>0</v>
      </c>
      <c r="O26" s="163" t="s">
        <v>524</v>
      </c>
      <c r="P26" s="163" t="s">
        <v>521</v>
      </c>
    </row>
    <row r="27" spans="1:16">
      <c r="A27" s="163" t="s">
        <v>525</v>
      </c>
      <c r="B27" s="163" t="s">
        <v>517</v>
      </c>
      <c r="C27" s="163" t="s">
        <v>144</v>
      </c>
      <c r="D27" s="163">
        <v>1</v>
      </c>
      <c r="E27" s="163">
        <v>0</v>
      </c>
      <c r="F27" s="163">
        <v>0</v>
      </c>
      <c r="G27" s="163">
        <v>0</v>
      </c>
      <c r="H27" s="163">
        <v>5300</v>
      </c>
      <c r="I27" s="163">
        <v>5300</v>
      </c>
      <c r="J27" s="163" t="s">
        <v>518</v>
      </c>
      <c r="K27" s="163">
        <v>5300</v>
      </c>
      <c r="L27" s="163" t="s">
        <v>147</v>
      </c>
      <c r="M27" s="163" t="s">
        <v>526</v>
      </c>
      <c r="N27" s="163">
        <v>0</v>
      </c>
      <c r="O27" s="163" t="s">
        <v>527</v>
      </c>
      <c r="P27" s="163" t="s">
        <v>521</v>
      </c>
    </row>
    <row r="28" spans="1:16">
      <c r="A28" s="163" t="s">
        <v>528</v>
      </c>
      <c r="B28" s="163" t="s">
        <v>517</v>
      </c>
      <c r="C28" s="163" t="s">
        <v>144</v>
      </c>
      <c r="D28" s="163">
        <v>2</v>
      </c>
      <c r="E28" s="163">
        <v>0</v>
      </c>
      <c r="F28" s="163">
        <v>0</v>
      </c>
      <c r="G28" s="163">
        <v>0</v>
      </c>
      <c r="H28" s="163">
        <v>10336.200000000001</v>
      </c>
      <c r="I28" s="163">
        <v>5168.1000000000004</v>
      </c>
      <c r="J28" s="163" t="s">
        <v>518</v>
      </c>
      <c r="K28" s="163">
        <v>4876</v>
      </c>
      <c r="L28" s="163" t="s">
        <v>147</v>
      </c>
      <c r="M28" s="163" t="s">
        <v>529</v>
      </c>
      <c r="N28" s="163">
        <v>0</v>
      </c>
      <c r="O28" s="163" t="s">
        <v>530</v>
      </c>
      <c r="P28" s="163" t="s">
        <v>521</v>
      </c>
    </row>
    <row r="29" spans="1:16">
      <c r="A29" s="163" t="s">
        <v>531</v>
      </c>
      <c r="B29" s="163" t="s">
        <v>517</v>
      </c>
      <c r="C29" s="163" t="s">
        <v>144</v>
      </c>
      <c r="D29" s="163">
        <v>4</v>
      </c>
      <c r="E29" s="163">
        <v>0</v>
      </c>
      <c r="F29" s="163">
        <v>0</v>
      </c>
      <c r="G29" s="163">
        <v>0</v>
      </c>
      <c r="H29" s="163">
        <v>492.8</v>
      </c>
      <c r="I29" s="163">
        <v>0</v>
      </c>
      <c r="J29" s="163" t="s">
        <v>518</v>
      </c>
      <c r="K29" s="163">
        <v>123.2</v>
      </c>
      <c r="L29" s="163" t="s">
        <v>147</v>
      </c>
      <c r="M29" s="163" t="s">
        <v>532</v>
      </c>
      <c r="N29" s="163">
        <v>0</v>
      </c>
      <c r="O29" s="163" t="s">
        <v>533</v>
      </c>
      <c r="P29" s="163" t="s">
        <v>534</v>
      </c>
    </row>
    <row r="30" spans="1:16">
      <c r="A30" s="163" t="s">
        <v>535</v>
      </c>
      <c r="B30" s="163" t="s">
        <v>536</v>
      </c>
      <c r="C30" s="163" t="s">
        <v>144</v>
      </c>
      <c r="D30" s="163">
        <v>0</v>
      </c>
      <c r="E30" s="163">
        <v>0</v>
      </c>
      <c r="F30" s="163">
        <v>0</v>
      </c>
      <c r="G30" s="163">
        <v>0</v>
      </c>
      <c r="H30" s="163">
        <v>0</v>
      </c>
      <c r="I30" s="163">
        <v>43.6</v>
      </c>
      <c r="J30" s="163" t="s">
        <v>518</v>
      </c>
      <c r="K30" s="163">
        <v>43.6</v>
      </c>
      <c r="L30" s="163" t="s">
        <v>147</v>
      </c>
      <c r="M30" s="163" t="s">
        <v>537</v>
      </c>
      <c r="N30" s="163">
        <v>0</v>
      </c>
      <c r="O30" s="163" t="s">
        <v>538</v>
      </c>
      <c r="P30" s="163" t="s">
        <v>534</v>
      </c>
    </row>
    <row r="31" spans="1:16">
      <c r="A31" s="163" t="s">
        <v>539</v>
      </c>
      <c r="B31" s="163" t="s">
        <v>536</v>
      </c>
      <c r="C31" s="163" t="s">
        <v>144</v>
      </c>
      <c r="D31" s="163">
        <v>3</v>
      </c>
      <c r="E31" s="163">
        <v>0</v>
      </c>
      <c r="F31" s="163">
        <v>0</v>
      </c>
      <c r="G31" s="163">
        <v>0</v>
      </c>
      <c r="H31" s="163">
        <v>204.38</v>
      </c>
      <c r="I31" s="163">
        <v>68.13</v>
      </c>
      <c r="J31" s="163" t="s">
        <v>518</v>
      </c>
      <c r="K31" s="163">
        <v>68.127200000000002</v>
      </c>
      <c r="L31" s="163" t="s">
        <v>147</v>
      </c>
      <c r="M31" s="163" t="s">
        <v>540</v>
      </c>
      <c r="N31" s="163">
        <v>0</v>
      </c>
      <c r="O31" s="163" t="s">
        <v>541</v>
      </c>
      <c r="P31" s="163" t="s">
        <v>534</v>
      </c>
    </row>
    <row r="32" spans="1:16">
      <c r="A32" s="163" t="s">
        <v>542</v>
      </c>
      <c r="B32" s="163" t="s">
        <v>536</v>
      </c>
      <c r="C32" s="163" t="s">
        <v>144</v>
      </c>
      <c r="D32" s="163">
        <v>0</v>
      </c>
      <c r="E32" s="163">
        <v>0</v>
      </c>
      <c r="F32" s="163">
        <v>0</v>
      </c>
      <c r="G32" s="163">
        <v>0</v>
      </c>
      <c r="H32" s="163">
        <v>0</v>
      </c>
      <c r="I32" s="163">
        <v>127.84</v>
      </c>
      <c r="J32" s="163" t="s">
        <v>518</v>
      </c>
      <c r="K32" s="163">
        <v>0</v>
      </c>
      <c r="L32" s="163" t="s">
        <v>147</v>
      </c>
      <c r="M32" s="163" t="s">
        <v>543</v>
      </c>
      <c r="N32" s="163">
        <v>0</v>
      </c>
      <c r="O32" s="163" t="s">
        <v>538</v>
      </c>
      <c r="P32" s="163" t="s">
        <v>534</v>
      </c>
    </row>
    <row r="33" spans="1:16">
      <c r="A33" s="163" t="s">
        <v>544</v>
      </c>
      <c r="B33" s="163" t="s">
        <v>536</v>
      </c>
      <c r="C33" s="163" t="s">
        <v>144</v>
      </c>
      <c r="D33" s="163">
        <v>8</v>
      </c>
      <c r="E33" s="163">
        <v>0</v>
      </c>
      <c r="F33" s="163">
        <v>0</v>
      </c>
      <c r="G33" s="163">
        <v>0</v>
      </c>
      <c r="H33" s="163">
        <v>712.74</v>
      </c>
      <c r="I33" s="163">
        <v>89.09</v>
      </c>
      <c r="J33" s="163" t="s">
        <v>545</v>
      </c>
      <c r="K33" s="163">
        <v>89.092500000000001</v>
      </c>
      <c r="L33" s="163" t="s">
        <v>147</v>
      </c>
      <c r="M33" s="163" t="s">
        <v>546</v>
      </c>
      <c r="N33" s="163">
        <v>0</v>
      </c>
      <c r="O33" s="163" t="s">
        <v>541</v>
      </c>
      <c r="P33" s="163" t="s">
        <v>534</v>
      </c>
    </row>
    <row r="34" spans="1:16">
      <c r="A34" s="163" t="s">
        <v>547</v>
      </c>
      <c r="B34" s="163" t="s">
        <v>517</v>
      </c>
      <c r="C34" s="163" t="s">
        <v>144</v>
      </c>
      <c r="D34" s="163">
        <v>60</v>
      </c>
      <c r="E34" s="163">
        <v>0</v>
      </c>
      <c r="F34" s="163">
        <v>0</v>
      </c>
      <c r="G34" s="163">
        <v>0</v>
      </c>
      <c r="H34" s="163">
        <v>322.2</v>
      </c>
      <c r="I34" s="163">
        <v>5.37</v>
      </c>
      <c r="J34" s="163" t="s">
        <v>518</v>
      </c>
      <c r="K34" s="163">
        <v>5.37</v>
      </c>
      <c r="L34" s="163" t="s">
        <v>147</v>
      </c>
      <c r="M34" s="163" t="s">
        <v>548</v>
      </c>
      <c r="N34" s="163">
        <v>0</v>
      </c>
      <c r="O34" s="163" t="s">
        <v>549</v>
      </c>
      <c r="P34" s="163" t="s">
        <v>534</v>
      </c>
    </row>
    <row r="35" spans="1:16">
      <c r="A35" s="163" t="s">
        <v>550</v>
      </c>
      <c r="B35" s="163" t="s">
        <v>517</v>
      </c>
      <c r="C35" s="163" t="s">
        <v>144</v>
      </c>
      <c r="D35" s="163">
        <v>0</v>
      </c>
      <c r="E35" s="163">
        <v>0</v>
      </c>
      <c r="F35" s="163">
        <v>0</v>
      </c>
      <c r="G35" s="163">
        <v>0</v>
      </c>
      <c r="H35" s="163">
        <v>0</v>
      </c>
      <c r="I35" s="163">
        <v>5.82</v>
      </c>
      <c r="J35" s="163" t="s">
        <v>518</v>
      </c>
      <c r="K35" s="163">
        <v>5.82</v>
      </c>
      <c r="L35" s="163" t="s">
        <v>147</v>
      </c>
      <c r="M35" s="163" t="s">
        <v>551</v>
      </c>
      <c r="N35" s="163">
        <v>0</v>
      </c>
      <c r="O35" s="163" t="s">
        <v>552</v>
      </c>
      <c r="P35" s="163" t="s">
        <v>534</v>
      </c>
    </row>
    <row r="36" spans="1:16">
      <c r="A36" s="163" t="s">
        <v>553</v>
      </c>
      <c r="B36" s="163" t="s">
        <v>536</v>
      </c>
      <c r="C36" s="163" t="s">
        <v>144</v>
      </c>
      <c r="D36" s="163">
        <v>0</v>
      </c>
      <c r="E36" s="163">
        <v>0</v>
      </c>
      <c r="F36" s="163">
        <v>0</v>
      </c>
      <c r="G36" s="163">
        <v>0</v>
      </c>
      <c r="H36" s="163">
        <v>0</v>
      </c>
      <c r="I36" s="163">
        <v>0</v>
      </c>
      <c r="J36" s="163" t="s">
        <v>518</v>
      </c>
      <c r="K36" s="163">
        <v>0</v>
      </c>
      <c r="L36" s="163" t="s">
        <v>147</v>
      </c>
      <c r="M36" s="163" t="s">
        <v>554</v>
      </c>
      <c r="N36" s="163">
        <v>0</v>
      </c>
      <c r="O36" s="163" t="s">
        <v>555</v>
      </c>
      <c r="P36" s="163" t="s">
        <v>534</v>
      </c>
    </row>
    <row r="37" spans="1:16">
      <c r="A37" s="163" t="s">
        <v>556</v>
      </c>
      <c r="B37" s="163" t="s">
        <v>517</v>
      </c>
      <c r="C37" s="163" t="s">
        <v>144</v>
      </c>
      <c r="D37" s="163">
        <v>0</v>
      </c>
      <c r="E37" s="163">
        <v>0</v>
      </c>
      <c r="F37" s="163">
        <v>0</v>
      </c>
      <c r="G37" s="163">
        <v>0</v>
      </c>
      <c r="H37" s="163">
        <v>0</v>
      </c>
      <c r="I37" s="163">
        <v>0</v>
      </c>
      <c r="J37" s="163" t="s">
        <v>518</v>
      </c>
      <c r="K37" s="163">
        <v>4.96</v>
      </c>
      <c r="L37" s="163" t="s">
        <v>147</v>
      </c>
      <c r="M37" s="163" t="s">
        <v>557</v>
      </c>
      <c r="N37" s="163">
        <v>0</v>
      </c>
      <c r="O37" s="163" t="s">
        <v>552</v>
      </c>
      <c r="P37" s="163" t="s">
        <v>534</v>
      </c>
    </row>
    <row r="38" spans="1:16">
      <c r="A38" s="163" t="s">
        <v>558</v>
      </c>
      <c r="B38" s="163" t="s">
        <v>517</v>
      </c>
      <c r="C38" s="163" t="s">
        <v>144</v>
      </c>
      <c r="D38" s="163">
        <v>65</v>
      </c>
      <c r="E38" s="163">
        <v>0</v>
      </c>
      <c r="F38" s="163">
        <v>0</v>
      </c>
      <c r="G38" s="163">
        <v>0</v>
      </c>
      <c r="H38" s="163">
        <v>302.89999999999998</v>
      </c>
      <c r="I38" s="163">
        <v>4.66</v>
      </c>
      <c r="J38" s="163" t="s">
        <v>518</v>
      </c>
      <c r="K38" s="163">
        <v>4.66</v>
      </c>
      <c r="L38" s="163" t="s">
        <v>147</v>
      </c>
      <c r="M38" s="163" t="s">
        <v>559</v>
      </c>
      <c r="N38" s="163">
        <v>0</v>
      </c>
      <c r="O38" s="163" t="s">
        <v>560</v>
      </c>
      <c r="P38" s="163" t="s">
        <v>534</v>
      </c>
    </row>
    <row r="39" spans="1:16">
      <c r="A39" s="163" t="s">
        <v>561</v>
      </c>
      <c r="B39" s="163" t="s">
        <v>517</v>
      </c>
      <c r="C39" s="163" t="s">
        <v>144</v>
      </c>
      <c r="D39" s="163">
        <v>0</v>
      </c>
      <c r="E39" s="163">
        <v>0</v>
      </c>
      <c r="F39" s="163">
        <v>0</v>
      </c>
      <c r="G39" s="163">
        <v>0</v>
      </c>
      <c r="H39" s="163">
        <v>0</v>
      </c>
      <c r="I39" s="163">
        <v>0</v>
      </c>
      <c r="J39" s="163" t="s">
        <v>518</v>
      </c>
      <c r="K39" s="163">
        <v>6.83</v>
      </c>
      <c r="L39" s="163" t="s">
        <v>147</v>
      </c>
      <c r="M39" s="163" t="s">
        <v>562</v>
      </c>
      <c r="N39" s="163">
        <v>0</v>
      </c>
      <c r="O39" s="163" t="s">
        <v>552</v>
      </c>
      <c r="P39" s="163" t="s">
        <v>534</v>
      </c>
    </row>
    <row r="40" spans="1:16">
      <c r="A40" s="163" t="s">
        <v>563</v>
      </c>
      <c r="B40" s="163" t="s">
        <v>517</v>
      </c>
      <c r="C40" s="163" t="s">
        <v>144</v>
      </c>
      <c r="D40" s="163">
        <v>60</v>
      </c>
      <c r="E40" s="163">
        <v>0</v>
      </c>
      <c r="F40" s="163">
        <v>0</v>
      </c>
      <c r="G40" s="163">
        <v>0</v>
      </c>
      <c r="H40" s="163">
        <v>157.19999999999999</v>
      </c>
      <c r="I40" s="163">
        <v>2.62</v>
      </c>
      <c r="J40" s="163" t="s">
        <v>518</v>
      </c>
      <c r="K40" s="163">
        <v>2.62</v>
      </c>
      <c r="L40" s="163" t="s">
        <v>147</v>
      </c>
      <c r="M40" s="163" t="s">
        <v>564</v>
      </c>
      <c r="N40" s="163">
        <v>0</v>
      </c>
      <c r="O40" s="163" t="s">
        <v>565</v>
      </c>
      <c r="P40" s="163" t="s">
        <v>534</v>
      </c>
    </row>
    <row r="41" spans="1:16">
      <c r="A41" s="163" t="s">
        <v>566</v>
      </c>
      <c r="B41" s="163" t="s">
        <v>517</v>
      </c>
      <c r="C41" s="163" t="s">
        <v>144</v>
      </c>
      <c r="D41" s="163">
        <v>188</v>
      </c>
      <c r="E41" s="163">
        <v>0</v>
      </c>
      <c r="F41" s="163">
        <v>0</v>
      </c>
      <c r="G41" s="163">
        <v>0</v>
      </c>
      <c r="H41" s="163">
        <v>515.12</v>
      </c>
      <c r="I41" s="163">
        <v>2.74</v>
      </c>
      <c r="J41" s="163" t="s">
        <v>518</v>
      </c>
      <c r="K41" s="163">
        <v>2.74</v>
      </c>
      <c r="L41" s="163" t="s">
        <v>147</v>
      </c>
      <c r="M41" s="163" t="s">
        <v>567</v>
      </c>
      <c r="N41" s="163">
        <v>0</v>
      </c>
      <c r="O41" s="163" t="s">
        <v>549</v>
      </c>
      <c r="P41" s="163" t="s">
        <v>534</v>
      </c>
    </row>
    <row r="42" spans="1:16">
      <c r="A42" s="163" t="s">
        <v>568</v>
      </c>
      <c r="B42" s="163" t="s">
        <v>517</v>
      </c>
      <c r="C42" s="163" t="s">
        <v>144</v>
      </c>
      <c r="D42" s="163">
        <v>40</v>
      </c>
      <c r="E42" s="163">
        <v>0</v>
      </c>
      <c r="F42" s="163">
        <v>0</v>
      </c>
      <c r="G42" s="163">
        <v>0</v>
      </c>
      <c r="H42" s="163">
        <v>168</v>
      </c>
      <c r="I42" s="163">
        <v>4.2</v>
      </c>
      <c r="J42" s="163" t="s">
        <v>518</v>
      </c>
      <c r="K42" s="163">
        <v>4.2</v>
      </c>
      <c r="L42" s="163" t="s">
        <v>147</v>
      </c>
      <c r="M42" s="163" t="s">
        <v>569</v>
      </c>
      <c r="N42" s="163">
        <v>0</v>
      </c>
      <c r="O42" s="163" t="s">
        <v>565</v>
      </c>
      <c r="P42" s="163" t="s">
        <v>534</v>
      </c>
    </row>
    <row r="43" spans="1:16">
      <c r="A43" s="163" t="s">
        <v>570</v>
      </c>
      <c r="B43" s="163" t="s">
        <v>517</v>
      </c>
      <c r="C43" s="163" t="s">
        <v>144</v>
      </c>
      <c r="D43" s="163">
        <v>31</v>
      </c>
      <c r="E43" s="163">
        <v>0</v>
      </c>
      <c r="F43" s="163">
        <v>0</v>
      </c>
      <c r="G43" s="163">
        <v>0</v>
      </c>
      <c r="H43" s="163">
        <v>142.6</v>
      </c>
      <c r="I43" s="163">
        <v>4.5999999999999996</v>
      </c>
      <c r="J43" s="163" t="s">
        <v>518</v>
      </c>
      <c r="K43" s="163">
        <v>4.5999999999999996</v>
      </c>
      <c r="L43" s="163" t="s">
        <v>146</v>
      </c>
      <c r="M43" s="163" t="s">
        <v>571</v>
      </c>
      <c r="N43" s="163">
        <v>0</v>
      </c>
      <c r="O43" s="163" t="s">
        <v>565</v>
      </c>
      <c r="P43" s="163" t="s">
        <v>534</v>
      </c>
    </row>
    <row r="44" spans="1:16">
      <c r="A44" s="163" t="s">
        <v>572</v>
      </c>
      <c r="B44" s="163" t="s">
        <v>517</v>
      </c>
      <c r="C44" s="163" t="s">
        <v>144</v>
      </c>
      <c r="D44" s="163">
        <v>91</v>
      </c>
      <c r="E44" s="163">
        <v>0</v>
      </c>
      <c r="F44" s="163">
        <v>0</v>
      </c>
      <c r="G44" s="163">
        <v>0</v>
      </c>
      <c r="H44" s="163">
        <v>335.79</v>
      </c>
      <c r="I44" s="163">
        <v>3.69</v>
      </c>
      <c r="J44" s="163" t="s">
        <v>518</v>
      </c>
      <c r="K44" s="163">
        <v>3.69</v>
      </c>
      <c r="L44" s="163" t="s">
        <v>146</v>
      </c>
      <c r="M44" s="163" t="s">
        <v>573</v>
      </c>
      <c r="N44" s="163">
        <v>0</v>
      </c>
      <c r="O44" s="163" t="s">
        <v>565</v>
      </c>
      <c r="P44" s="163" t="s">
        <v>534</v>
      </c>
    </row>
    <row r="45" spans="1:16">
      <c r="A45" s="163" t="s">
        <v>574</v>
      </c>
      <c r="B45" s="163" t="s">
        <v>517</v>
      </c>
      <c r="C45" s="163" t="s">
        <v>144</v>
      </c>
      <c r="D45" s="163">
        <v>50</v>
      </c>
      <c r="E45" s="163">
        <v>0</v>
      </c>
      <c r="F45" s="163">
        <v>0</v>
      </c>
      <c r="G45" s="163">
        <v>0</v>
      </c>
      <c r="H45" s="163">
        <v>195</v>
      </c>
      <c r="I45" s="163">
        <v>3.9</v>
      </c>
      <c r="J45" s="163" t="s">
        <v>518</v>
      </c>
      <c r="K45" s="163">
        <v>3.9</v>
      </c>
      <c r="L45" s="163" t="s">
        <v>147</v>
      </c>
      <c r="M45" s="163" t="s">
        <v>575</v>
      </c>
      <c r="N45" s="163">
        <v>0</v>
      </c>
      <c r="O45" s="163" t="s">
        <v>576</v>
      </c>
      <c r="P45" s="163" t="s">
        <v>534</v>
      </c>
    </row>
    <row r="46" spans="1:16">
      <c r="A46" s="163" t="s">
        <v>577</v>
      </c>
      <c r="B46" s="163" t="s">
        <v>536</v>
      </c>
      <c r="C46" s="163" t="s">
        <v>144</v>
      </c>
      <c r="D46" s="163">
        <v>46</v>
      </c>
      <c r="E46" s="163">
        <v>0</v>
      </c>
      <c r="F46" s="163">
        <v>0</v>
      </c>
      <c r="G46" s="163">
        <v>0</v>
      </c>
      <c r="H46" s="163">
        <v>147.19999999999999</v>
      </c>
      <c r="I46" s="163">
        <v>3.2</v>
      </c>
      <c r="J46" s="163" t="s">
        <v>518</v>
      </c>
      <c r="K46" s="163">
        <v>3.2</v>
      </c>
      <c r="L46" s="163" t="s">
        <v>146</v>
      </c>
      <c r="M46" s="163" t="s">
        <v>578</v>
      </c>
      <c r="N46" s="163">
        <v>0</v>
      </c>
      <c r="O46" s="163" t="s">
        <v>541</v>
      </c>
      <c r="P46" s="163" t="s">
        <v>534</v>
      </c>
    </row>
    <row r="47" spans="1:16">
      <c r="A47" s="163" t="s">
        <v>579</v>
      </c>
      <c r="B47" s="163" t="s">
        <v>536</v>
      </c>
      <c r="C47" s="163" t="s">
        <v>144</v>
      </c>
      <c r="D47" s="163">
        <v>13</v>
      </c>
      <c r="E47" s="163">
        <v>0</v>
      </c>
      <c r="F47" s="163">
        <v>0</v>
      </c>
      <c r="G47" s="163">
        <v>6</v>
      </c>
      <c r="H47" s="163">
        <v>846.11</v>
      </c>
      <c r="I47" s="163">
        <v>65.81</v>
      </c>
      <c r="J47" s="163" t="s">
        <v>518</v>
      </c>
      <c r="K47" s="163">
        <v>36.590000000000003</v>
      </c>
      <c r="L47" s="163" t="s">
        <v>146</v>
      </c>
      <c r="M47" s="163" t="s">
        <v>580</v>
      </c>
      <c r="N47" s="163">
        <v>0</v>
      </c>
      <c r="O47" s="163" t="s">
        <v>581</v>
      </c>
      <c r="P47" s="163" t="s">
        <v>534</v>
      </c>
    </row>
    <row r="48" spans="1:16">
      <c r="A48" s="163" t="s">
        <v>582</v>
      </c>
      <c r="B48" s="163" t="s">
        <v>536</v>
      </c>
      <c r="C48" s="163" t="s">
        <v>144</v>
      </c>
      <c r="D48" s="163">
        <v>44</v>
      </c>
      <c r="E48" s="163">
        <v>0</v>
      </c>
      <c r="F48" s="163">
        <v>0</v>
      </c>
      <c r="G48" s="163">
        <v>10</v>
      </c>
      <c r="H48" s="163">
        <v>120.13</v>
      </c>
      <c r="I48" s="163">
        <v>2.73</v>
      </c>
      <c r="J48" s="163" t="s">
        <v>518</v>
      </c>
      <c r="K48" s="163">
        <v>2.7302</v>
      </c>
      <c r="L48" s="163" t="s">
        <v>147</v>
      </c>
      <c r="M48" s="163" t="s">
        <v>583</v>
      </c>
      <c r="N48" s="163">
        <v>0</v>
      </c>
      <c r="O48" s="163" t="s">
        <v>584</v>
      </c>
      <c r="P48" s="163" t="s">
        <v>534</v>
      </c>
    </row>
    <row r="49" spans="1:16">
      <c r="A49" s="163" t="s">
        <v>585</v>
      </c>
      <c r="B49" s="163" t="s">
        <v>536</v>
      </c>
      <c r="C49" s="163" t="s">
        <v>144</v>
      </c>
      <c r="D49" s="163">
        <v>16</v>
      </c>
      <c r="E49" s="163">
        <v>0</v>
      </c>
      <c r="F49" s="163">
        <v>0</v>
      </c>
      <c r="G49" s="163">
        <v>5</v>
      </c>
      <c r="H49" s="163">
        <v>370.16</v>
      </c>
      <c r="I49" s="163">
        <v>23.14</v>
      </c>
      <c r="J49" s="163" t="s">
        <v>518</v>
      </c>
      <c r="K49" s="163">
        <v>23.135000000000002</v>
      </c>
      <c r="L49" s="163" t="s">
        <v>147</v>
      </c>
      <c r="M49" s="163" t="s">
        <v>586</v>
      </c>
      <c r="N49" s="163">
        <v>0</v>
      </c>
      <c r="O49" s="163" t="s">
        <v>587</v>
      </c>
      <c r="P49" s="163" t="s">
        <v>534</v>
      </c>
    </row>
    <row r="50" spans="1:16">
      <c r="A50" s="163" t="s">
        <v>588</v>
      </c>
      <c r="B50" s="163" t="s">
        <v>536</v>
      </c>
      <c r="C50" s="163" t="s">
        <v>144</v>
      </c>
      <c r="D50" s="163">
        <v>32</v>
      </c>
      <c r="E50" s="163">
        <v>0</v>
      </c>
      <c r="F50" s="163">
        <v>0</v>
      </c>
      <c r="G50" s="163">
        <v>5</v>
      </c>
      <c r="H50" s="163">
        <v>478.08</v>
      </c>
      <c r="I50" s="163">
        <v>14.94</v>
      </c>
      <c r="J50" s="163" t="s">
        <v>518</v>
      </c>
      <c r="K50" s="163">
        <v>14.94</v>
      </c>
      <c r="L50" s="163" t="s">
        <v>146</v>
      </c>
      <c r="M50" s="163" t="s">
        <v>589</v>
      </c>
      <c r="N50" s="163">
        <v>0</v>
      </c>
      <c r="O50" s="163" t="s">
        <v>590</v>
      </c>
      <c r="P50" s="163" t="s">
        <v>534</v>
      </c>
    </row>
    <row r="51" spans="1:16">
      <c r="A51" s="163" t="s">
        <v>591</v>
      </c>
      <c r="B51" s="163" t="s">
        <v>536</v>
      </c>
      <c r="C51" s="163" t="s">
        <v>144</v>
      </c>
      <c r="D51" s="163">
        <v>18</v>
      </c>
      <c r="E51" s="163">
        <v>0</v>
      </c>
      <c r="F51" s="163">
        <v>0</v>
      </c>
      <c r="G51" s="163">
        <v>10</v>
      </c>
      <c r="H51" s="163">
        <v>277.2</v>
      </c>
      <c r="I51" s="163">
        <v>15.4</v>
      </c>
      <c r="J51" s="163" t="s">
        <v>518</v>
      </c>
      <c r="K51" s="163">
        <v>15.4</v>
      </c>
      <c r="L51" s="163" t="s">
        <v>147</v>
      </c>
      <c r="M51" s="163" t="s">
        <v>592</v>
      </c>
      <c r="N51" s="163">
        <v>0</v>
      </c>
      <c r="O51" s="163" t="s">
        <v>593</v>
      </c>
      <c r="P51" s="163" t="s">
        <v>534</v>
      </c>
    </row>
    <row r="52" spans="1:16">
      <c r="A52" s="163" t="s">
        <v>594</v>
      </c>
      <c r="B52" s="163" t="s">
        <v>536</v>
      </c>
      <c r="C52" s="163" t="s">
        <v>144</v>
      </c>
      <c r="D52" s="163">
        <v>22</v>
      </c>
      <c r="E52" s="163">
        <v>0</v>
      </c>
      <c r="F52" s="163">
        <v>0</v>
      </c>
      <c r="G52" s="163">
        <v>3</v>
      </c>
      <c r="H52" s="163">
        <v>715.44</v>
      </c>
      <c r="I52" s="163">
        <v>32.520000000000003</v>
      </c>
      <c r="J52" s="163" t="s">
        <v>518</v>
      </c>
      <c r="K52" s="163">
        <v>32.520000000000003</v>
      </c>
      <c r="L52" s="163" t="s">
        <v>147</v>
      </c>
      <c r="M52" s="163" t="s">
        <v>595</v>
      </c>
      <c r="N52" s="163">
        <v>0</v>
      </c>
      <c r="O52" s="163" t="s">
        <v>596</v>
      </c>
      <c r="P52" s="163" t="s">
        <v>534</v>
      </c>
    </row>
    <row r="53" spans="1:16">
      <c r="A53" s="163" t="s">
        <v>597</v>
      </c>
      <c r="B53" s="163" t="s">
        <v>536</v>
      </c>
      <c r="C53" s="163" t="s">
        <v>144</v>
      </c>
      <c r="D53" s="163">
        <v>19</v>
      </c>
      <c r="E53" s="163">
        <v>0</v>
      </c>
      <c r="F53" s="163">
        <v>0</v>
      </c>
      <c r="G53" s="163">
        <v>6</v>
      </c>
      <c r="H53" s="163">
        <v>1739.27</v>
      </c>
      <c r="I53" s="163">
        <v>91.54</v>
      </c>
      <c r="J53" s="163" t="s">
        <v>518</v>
      </c>
      <c r="K53" s="163">
        <v>91.549000000000007</v>
      </c>
      <c r="L53" s="163" t="s">
        <v>147</v>
      </c>
      <c r="M53" s="163" t="s">
        <v>598</v>
      </c>
      <c r="N53" s="163">
        <v>0</v>
      </c>
      <c r="O53" s="163" t="s">
        <v>596</v>
      </c>
      <c r="P53" s="163" t="s">
        <v>534</v>
      </c>
    </row>
    <row r="54" spans="1:16">
      <c r="A54" s="163" t="s">
        <v>599</v>
      </c>
      <c r="B54" s="163" t="s">
        <v>536</v>
      </c>
      <c r="C54" s="163" t="s">
        <v>144</v>
      </c>
      <c r="D54" s="163">
        <v>12</v>
      </c>
      <c r="E54" s="163">
        <v>0</v>
      </c>
      <c r="F54" s="163">
        <v>0</v>
      </c>
      <c r="G54" s="163">
        <v>1</v>
      </c>
      <c r="H54" s="163">
        <v>1042.08</v>
      </c>
      <c r="I54" s="163">
        <v>86.84</v>
      </c>
      <c r="J54" s="163" t="s">
        <v>518</v>
      </c>
      <c r="K54" s="163">
        <v>86.84</v>
      </c>
      <c r="L54" s="163" t="s">
        <v>147</v>
      </c>
      <c r="M54" s="163" t="s">
        <v>600</v>
      </c>
      <c r="N54" s="163">
        <v>0</v>
      </c>
      <c r="O54" s="163" t="s">
        <v>596</v>
      </c>
      <c r="P54" s="163" t="s">
        <v>534</v>
      </c>
    </row>
    <row r="55" spans="1:16">
      <c r="A55" s="163" t="s">
        <v>601</v>
      </c>
      <c r="B55" s="163" t="s">
        <v>536</v>
      </c>
      <c r="C55" s="163" t="s">
        <v>144</v>
      </c>
      <c r="D55" s="163">
        <v>6</v>
      </c>
      <c r="E55" s="163">
        <v>0</v>
      </c>
      <c r="F55" s="163">
        <v>0</v>
      </c>
      <c r="G55" s="163">
        <v>0</v>
      </c>
      <c r="H55" s="163">
        <v>469.2</v>
      </c>
      <c r="I55" s="163">
        <v>78.2</v>
      </c>
      <c r="J55" s="163" t="s">
        <v>518</v>
      </c>
      <c r="K55" s="163">
        <v>78.2</v>
      </c>
      <c r="L55" s="163" t="s">
        <v>147</v>
      </c>
      <c r="M55" s="163" t="s">
        <v>602</v>
      </c>
      <c r="N55" s="163">
        <v>0</v>
      </c>
      <c r="O55" s="163" t="s">
        <v>596</v>
      </c>
      <c r="P55" s="163" t="s">
        <v>534</v>
      </c>
    </row>
    <row r="56" spans="1:16">
      <c r="A56" s="163" t="s">
        <v>603</v>
      </c>
      <c r="B56" s="163" t="s">
        <v>536</v>
      </c>
      <c r="C56" s="163" t="s">
        <v>144</v>
      </c>
      <c r="D56" s="163">
        <v>23</v>
      </c>
      <c r="E56" s="163">
        <v>0</v>
      </c>
      <c r="F56" s="163">
        <v>0</v>
      </c>
      <c r="G56" s="163">
        <v>3</v>
      </c>
      <c r="H56" s="163">
        <v>2091.84</v>
      </c>
      <c r="I56" s="163">
        <v>79.33</v>
      </c>
      <c r="J56" s="163" t="s">
        <v>518</v>
      </c>
      <c r="K56" s="163">
        <v>98.557599999999994</v>
      </c>
      <c r="L56" s="163" t="s">
        <v>144</v>
      </c>
      <c r="M56" s="163" t="s">
        <v>604</v>
      </c>
      <c r="N56" s="163">
        <v>0</v>
      </c>
      <c r="O56" s="163" t="s">
        <v>605</v>
      </c>
      <c r="P56" s="163" t="s">
        <v>534</v>
      </c>
    </row>
    <row r="57" spans="1:16">
      <c r="A57" s="163" t="s">
        <v>606</v>
      </c>
      <c r="B57" s="163" t="s">
        <v>536</v>
      </c>
      <c r="C57" s="163" t="s">
        <v>144</v>
      </c>
      <c r="D57" s="163">
        <v>12</v>
      </c>
      <c r="E57" s="163">
        <v>0</v>
      </c>
      <c r="F57" s="163">
        <v>0</v>
      </c>
      <c r="G57" s="163">
        <v>11</v>
      </c>
      <c r="H57" s="163">
        <v>1818.67</v>
      </c>
      <c r="I57" s="163">
        <v>222.56</v>
      </c>
      <c r="J57" s="163" t="s">
        <v>518</v>
      </c>
      <c r="K57" s="163">
        <v>108.6486</v>
      </c>
      <c r="L57" s="163" t="s">
        <v>145</v>
      </c>
      <c r="M57" s="163" t="s">
        <v>607</v>
      </c>
      <c r="N57" s="163">
        <v>0</v>
      </c>
      <c r="O57" s="163" t="s">
        <v>608</v>
      </c>
      <c r="P57" s="163" t="s">
        <v>534</v>
      </c>
    </row>
    <row r="58" spans="1:16">
      <c r="A58" s="163" t="s">
        <v>609</v>
      </c>
      <c r="B58" s="163" t="s">
        <v>536</v>
      </c>
      <c r="C58" s="163" t="s">
        <v>144</v>
      </c>
      <c r="D58" s="163">
        <v>10</v>
      </c>
      <c r="E58" s="163">
        <v>0</v>
      </c>
      <c r="F58" s="163">
        <v>0</v>
      </c>
      <c r="G58" s="163">
        <v>3</v>
      </c>
      <c r="H58" s="163">
        <v>4619.3999999999996</v>
      </c>
      <c r="I58" s="163">
        <v>461.94</v>
      </c>
      <c r="J58" s="163" t="s">
        <v>518</v>
      </c>
      <c r="K58" s="163">
        <v>461.94</v>
      </c>
      <c r="L58" s="163" t="s">
        <v>147</v>
      </c>
      <c r="M58" s="163" t="s">
        <v>610</v>
      </c>
      <c r="N58" s="163">
        <v>0</v>
      </c>
      <c r="O58" s="163" t="s">
        <v>587</v>
      </c>
      <c r="P58" s="163" t="s">
        <v>534</v>
      </c>
    </row>
    <row r="59" spans="1:16">
      <c r="A59" s="163" t="s">
        <v>611</v>
      </c>
      <c r="B59" s="163" t="s">
        <v>536</v>
      </c>
      <c r="C59" s="163" t="s">
        <v>144</v>
      </c>
      <c r="D59" s="163">
        <v>3</v>
      </c>
      <c r="E59" s="163">
        <v>0</v>
      </c>
      <c r="F59" s="163">
        <v>0</v>
      </c>
      <c r="G59" s="163">
        <v>2</v>
      </c>
      <c r="H59" s="163">
        <v>1216.6199999999999</v>
      </c>
      <c r="I59" s="163">
        <v>405.54</v>
      </c>
      <c r="J59" s="163" t="s">
        <v>518</v>
      </c>
      <c r="K59" s="163">
        <v>405.54</v>
      </c>
      <c r="L59" s="163" t="s">
        <v>147</v>
      </c>
      <c r="M59" s="163" t="s">
        <v>612</v>
      </c>
      <c r="N59" s="163">
        <v>0</v>
      </c>
      <c r="O59" s="163" t="s">
        <v>613</v>
      </c>
      <c r="P59" s="163" t="s">
        <v>534</v>
      </c>
    </row>
    <row r="60" spans="1:16">
      <c r="A60" s="163" t="s">
        <v>614</v>
      </c>
      <c r="B60" s="163" t="s">
        <v>536</v>
      </c>
      <c r="C60" s="163" t="s">
        <v>144</v>
      </c>
      <c r="D60" s="163">
        <v>6</v>
      </c>
      <c r="E60" s="163">
        <v>0</v>
      </c>
      <c r="F60" s="163">
        <v>0</v>
      </c>
      <c r="G60" s="163">
        <v>3</v>
      </c>
      <c r="H60" s="163">
        <v>2408.64</v>
      </c>
      <c r="I60" s="163">
        <v>401.44</v>
      </c>
      <c r="J60" s="163" t="s">
        <v>518</v>
      </c>
      <c r="K60" s="163">
        <v>401.44</v>
      </c>
      <c r="L60" s="163" t="s">
        <v>147</v>
      </c>
      <c r="M60" s="163" t="s">
        <v>615</v>
      </c>
      <c r="N60" s="163">
        <v>0</v>
      </c>
      <c r="O60" s="163" t="s">
        <v>608</v>
      </c>
      <c r="P60" s="163" t="s">
        <v>534</v>
      </c>
    </row>
    <row r="61" spans="1:16">
      <c r="A61" s="163" t="s">
        <v>617</v>
      </c>
      <c r="B61" s="163" t="s">
        <v>536</v>
      </c>
      <c r="C61" s="163" t="s">
        <v>144</v>
      </c>
      <c r="D61" s="163">
        <v>63</v>
      </c>
      <c r="E61" s="163">
        <v>0</v>
      </c>
      <c r="F61" s="163">
        <v>0</v>
      </c>
      <c r="G61" s="163">
        <v>25</v>
      </c>
      <c r="H61" s="163">
        <v>1031.3800000000001</v>
      </c>
      <c r="I61" s="163">
        <v>16.37</v>
      </c>
      <c r="J61" s="163" t="s">
        <v>518</v>
      </c>
      <c r="K61" s="163">
        <v>16.370999999999999</v>
      </c>
      <c r="L61" s="163" t="s">
        <v>145</v>
      </c>
      <c r="M61" s="163" t="s">
        <v>618</v>
      </c>
      <c r="N61" s="163">
        <v>0</v>
      </c>
      <c r="O61" s="163" t="s">
        <v>605</v>
      </c>
      <c r="P61" s="163" t="s">
        <v>534</v>
      </c>
    </row>
    <row r="62" spans="1:16">
      <c r="A62" s="163" t="s">
        <v>619</v>
      </c>
      <c r="B62" s="163" t="s">
        <v>536</v>
      </c>
      <c r="C62" s="163" t="s">
        <v>144</v>
      </c>
      <c r="D62" s="163">
        <v>9</v>
      </c>
      <c r="E62" s="163">
        <v>0</v>
      </c>
      <c r="F62" s="163">
        <v>0</v>
      </c>
      <c r="G62" s="163">
        <v>6</v>
      </c>
      <c r="H62" s="163">
        <v>2049.84</v>
      </c>
      <c r="I62" s="163">
        <v>227.76</v>
      </c>
      <c r="J62" s="163" t="s">
        <v>518</v>
      </c>
      <c r="K62" s="163">
        <v>227.76</v>
      </c>
      <c r="L62" s="163" t="s">
        <v>147</v>
      </c>
      <c r="M62" s="163" t="s">
        <v>620</v>
      </c>
      <c r="N62" s="163">
        <v>0</v>
      </c>
      <c r="O62" s="163" t="s">
        <v>616</v>
      </c>
      <c r="P62" s="163" t="s">
        <v>534</v>
      </c>
    </row>
    <row r="63" spans="1:16">
      <c r="A63" s="163" t="s">
        <v>621</v>
      </c>
      <c r="B63" s="163" t="s">
        <v>536</v>
      </c>
      <c r="C63" s="163" t="s">
        <v>144</v>
      </c>
      <c r="D63" s="163">
        <v>306</v>
      </c>
      <c r="E63" s="163">
        <v>0</v>
      </c>
      <c r="F63" s="163">
        <v>0</v>
      </c>
      <c r="G63" s="163">
        <v>10</v>
      </c>
      <c r="H63" s="163">
        <v>774.18</v>
      </c>
      <c r="I63" s="163">
        <v>2.5299999999999998</v>
      </c>
      <c r="J63" s="163" t="s">
        <v>518</v>
      </c>
      <c r="K63" s="163">
        <v>2.5299999999999998</v>
      </c>
      <c r="L63" s="163" t="s">
        <v>147</v>
      </c>
      <c r="M63" s="163" t="s">
        <v>622</v>
      </c>
      <c r="N63" s="163">
        <v>0</v>
      </c>
      <c r="O63" s="163" t="s">
        <v>541</v>
      </c>
      <c r="P63" s="163" t="s">
        <v>534</v>
      </c>
    </row>
    <row r="64" spans="1:16">
      <c r="A64" s="163" t="s">
        <v>628</v>
      </c>
      <c r="B64" s="163" t="s">
        <v>536</v>
      </c>
      <c r="C64" s="163" t="s">
        <v>144</v>
      </c>
      <c r="D64" s="163">
        <v>7</v>
      </c>
      <c r="E64" s="163">
        <v>0</v>
      </c>
      <c r="F64" s="163">
        <v>0</v>
      </c>
      <c r="G64" s="163">
        <v>3</v>
      </c>
      <c r="H64" s="163">
        <v>154.37</v>
      </c>
      <c r="I64" s="163">
        <v>22.06</v>
      </c>
      <c r="J64" s="163" t="s">
        <v>518</v>
      </c>
      <c r="K64" s="163">
        <v>22.0563</v>
      </c>
      <c r="L64" s="163" t="s">
        <v>147</v>
      </c>
      <c r="M64" s="163" t="s">
        <v>629</v>
      </c>
      <c r="N64" s="163">
        <v>0</v>
      </c>
      <c r="O64" s="163" t="s">
        <v>630</v>
      </c>
      <c r="P64" s="163" t="s">
        <v>534</v>
      </c>
    </row>
    <row r="65" spans="1:16">
      <c r="A65" s="163" t="s">
        <v>631</v>
      </c>
      <c r="B65" s="163" t="s">
        <v>536</v>
      </c>
      <c r="C65" s="163" t="s">
        <v>144</v>
      </c>
      <c r="D65" s="163">
        <v>12</v>
      </c>
      <c r="E65" s="163">
        <v>0</v>
      </c>
      <c r="F65" s="163">
        <v>0</v>
      </c>
      <c r="G65" s="163">
        <v>3</v>
      </c>
      <c r="H65" s="163">
        <v>1590.23</v>
      </c>
      <c r="I65" s="163">
        <v>132.52000000000001</v>
      </c>
      <c r="J65" s="163" t="s">
        <v>518</v>
      </c>
      <c r="K65" s="163">
        <v>59.358499999999999</v>
      </c>
      <c r="L65" s="163" t="s">
        <v>147</v>
      </c>
      <c r="M65" s="163" t="s">
        <v>632</v>
      </c>
      <c r="N65" s="163">
        <v>0</v>
      </c>
      <c r="O65" s="163" t="s">
        <v>633</v>
      </c>
      <c r="P65" s="163" t="s">
        <v>534</v>
      </c>
    </row>
    <row r="66" spans="1:16">
      <c r="A66" s="163" t="s">
        <v>634</v>
      </c>
      <c r="B66" s="163" t="s">
        <v>536</v>
      </c>
      <c r="C66" s="163" t="s">
        <v>144</v>
      </c>
      <c r="D66" s="163">
        <v>12</v>
      </c>
      <c r="E66" s="163">
        <v>0</v>
      </c>
      <c r="F66" s="163">
        <v>0</v>
      </c>
      <c r="G66" s="163">
        <v>3</v>
      </c>
      <c r="H66" s="163">
        <v>261.05</v>
      </c>
      <c r="I66" s="163">
        <v>21.75</v>
      </c>
      <c r="J66" s="163" t="s">
        <v>518</v>
      </c>
      <c r="K66" s="163">
        <v>21.7544</v>
      </c>
      <c r="L66" s="163" t="s">
        <v>147</v>
      </c>
      <c r="M66" s="163" t="s">
        <v>635</v>
      </c>
      <c r="N66" s="163">
        <v>0</v>
      </c>
      <c r="O66" s="163" t="s">
        <v>636</v>
      </c>
      <c r="P66" s="163" t="s">
        <v>534</v>
      </c>
    </row>
    <row r="67" spans="1:16">
      <c r="A67" s="163" t="s">
        <v>637</v>
      </c>
      <c r="B67" s="163" t="s">
        <v>517</v>
      </c>
      <c r="C67" s="163" t="s">
        <v>144</v>
      </c>
      <c r="D67" s="163">
        <v>3</v>
      </c>
      <c r="E67" s="163">
        <v>0</v>
      </c>
      <c r="F67" s="163">
        <v>0</v>
      </c>
      <c r="G67" s="163">
        <v>0</v>
      </c>
      <c r="H67" s="163">
        <v>3597.19</v>
      </c>
      <c r="I67" s="163">
        <v>1199.06</v>
      </c>
      <c r="J67" s="163" t="s">
        <v>518</v>
      </c>
      <c r="K67" s="163">
        <v>1199.07</v>
      </c>
      <c r="L67" s="163" t="s">
        <v>144</v>
      </c>
      <c r="M67" s="163" t="s">
        <v>638</v>
      </c>
      <c r="N67" s="163">
        <v>0</v>
      </c>
      <c r="O67" s="163" t="s">
        <v>639</v>
      </c>
      <c r="P67" s="163" t="s">
        <v>534</v>
      </c>
    </row>
    <row r="68" spans="1:16">
      <c r="A68" s="163" t="s">
        <v>640</v>
      </c>
      <c r="B68" s="163" t="s">
        <v>517</v>
      </c>
      <c r="C68" s="163" t="s">
        <v>144</v>
      </c>
      <c r="D68" s="163">
        <v>13</v>
      </c>
      <c r="E68" s="163">
        <v>0</v>
      </c>
      <c r="F68" s="163">
        <v>0</v>
      </c>
      <c r="G68" s="163">
        <v>4</v>
      </c>
      <c r="H68" s="163">
        <v>20906.73</v>
      </c>
      <c r="I68" s="163">
        <v>1608.21</v>
      </c>
      <c r="J68" s="163" t="s">
        <v>518</v>
      </c>
      <c r="K68" s="163">
        <v>297.57</v>
      </c>
      <c r="L68" s="163" t="s">
        <v>144</v>
      </c>
      <c r="M68" s="163" t="s">
        <v>641</v>
      </c>
      <c r="N68" s="163">
        <v>0</v>
      </c>
      <c r="O68" s="163" t="s">
        <v>642</v>
      </c>
      <c r="P68" s="163" t="s">
        <v>534</v>
      </c>
    </row>
    <row r="69" spans="1:16">
      <c r="A69" s="163" t="s">
        <v>643</v>
      </c>
      <c r="B69" s="163" t="s">
        <v>517</v>
      </c>
      <c r="C69" s="163" t="s">
        <v>144</v>
      </c>
      <c r="D69" s="163">
        <v>5</v>
      </c>
      <c r="E69" s="163">
        <v>0</v>
      </c>
      <c r="F69" s="163">
        <v>0</v>
      </c>
      <c r="G69" s="163">
        <v>0</v>
      </c>
      <c r="H69" s="163">
        <v>3566.5</v>
      </c>
      <c r="I69" s="163">
        <v>713.3</v>
      </c>
      <c r="J69" s="163" t="s">
        <v>518</v>
      </c>
      <c r="K69" s="163">
        <v>713.3</v>
      </c>
      <c r="L69" s="163" t="s">
        <v>144</v>
      </c>
      <c r="M69" s="163" t="s">
        <v>644</v>
      </c>
      <c r="N69" s="163">
        <v>0</v>
      </c>
      <c r="O69" s="163" t="s">
        <v>639</v>
      </c>
      <c r="P69" s="163" t="s">
        <v>534</v>
      </c>
    </row>
    <row r="70" spans="1:16">
      <c r="A70" s="163" t="s">
        <v>645</v>
      </c>
      <c r="B70" s="163" t="s">
        <v>517</v>
      </c>
      <c r="C70" s="163" t="s">
        <v>144</v>
      </c>
      <c r="D70" s="163">
        <v>5</v>
      </c>
      <c r="E70" s="163">
        <v>0</v>
      </c>
      <c r="F70" s="163">
        <v>0</v>
      </c>
      <c r="G70" s="163">
        <v>2</v>
      </c>
      <c r="H70" s="163">
        <v>7776.25</v>
      </c>
      <c r="I70" s="163">
        <v>1540.8</v>
      </c>
      <c r="J70" s="163" t="s">
        <v>518</v>
      </c>
      <c r="K70" s="163">
        <v>1285.6400000000001</v>
      </c>
      <c r="L70" s="163" t="s">
        <v>144</v>
      </c>
      <c r="M70" s="163" t="s">
        <v>646</v>
      </c>
      <c r="N70" s="163">
        <v>0</v>
      </c>
      <c r="O70" s="163" t="s">
        <v>642</v>
      </c>
      <c r="P70" s="163" t="s">
        <v>534</v>
      </c>
    </row>
    <row r="71" spans="1:16">
      <c r="A71" s="163" t="s">
        <v>647</v>
      </c>
      <c r="B71" s="163" t="s">
        <v>517</v>
      </c>
      <c r="C71" s="163" t="s">
        <v>144</v>
      </c>
      <c r="D71" s="163">
        <v>1</v>
      </c>
      <c r="E71" s="163">
        <v>0</v>
      </c>
      <c r="F71" s="163">
        <v>0</v>
      </c>
      <c r="G71" s="163">
        <v>1</v>
      </c>
      <c r="H71" s="163">
        <v>2223.9899999999998</v>
      </c>
      <c r="I71" s="163">
        <v>2314.41</v>
      </c>
      <c r="J71" s="163" t="s">
        <v>518</v>
      </c>
      <c r="K71" s="163">
        <v>1584.7</v>
      </c>
      <c r="L71" s="163" t="s">
        <v>144</v>
      </c>
      <c r="M71" s="163" t="s">
        <v>648</v>
      </c>
      <c r="N71" s="163">
        <v>0</v>
      </c>
      <c r="O71" s="163" t="s">
        <v>642</v>
      </c>
      <c r="P71" s="163" t="s">
        <v>534</v>
      </c>
    </row>
    <row r="72" spans="1:16">
      <c r="A72" s="163" t="s">
        <v>649</v>
      </c>
      <c r="B72" s="163" t="s">
        <v>517</v>
      </c>
      <c r="C72" s="163" t="s">
        <v>144</v>
      </c>
      <c r="D72" s="163">
        <v>0</v>
      </c>
      <c r="E72" s="163">
        <v>0</v>
      </c>
      <c r="F72" s="163">
        <v>0</v>
      </c>
      <c r="G72" s="163">
        <v>0</v>
      </c>
      <c r="H72" s="163">
        <v>0</v>
      </c>
      <c r="I72" s="163">
        <v>0</v>
      </c>
      <c r="J72" s="163" t="s">
        <v>518</v>
      </c>
      <c r="K72" s="163">
        <v>0</v>
      </c>
      <c r="L72" s="163" t="s">
        <v>144</v>
      </c>
      <c r="M72" s="163" t="s">
        <v>650</v>
      </c>
      <c r="N72" s="163">
        <v>0</v>
      </c>
      <c r="O72" s="163" t="s">
        <v>651</v>
      </c>
      <c r="P72" s="163" t="s">
        <v>534</v>
      </c>
    </row>
    <row r="73" spans="1:16">
      <c r="A73" s="163" t="s">
        <v>652</v>
      </c>
      <c r="B73" s="163" t="s">
        <v>517</v>
      </c>
      <c r="C73" s="163" t="s">
        <v>144</v>
      </c>
      <c r="D73" s="163">
        <v>0</v>
      </c>
      <c r="E73" s="163">
        <v>0</v>
      </c>
      <c r="F73" s="163">
        <v>0</v>
      </c>
      <c r="G73" s="163">
        <v>1</v>
      </c>
      <c r="H73" s="163">
        <v>0</v>
      </c>
      <c r="I73" s="163">
        <v>2654.67</v>
      </c>
      <c r="J73" s="163" t="s">
        <v>518</v>
      </c>
      <c r="K73" s="163">
        <v>2636.98</v>
      </c>
      <c r="L73" s="163" t="s">
        <v>144</v>
      </c>
      <c r="M73" s="163" t="s">
        <v>653</v>
      </c>
      <c r="N73" s="163">
        <v>0</v>
      </c>
      <c r="O73" s="163" t="s">
        <v>533</v>
      </c>
      <c r="P73" s="163" t="s">
        <v>534</v>
      </c>
    </row>
    <row r="74" spans="1:16">
      <c r="A74" s="163" t="s">
        <v>654</v>
      </c>
      <c r="B74" s="163" t="s">
        <v>517</v>
      </c>
      <c r="C74" s="163" t="s">
        <v>144</v>
      </c>
      <c r="D74" s="163">
        <v>0</v>
      </c>
      <c r="E74" s="163">
        <v>0</v>
      </c>
      <c r="F74" s="163">
        <v>0</v>
      </c>
      <c r="G74" s="163">
        <v>0</v>
      </c>
      <c r="H74" s="163">
        <v>0</v>
      </c>
      <c r="I74" s="163">
        <v>0</v>
      </c>
      <c r="J74" s="163" t="s">
        <v>518</v>
      </c>
      <c r="K74" s="163">
        <v>2696.98</v>
      </c>
      <c r="L74" s="163" t="s">
        <v>144</v>
      </c>
      <c r="M74" s="163" t="s">
        <v>655</v>
      </c>
      <c r="N74" s="163">
        <v>0</v>
      </c>
      <c r="O74" s="163" t="s">
        <v>651</v>
      </c>
      <c r="P74" s="163" t="s">
        <v>534</v>
      </c>
    </row>
    <row r="75" spans="1:16">
      <c r="A75" s="163" t="s">
        <v>656</v>
      </c>
      <c r="B75" s="163" t="s">
        <v>517</v>
      </c>
      <c r="C75" s="163" t="s">
        <v>144</v>
      </c>
      <c r="D75" s="163">
        <v>5</v>
      </c>
      <c r="E75" s="163">
        <v>0</v>
      </c>
      <c r="F75" s="163">
        <v>0</v>
      </c>
      <c r="G75" s="163">
        <v>0</v>
      </c>
      <c r="H75" s="163">
        <v>3439</v>
      </c>
      <c r="I75" s="163">
        <v>687.8</v>
      </c>
      <c r="J75" s="163" t="s">
        <v>518</v>
      </c>
      <c r="K75" s="163">
        <v>687.8</v>
      </c>
      <c r="L75" s="163" t="s">
        <v>144</v>
      </c>
      <c r="M75" s="163" t="s">
        <v>657</v>
      </c>
      <c r="N75" s="163">
        <v>0</v>
      </c>
      <c r="O75" s="163" t="s">
        <v>639</v>
      </c>
      <c r="P75" s="163" t="s">
        <v>534</v>
      </c>
    </row>
    <row r="76" spans="1:16">
      <c r="A76" s="163" t="s">
        <v>658</v>
      </c>
      <c r="B76" s="163" t="s">
        <v>517</v>
      </c>
      <c r="C76" s="163" t="s">
        <v>144</v>
      </c>
      <c r="D76" s="163">
        <v>3</v>
      </c>
      <c r="E76" s="163">
        <v>0</v>
      </c>
      <c r="F76" s="163">
        <v>0</v>
      </c>
      <c r="G76" s="163">
        <v>0</v>
      </c>
      <c r="H76" s="163">
        <v>8405.92</v>
      </c>
      <c r="I76" s="163">
        <v>3053.78</v>
      </c>
      <c r="J76" s="163" t="s">
        <v>518</v>
      </c>
      <c r="K76" s="163">
        <v>1922.73</v>
      </c>
      <c r="L76" s="163" t="s">
        <v>144</v>
      </c>
      <c r="M76" s="163" t="s">
        <v>659</v>
      </c>
      <c r="N76" s="163">
        <v>0</v>
      </c>
      <c r="O76" s="163" t="s">
        <v>642</v>
      </c>
      <c r="P76" s="163" t="s">
        <v>534</v>
      </c>
    </row>
    <row r="77" spans="1:16">
      <c r="A77" s="163" t="s">
        <v>660</v>
      </c>
      <c r="B77" s="163" t="s">
        <v>517</v>
      </c>
      <c r="C77" s="163" t="s">
        <v>144</v>
      </c>
      <c r="D77" s="163">
        <v>4</v>
      </c>
      <c r="E77" s="163">
        <v>0</v>
      </c>
      <c r="F77" s="163">
        <v>0</v>
      </c>
      <c r="G77" s="163">
        <v>0</v>
      </c>
      <c r="H77" s="163">
        <v>11067.59</v>
      </c>
      <c r="I77" s="163">
        <v>3563.1</v>
      </c>
      <c r="J77" s="163" t="s">
        <v>518</v>
      </c>
      <c r="K77" s="163">
        <v>1970.7</v>
      </c>
      <c r="L77" s="163" t="s">
        <v>144</v>
      </c>
      <c r="M77" s="163" t="s">
        <v>661</v>
      </c>
      <c r="N77" s="163">
        <v>0</v>
      </c>
      <c r="O77" s="163" t="s">
        <v>642</v>
      </c>
      <c r="P77" s="163" t="s">
        <v>534</v>
      </c>
    </row>
    <row r="78" spans="1:16">
      <c r="A78" s="163" t="s">
        <v>662</v>
      </c>
      <c r="B78" s="163" t="s">
        <v>517</v>
      </c>
      <c r="C78" s="163" t="s">
        <v>144</v>
      </c>
      <c r="D78" s="163">
        <v>1</v>
      </c>
      <c r="E78" s="163">
        <v>0</v>
      </c>
      <c r="F78" s="163">
        <v>0</v>
      </c>
      <c r="G78" s="163">
        <v>0</v>
      </c>
      <c r="H78" s="163">
        <v>3915.13</v>
      </c>
      <c r="I78" s="163">
        <v>3915.13</v>
      </c>
      <c r="J78" s="163" t="s">
        <v>518</v>
      </c>
      <c r="K78" s="163">
        <v>0</v>
      </c>
      <c r="L78" s="163" t="s">
        <v>144</v>
      </c>
      <c r="M78" s="163" t="s">
        <v>663</v>
      </c>
      <c r="N78" s="163">
        <v>0</v>
      </c>
      <c r="O78" s="163" t="s">
        <v>651</v>
      </c>
      <c r="P78" s="163" t="s">
        <v>534</v>
      </c>
    </row>
    <row r="79" spans="1:16">
      <c r="A79" s="163" t="s">
        <v>664</v>
      </c>
      <c r="B79" s="163" t="s">
        <v>517</v>
      </c>
      <c r="C79" s="163" t="s">
        <v>144</v>
      </c>
      <c r="D79" s="163">
        <v>1</v>
      </c>
      <c r="E79" s="163">
        <v>0</v>
      </c>
      <c r="F79" s="163">
        <v>0</v>
      </c>
      <c r="G79" s="163">
        <v>0</v>
      </c>
      <c r="H79" s="163">
        <v>3333.05</v>
      </c>
      <c r="I79" s="163">
        <v>3333.05</v>
      </c>
      <c r="J79" s="163" t="s">
        <v>518</v>
      </c>
      <c r="K79" s="163">
        <v>0</v>
      </c>
      <c r="L79" s="163" t="s">
        <v>144</v>
      </c>
      <c r="M79" s="163" t="s">
        <v>665</v>
      </c>
      <c r="N79" s="163">
        <v>0</v>
      </c>
      <c r="O79" s="163" t="s">
        <v>666</v>
      </c>
      <c r="P79" s="163" t="s">
        <v>534</v>
      </c>
    </row>
    <row r="80" spans="1:16">
      <c r="A80" s="163" t="s">
        <v>667</v>
      </c>
      <c r="B80" s="163" t="s">
        <v>517</v>
      </c>
      <c r="C80" s="163" t="s">
        <v>144</v>
      </c>
      <c r="D80" s="163">
        <v>0</v>
      </c>
      <c r="E80" s="163">
        <v>0</v>
      </c>
      <c r="F80" s="163">
        <v>0</v>
      </c>
      <c r="G80" s="163">
        <v>0</v>
      </c>
      <c r="H80" s="163">
        <v>0</v>
      </c>
      <c r="I80" s="163">
        <v>0</v>
      </c>
      <c r="J80" s="163" t="s">
        <v>518</v>
      </c>
      <c r="K80" s="163">
        <v>3465.14</v>
      </c>
      <c r="L80" s="163" t="s">
        <v>144</v>
      </c>
      <c r="M80" s="163" t="s">
        <v>668</v>
      </c>
      <c r="N80" s="163">
        <v>0</v>
      </c>
      <c r="O80" s="163" t="s">
        <v>651</v>
      </c>
      <c r="P80" s="163" t="s">
        <v>534</v>
      </c>
    </row>
    <row r="81" spans="1:16">
      <c r="A81" s="163" t="s">
        <v>669</v>
      </c>
      <c r="B81" s="163" t="s">
        <v>517</v>
      </c>
      <c r="C81" s="163" t="s">
        <v>144</v>
      </c>
      <c r="D81" s="163">
        <v>1</v>
      </c>
      <c r="E81" s="163">
        <v>0</v>
      </c>
      <c r="F81" s="163">
        <v>0</v>
      </c>
      <c r="G81" s="163">
        <v>0</v>
      </c>
      <c r="H81" s="163">
        <v>3722.22</v>
      </c>
      <c r="I81" s="163">
        <v>3722.22</v>
      </c>
      <c r="J81" s="163" t="s">
        <v>518</v>
      </c>
      <c r="K81" s="163">
        <v>3722.22</v>
      </c>
      <c r="L81" s="163" t="s">
        <v>144</v>
      </c>
      <c r="M81" s="163" t="s">
        <v>670</v>
      </c>
      <c r="N81" s="163">
        <v>0</v>
      </c>
      <c r="O81" s="163" t="s">
        <v>642</v>
      </c>
      <c r="P81" s="163" t="s">
        <v>534</v>
      </c>
    </row>
    <row r="82" spans="1:16">
      <c r="A82" s="163" t="s">
        <v>671</v>
      </c>
      <c r="B82" s="163" t="s">
        <v>517</v>
      </c>
      <c r="C82" s="163" t="s">
        <v>144</v>
      </c>
      <c r="D82" s="163">
        <v>1</v>
      </c>
      <c r="E82" s="163">
        <v>0</v>
      </c>
      <c r="F82" s="163">
        <v>0</v>
      </c>
      <c r="G82" s="163">
        <v>0</v>
      </c>
      <c r="H82" s="163">
        <v>3997.26</v>
      </c>
      <c r="I82" s="163">
        <v>3997.26</v>
      </c>
      <c r="J82" s="163" t="s">
        <v>518</v>
      </c>
      <c r="K82" s="163">
        <v>3997.26</v>
      </c>
      <c r="L82" s="163" t="s">
        <v>144</v>
      </c>
      <c r="M82" s="163" t="s">
        <v>672</v>
      </c>
      <c r="N82" s="163">
        <v>0</v>
      </c>
      <c r="O82" s="163" t="s">
        <v>642</v>
      </c>
      <c r="P82" s="163" t="s">
        <v>534</v>
      </c>
    </row>
    <row r="83" spans="1:16">
      <c r="A83" s="163" t="s">
        <v>676</v>
      </c>
      <c r="B83" s="163" t="s">
        <v>536</v>
      </c>
      <c r="C83" s="163" t="s">
        <v>144</v>
      </c>
      <c r="D83" s="163">
        <v>15</v>
      </c>
      <c r="E83" s="163">
        <v>0</v>
      </c>
      <c r="F83" s="163">
        <v>0</v>
      </c>
      <c r="G83" s="163">
        <v>6</v>
      </c>
      <c r="H83" s="163">
        <v>1187.9100000000001</v>
      </c>
      <c r="I83" s="163">
        <v>104.95</v>
      </c>
      <c r="J83" s="163" t="s">
        <v>518</v>
      </c>
      <c r="K83" s="163">
        <v>41.850999999999999</v>
      </c>
      <c r="L83" s="163" t="s">
        <v>146</v>
      </c>
      <c r="M83" s="163" t="s">
        <v>677</v>
      </c>
      <c r="N83" s="163">
        <v>0</v>
      </c>
      <c r="O83" s="163" t="s">
        <v>678</v>
      </c>
      <c r="P83" s="163" t="s">
        <v>534</v>
      </c>
    </row>
    <row r="84" spans="1:16">
      <c r="A84" s="163" t="s">
        <v>679</v>
      </c>
      <c r="B84" s="163" t="s">
        <v>536</v>
      </c>
      <c r="C84" s="163" t="s">
        <v>144</v>
      </c>
      <c r="D84" s="163">
        <v>10</v>
      </c>
      <c r="E84" s="163">
        <v>0</v>
      </c>
      <c r="F84" s="163">
        <v>0</v>
      </c>
      <c r="G84" s="163">
        <v>5</v>
      </c>
      <c r="H84" s="163">
        <v>272.47000000000003</v>
      </c>
      <c r="I84" s="163">
        <v>27.25</v>
      </c>
      <c r="J84" s="163" t="s">
        <v>518</v>
      </c>
      <c r="K84" s="163">
        <v>27.245699999999999</v>
      </c>
      <c r="L84" s="163" t="s">
        <v>147</v>
      </c>
      <c r="M84" s="163" t="s">
        <v>680</v>
      </c>
      <c r="N84" s="163">
        <v>0</v>
      </c>
      <c r="O84" s="163" t="s">
        <v>681</v>
      </c>
      <c r="P84" s="163" t="s">
        <v>534</v>
      </c>
    </row>
    <row r="85" spans="1:16">
      <c r="A85" s="163" t="s">
        <v>685</v>
      </c>
      <c r="B85" s="163" t="s">
        <v>536</v>
      </c>
      <c r="C85" s="163" t="s">
        <v>144</v>
      </c>
      <c r="D85" s="163">
        <v>21</v>
      </c>
      <c r="E85" s="163">
        <v>0</v>
      </c>
      <c r="F85" s="163">
        <v>0</v>
      </c>
      <c r="G85" s="163">
        <v>12</v>
      </c>
      <c r="H85" s="163">
        <v>1029.42</v>
      </c>
      <c r="I85" s="163">
        <v>49.02</v>
      </c>
      <c r="J85" s="163" t="s">
        <v>518</v>
      </c>
      <c r="K85" s="163">
        <v>49.02</v>
      </c>
      <c r="L85" s="163" t="s">
        <v>147</v>
      </c>
      <c r="M85" s="163" t="s">
        <v>686</v>
      </c>
      <c r="N85" s="163">
        <v>0</v>
      </c>
      <c r="O85" s="163" t="s">
        <v>687</v>
      </c>
      <c r="P85" s="163" t="s">
        <v>534</v>
      </c>
    </row>
    <row r="86" spans="1:16">
      <c r="A86" s="163" t="s">
        <v>688</v>
      </c>
      <c r="B86" s="163" t="s">
        <v>536</v>
      </c>
      <c r="C86" s="163" t="s">
        <v>144</v>
      </c>
      <c r="D86" s="163">
        <v>21</v>
      </c>
      <c r="E86" s="163">
        <v>0</v>
      </c>
      <c r="F86" s="163">
        <v>0</v>
      </c>
      <c r="G86" s="163">
        <v>12</v>
      </c>
      <c r="H86" s="163">
        <v>635.30999999999995</v>
      </c>
      <c r="I86" s="163">
        <v>30.25</v>
      </c>
      <c r="J86" s="163" t="s">
        <v>518</v>
      </c>
      <c r="K86" s="163">
        <v>30.253299999999999</v>
      </c>
      <c r="L86" s="163" t="s">
        <v>147</v>
      </c>
      <c r="M86" s="163" t="s">
        <v>689</v>
      </c>
      <c r="N86" s="163">
        <v>0</v>
      </c>
      <c r="O86" s="163" t="s">
        <v>690</v>
      </c>
      <c r="P86" s="163" t="s">
        <v>534</v>
      </c>
    </row>
    <row r="87" spans="1:16">
      <c r="A87" s="163" t="s">
        <v>691</v>
      </c>
      <c r="B87" s="163" t="s">
        <v>536</v>
      </c>
      <c r="C87" s="163" t="s">
        <v>144</v>
      </c>
      <c r="D87" s="163">
        <v>15</v>
      </c>
      <c r="E87" s="163">
        <v>0</v>
      </c>
      <c r="F87" s="163">
        <v>0</v>
      </c>
      <c r="G87" s="163">
        <v>12</v>
      </c>
      <c r="H87" s="163">
        <v>352.2</v>
      </c>
      <c r="I87" s="163">
        <v>23.48</v>
      </c>
      <c r="J87" s="163" t="s">
        <v>518</v>
      </c>
      <c r="K87" s="163">
        <v>23.48</v>
      </c>
      <c r="L87" s="163" t="s">
        <v>144</v>
      </c>
      <c r="M87" s="163" t="s">
        <v>692</v>
      </c>
      <c r="N87" s="163">
        <v>0</v>
      </c>
      <c r="O87" s="163" t="s">
        <v>693</v>
      </c>
      <c r="P87" s="163" t="s">
        <v>534</v>
      </c>
    </row>
    <row r="88" spans="1:16">
      <c r="A88" s="163" t="s">
        <v>694</v>
      </c>
      <c r="B88" s="163" t="s">
        <v>536</v>
      </c>
      <c r="C88" s="163" t="s">
        <v>144</v>
      </c>
      <c r="D88" s="163">
        <v>7</v>
      </c>
      <c r="E88" s="163">
        <v>0</v>
      </c>
      <c r="F88" s="163">
        <v>0</v>
      </c>
      <c r="G88" s="163">
        <v>3</v>
      </c>
      <c r="H88" s="163">
        <v>269.77999999999997</v>
      </c>
      <c r="I88" s="163">
        <v>38.54</v>
      </c>
      <c r="J88" s="163" t="s">
        <v>518</v>
      </c>
      <c r="K88" s="163">
        <v>38.54</v>
      </c>
      <c r="L88" s="163" t="s">
        <v>144</v>
      </c>
      <c r="M88" s="163" t="s">
        <v>695</v>
      </c>
      <c r="N88" s="163">
        <v>0</v>
      </c>
      <c r="O88" s="163" t="s">
        <v>696</v>
      </c>
      <c r="P88" s="163" t="s">
        <v>534</v>
      </c>
    </row>
    <row r="89" spans="1:16">
      <c r="A89" s="163" t="s">
        <v>697</v>
      </c>
      <c r="B89" s="163" t="s">
        <v>536</v>
      </c>
      <c r="C89" s="163" t="s">
        <v>144</v>
      </c>
      <c r="D89" s="163">
        <v>20</v>
      </c>
      <c r="E89" s="163">
        <v>0</v>
      </c>
      <c r="F89" s="163">
        <v>0</v>
      </c>
      <c r="G89" s="163">
        <v>3</v>
      </c>
      <c r="H89" s="163">
        <v>280.8</v>
      </c>
      <c r="I89" s="163">
        <v>14.04</v>
      </c>
      <c r="J89" s="163" t="s">
        <v>518</v>
      </c>
      <c r="K89" s="163">
        <v>14.04</v>
      </c>
      <c r="L89" s="163" t="s">
        <v>146</v>
      </c>
      <c r="M89" s="163" t="s">
        <v>698</v>
      </c>
      <c r="N89" s="163">
        <v>0</v>
      </c>
      <c r="O89" s="163" t="s">
        <v>699</v>
      </c>
      <c r="P89" s="163" t="s">
        <v>534</v>
      </c>
    </row>
    <row r="90" spans="1:16">
      <c r="A90" s="163" t="s">
        <v>700</v>
      </c>
      <c r="B90" s="163" t="s">
        <v>536</v>
      </c>
      <c r="C90" s="163" t="s">
        <v>144</v>
      </c>
      <c r="D90" s="163">
        <v>9</v>
      </c>
      <c r="E90" s="163">
        <v>0</v>
      </c>
      <c r="F90" s="163">
        <v>0</v>
      </c>
      <c r="G90" s="163">
        <v>1</v>
      </c>
      <c r="H90" s="163">
        <v>538.47</v>
      </c>
      <c r="I90" s="163">
        <v>59.83</v>
      </c>
      <c r="J90" s="163" t="s">
        <v>518</v>
      </c>
      <c r="K90" s="163">
        <v>59.83</v>
      </c>
      <c r="L90" s="163" t="s">
        <v>147</v>
      </c>
      <c r="M90" s="163" t="s">
        <v>701</v>
      </c>
      <c r="N90" s="163">
        <v>0</v>
      </c>
      <c r="O90" s="163" t="s">
        <v>702</v>
      </c>
      <c r="P90" s="163" t="s">
        <v>534</v>
      </c>
    </row>
    <row r="91" spans="1:16">
      <c r="A91" s="163" t="s">
        <v>703</v>
      </c>
      <c r="B91" s="163" t="s">
        <v>536</v>
      </c>
      <c r="C91" s="163" t="s">
        <v>144</v>
      </c>
      <c r="D91" s="163">
        <v>6</v>
      </c>
      <c r="E91" s="163">
        <v>0</v>
      </c>
      <c r="F91" s="163">
        <v>0</v>
      </c>
      <c r="G91" s="163">
        <v>2</v>
      </c>
      <c r="H91" s="163">
        <v>58.38</v>
      </c>
      <c r="I91" s="163">
        <v>9.73</v>
      </c>
      <c r="J91" s="163" t="s">
        <v>518</v>
      </c>
      <c r="K91" s="163">
        <v>9.73</v>
      </c>
      <c r="L91" s="163" t="s">
        <v>147</v>
      </c>
      <c r="M91" s="163" t="s">
        <v>704</v>
      </c>
      <c r="N91" s="163">
        <v>0</v>
      </c>
      <c r="O91" s="163" t="s">
        <v>687</v>
      </c>
      <c r="P91" s="163" t="s">
        <v>534</v>
      </c>
    </row>
    <row r="92" spans="1:16">
      <c r="A92" s="163" t="s">
        <v>705</v>
      </c>
      <c r="B92" s="163" t="s">
        <v>536</v>
      </c>
      <c r="C92" s="163" t="s">
        <v>144</v>
      </c>
      <c r="D92" s="163">
        <v>6</v>
      </c>
      <c r="E92" s="163">
        <v>0</v>
      </c>
      <c r="F92" s="163">
        <v>0</v>
      </c>
      <c r="G92" s="163">
        <v>3</v>
      </c>
      <c r="H92" s="163">
        <v>2343.3000000000002</v>
      </c>
      <c r="I92" s="163">
        <v>390.55</v>
      </c>
      <c r="J92" s="163" t="s">
        <v>518</v>
      </c>
      <c r="K92" s="163">
        <v>282.2</v>
      </c>
      <c r="L92" s="163" t="s">
        <v>144</v>
      </c>
      <c r="M92" s="163" t="s">
        <v>706</v>
      </c>
      <c r="N92" s="163">
        <v>0</v>
      </c>
      <c r="O92" s="163" t="s">
        <v>707</v>
      </c>
      <c r="P92" s="163" t="s">
        <v>534</v>
      </c>
    </row>
    <row r="93" spans="1:16">
      <c r="A93" s="163" t="s">
        <v>708</v>
      </c>
      <c r="B93" s="163" t="s">
        <v>517</v>
      </c>
      <c r="C93" s="163" t="s">
        <v>144</v>
      </c>
      <c r="D93" s="163">
        <v>6805</v>
      </c>
      <c r="E93" s="163">
        <v>0</v>
      </c>
      <c r="F93" s="163">
        <v>0</v>
      </c>
      <c r="G93" s="163">
        <v>5000</v>
      </c>
      <c r="H93" s="163">
        <v>4456.75</v>
      </c>
      <c r="I93" s="163">
        <v>0.65</v>
      </c>
      <c r="J93" s="163" t="s">
        <v>709</v>
      </c>
      <c r="K93" s="163">
        <v>0.65</v>
      </c>
      <c r="L93" s="163" t="s">
        <v>144</v>
      </c>
      <c r="M93" s="163" t="s">
        <v>710</v>
      </c>
      <c r="N93" s="163">
        <v>0</v>
      </c>
      <c r="O93" s="163" t="s">
        <v>711</v>
      </c>
      <c r="P93" s="163" t="s">
        <v>534</v>
      </c>
    </row>
    <row r="94" spans="1:16">
      <c r="A94" s="163" t="s">
        <v>712</v>
      </c>
      <c r="B94" s="163" t="s">
        <v>517</v>
      </c>
      <c r="C94" s="163" t="s">
        <v>144</v>
      </c>
      <c r="D94" s="163">
        <v>7320</v>
      </c>
      <c r="E94" s="163">
        <v>0</v>
      </c>
      <c r="F94" s="163">
        <v>0</v>
      </c>
      <c r="G94" s="163">
        <v>2000</v>
      </c>
      <c r="H94" s="163">
        <v>10197.5</v>
      </c>
      <c r="I94" s="163">
        <v>1.39</v>
      </c>
      <c r="J94" s="163" t="s">
        <v>709</v>
      </c>
      <c r="K94" s="163">
        <v>1.39</v>
      </c>
      <c r="L94" s="163" t="s">
        <v>144</v>
      </c>
      <c r="M94" s="163" t="s">
        <v>713</v>
      </c>
      <c r="N94" s="163">
        <v>0</v>
      </c>
      <c r="O94" s="163" t="s">
        <v>714</v>
      </c>
      <c r="P94" s="163" t="s">
        <v>534</v>
      </c>
    </row>
    <row r="95" spans="1:16">
      <c r="A95" s="163" t="s">
        <v>715</v>
      </c>
      <c r="B95" s="163" t="s">
        <v>517</v>
      </c>
      <c r="C95" s="163" t="s">
        <v>144</v>
      </c>
      <c r="D95" s="163">
        <v>2000</v>
      </c>
      <c r="E95" s="163">
        <v>0</v>
      </c>
      <c r="F95" s="163">
        <v>0</v>
      </c>
      <c r="G95" s="163">
        <v>500</v>
      </c>
      <c r="H95" s="163">
        <v>2802</v>
      </c>
      <c r="I95" s="163">
        <v>1.4</v>
      </c>
      <c r="J95" s="163" t="s">
        <v>709</v>
      </c>
      <c r="K95" s="163">
        <v>1.4</v>
      </c>
      <c r="L95" s="163" t="s">
        <v>144</v>
      </c>
      <c r="M95" s="163" t="s">
        <v>716</v>
      </c>
      <c r="N95" s="163">
        <v>0</v>
      </c>
      <c r="O95" s="163" t="s">
        <v>717</v>
      </c>
      <c r="P95" s="163" t="s">
        <v>534</v>
      </c>
    </row>
    <row r="96" spans="1:16">
      <c r="A96" s="163" t="s">
        <v>721</v>
      </c>
      <c r="B96" s="163" t="s">
        <v>536</v>
      </c>
      <c r="C96" s="163" t="s">
        <v>144</v>
      </c>
      <c r="D96" s="163">
        <v>2500</v>
      </c>
      <c r="E96" s="163">
        <v>0</v>
      </c>
      <c r="F96" s="163">
        <v>0</v>
      </c>
      <c r="G96" s="163">
        <v>500</v>
      </c>
      <c r="H96" s="163">
        <v>464.03</v>
      </c>
      <c r="I96" s="163">
        <v>0.19</v>
      </c>
      <c r="J96" s="163" t="s">
        <v>709</v>
      </c>
      <c r="K96" s="163">
        <v>0.18609999999999999</v>
      </c>
      <c r="L96" s="163" t="s">
        <v>144</v>
      </c>
      <c r="M96" s="163" t="s">
        <v>722</v>
      </c>
      <c r="N96" s="163">
        <v>0</v>
      </c>
      <c r="O96" s="163" t="s">
        <v>723</v>
      </c>
      <c r="P96" s="163" t="s">
        <v>534</v>
      </c>
    </row>
    <row r="97" spans="1:16">
      <c r="A97" s="163" t="s">
        <v>724</v>
      </c>
      <c r="B97" s="163" t="s">
        <v>536</v>
      </c>
      <c r="C97" s="163" t="s">
        <v>144</v>
      </c>
      <c r="D97" s="163">
        <v>63</v>
      </c>
      <c r="E97" s="163">
        <v>0</v>
      </c>
      <c r="F97" s="163">
        <v>0</v>
      </c>
      <c r="G97" s="163">
        <v>0</v>
      </c>
      <c r="H97" s="163">
        <v>924.84</v>
      </c>
      <c r="I97" s="163">
        <v>14.68</v>
      </c>
      <c r="J97" s="163" t="s">
        <v>709</v>
      </c>
      <c r="K97" s="163">
        <v>14.68</v>
      </c>
      <c r="L97" s="163" t="s">
        <v>144</v>
      </c>
      <c r="M97" s="163" t="s">
        <v>725</v>
      </c>
      <c r="N97" s="163">
        <v>0</v>
      </c>
      <c r="O97" s="163" t="s">
        <v>726</v>
      </c>
      <c r="P97" s="163" t="s">
        <v>534</v>
      </c>
    </row>
    <row r="98" spans="1:16">
      <c r="A98" s="163" t="s">
        <v>727</v>
      </c>
      <c r="B98" s="163" t="s">
        <v>536</v>
      </c>
      <c r="C98" s="163" t="s">
        <v>144</v>
      </c>
      <c r="D98" s="163">
        <v>18</v>
      </c>
      <c r="E98" s="163">
        <v>0</v>
      </c>
      <c r="F98" s="163">
        <v>0</v>
      </c>
      <c r="G98" s="163">
        <v>0</v>
      </c>
      <c r="H98" s="163">
        <v>495</v>
      </c>
      <c r="I98" s="163">
        <v>0</v>
      </c>
      <c r="J98" s="163" t="s">
        <v>709</v>
      </c>
      <c r="K98" s="163">
        <v>27.47</v>
      </c>
      <c r="L98" s="163" t="s">
        <v>144</v>
      </c>
      <c r="M98" s="163" t="s">
        <v>728</v>
      </c>
      <c r="N98" s="163">
        <v>0</v>
      </c>
      <c r="O98" s="163" t="s">
        <v>729</v>
      </c>
      <c r="P98" s="163" t="s">
        <v>534</v>
      </c>
    </row>
    <row r="99" spans="1:16">
      <c r="A99" s="163" t="s">
        <v>730</v>
      </c>
      <c r="B99" s="163" t="s">
        <v>517</v>
      </c>
      <c r="C99" s="163" t="s">
        <v>144</v>
      </c>
      <c r="D99" s="163">
        <v>2</v>
      </c>
      <c r="E99" s="163">
        <v>0</v>
      </c>
      <c r="F99" s="163">
        <v>0</v>
      </c>
      <c r="G99" s="163">
        <v>0</v>
      </c>
      <c r="H99" s="163">
        <v>17001</v>
      </c>
      <c r="I99" s="163">
        <v>8500.5</v>
      </c>
      <c r="J99" s="163" t="s">
        <v>731</v>
      </c>
      <c r="K99" s="163">
        <v>8500.5</v>
      </c>
      <c r="L99" s="163" t="s">
        <v>144</v>
      </c>
      <c r="M99" s="163" t="s">
        <v>732</v>
      </c>
      <c r="N99" s="163">
        <v>0</v>
      </c>
      <c r="O99" s="163" t="s">
        <v>733</v>
      </c>
      <c r="P99" s="163" t="s">
        <v>534</v>
      </c>
    </row>
    <row r="100" spans="1:16">
      <c r="A100" s="163" t="s">
        <v>734</v>
      </c>
      <c r="B100" s="163" t="s">
        <v>536</v>
      </c>
      <c r="C100" s="163" t="s">
        <v>144</v>
      </c>
      <c r="D100" s="163">
        <v>1</v>
      </c>
      <c r="E100" s="163">
        <v>0</v>
      </c>
      <c r="F100" s="163">
        <v>0</v>
      </c>
      <c r="G100" s="163">
        <v>0</v>
      </c>
      <c r="H100" s="163">
        <v>6013.4</v>
      </c>
      <c r="I100" s="163">
        <v>6013.4</v>
      </c>
      <c r="J100" s="163" t="s">
        <v>518</v>
      </c>
      <c r="K100" s="163">
        <v>2889</v>
      </c>
      <c r="L100" s="163" t="s">
        <v>147</v>
      </c>
      <c r="M100" s="163" t="s">
        <v>735</v>
      </c>
      <c r="N100" s="163">
        <v>0</v>
      </c>
      <c r="O100" s="163" t="s">
        <v>736</v>
      </c>
      <c r="P100" s="163" t="s">
        <v>534</v>
      </c>
    </row>
    <row r="101" spans="1:16">
      <c r="A101" s="163" t="s">
        <v>737</v>
      </c>
      <c r="B101" s="163" t="s">
        <v>536</v>
      </c>
      <c r="C101" s="163" t="s">
        <v>144</v>
      </c>
      <c r="D101" s="163">
        <v>2</v>
      </c>
      <c r="E101" s="163">
        <v>0</v>
      </c>
      <c r="F101" s="163">
        <v>0</v>
      </c>
      <c r="G101" s="163">
        <v>0</v>
      </c>
      <c r="H101" s="163">
        <v>54</v>
      </c>
      <c r="I101" s="163">
        <v>27</v>
      </c>
      <c r="J101" s="163" t="s">
        <v>518</v>
      </c>
      <c r="K101" s="163">
        <v>27</v>
      </c>
      <c r="L101" s="163" t="s">
        <v>147</v>
      </c>
      <c r="M101" s="163" t="s">
        <v>738</v>
      </c>
      <c r="N101" s="163">
        <v>0</v>
      </c>
      <c r="O101" s="163" t="s">
        <v>739</v>
      </c>
      <c r="P101" s="163" t="s">
        <v>740</v>
      </c>
    </row>
    <row r="102" spans="1:16">
      <c r="A102" s="163" t="s">
        <v>741</v>
      </c>
      <c r="B102" s="163" t="s">
        <v>536</v>
      </c>
      <c r="C102" s="163" t="s">
        <v>144</v>
      </c>
      <c r="D102" s="163">
        <v>1</v>
      </c>
      <c r="E102" s="163">
        <v>0</v>
      </c>
      <c r="F102" s="163">
        <v>0</v>
      </c>
      <c r="G102" s="163">
        <v>0</v>
      </c>
      <c r="H102" s="163">
        <v>385.2</v>
      </c>
      <c r="I102" s="163">
        <v>385.2</v>
      </c>
      <c r="J102" s="163" t="s">
        <v>518</v>
      </c>
      <c r="K102" s="163">
        <v>53.4</v>
      </c>
      <c r="L102" s="163" t="s">
        <v>147</v>
      </c>
      <c r="M102" s="163" t="s">
        <v>742</v>
      </c>
      <c r="N102" s="163">
        <v>0</v>
      </c>
      <c r="O102" s="163" t="s">
        <v>743</v>
      </c>
      <c r="P102" s="163" t="s">
        <v>740</v>
      </c>
    </row>
    <row r="103" spans="1:16">
      <c r="A103" s="163" t="s">
        <v>744</v>
      </c>
      <c r="B103" s="163" t="s">
        <v>536</v>
      </c>
      <c r="C103" s="163" t="s">
        <v>144</v>
      </c>
      <c r="D103" s="163">
        <v>2</v>
      </c>
      <c r="E103" s="163">
        <v>0</v>
      </c>
      <c r="F103" s="163">
        <v>0</v>
      </c>
      <c r="G103" s="163">
        <v>0</v>
      </c>
      <c r="H103" s="163">
        <v>216</v>
      </c>
      <c r="I103" s="163">
        <v>108</v>
      </c>
      <c r="J103" s="163" t="s">
        <v>518</v>
      </c>
      <c r="K103" s="163">
        <v>108</v>
      </c>
      <c r="L103" s="163" t="s">
        <v>147</v>
      </c>
      <c r="M103" s="163" t="s">
        <v>745</v>
      </c>
      <c r="N103" s="163">
        <v>0</v>
      </c>
      <c r="O103" s="163" t="s">
        <v>743</v>
      </c>
      <c r="P103" s="163" t="s">
        <v>740</v>
      </c>
    </row>
    <row r="104" spans="1:16">
      <c r="A104" s="163" t="s">
        <v>746</v>
      </c>
      <c r="B104" s="163" t="s">
        <v>536</v>
      </c>
      <c r="C104" s="163" t="s">
        <v>144</v>
      </c>
      <c r="D104" s="163">
        <v>1</v>
      </c>
      <c r="E104" s="163">
        <v>0</v>
      </c>
      <c r="F104" s="163">
        <v>0</v>
      </c>
      <c r="G104" s="163">
        <v>0</v>
      </c>
      <c r="H104" s="163">
        <v>1.68</v>
      </c>
      <c r="I104" s="163">
        <v>1.68</v>
      </c>
      <c r="J104" s="163" t="s">
        <v>518</v>
      </c>
      <c r="K104" s="163">
        <v>1.68</v>
      </c>
      <c r="L104" s="163" t="s">
        <v>147</v>
      </c>
      <c r="M104" s="163" t="s">
        <v>747</v>
      </c>
      <c r="N104" s="163">
        <v>0</v>
      </c>
      <c r="O104" s="163" t="s">
        <v>743</v>
      </c>
      <c r="P104" s="163" t="s">
        <v>740</v>
      </c>
    </row>
    <row r="105" spans="1:16">
      <c r="A105" s="163" t="s">
        <v>748</v>
      </c>
      <c r="B105" s="163" t="s">
        <v>536</v>
      </c>
      <c r="C105" s="163" t="s">
        <v>144</v>
      </c>
      <c r="D105" s="163">
        <v>12</v>
      </c>
      <c r="E105" s="163">
        <v>0</v>
      </c>
      <c r="F105" s="163">
        <v>0</v>
      </c>
      <c r="G105" s="163">
        <v>0</v>
      </c>
      <c r="H105" s="163">
        <v>42.6</v>
      </c>
      <c r="I105" s="163">
        <v>3.55</v>
      </c>
      <c r="J105" s="163" t="s">
        <v>518</v>
      </c>
      <c r="K105" s="163">
        <v>3.55</v>
      </c>
      <c r="L105" s="163" t="s">
        <v>147</v>
      </c>
      <c r="M105" s="163" t="s">
        <v>749</v>
      </c>
      <c r="N105" s="163">
        <v>0</v>
      </c>
      <c r="O105" s="163" t="s">
        <v>743</v>
      </c>
      <c r="P105" s="163" t="s">
        <v>740</v>
      </c>
    </row>
    <row r="106" spans="1:16">
      <c r="A106" s="163" t="s">
        <v>750</v>
      </c>
      <c r="B106" s="163" t="s">
        <v>536</v>
      </c>
      <c r="C106" s="163" t="s">
        <v>144</v>
      </c>
      <c r="D106" s="163">
        <v>1</v>
      </c>
      <c r="E106" s="163">
        <v>0</v>
      </c>
      <c r="F106" s="163">
        <v>0</v>
      </c>
      <c r="G106" s="163">
        <v>0</v>
      </c>
      <c r="H106" s="163">
        <v>2.38</v>
      </c>
      <c r="I106" s="163">
        <v>2.38</v>
      </c>
      <c r="J106" s="163" t="s">
        <v>518</v>
      </c>
      <c r="K106" s="163">
        <v>2.38</v>
      </c>
      <c r="L106" s="163" t="s">
        <v>147</v>
      </c>
      <c r="M106" s="163" t="s">
        <v>751</v>
      </c>
      <c r="N106" s="163">
        <v>0</v>
      </c>
      <c r="O106" s="163" t="s">
        <v>743</v>
      </c>
      <c r="P106" s="163" t="s">
        <v>740</v>
      </c>
    </row>
    <row r="107" spans="1:16">
      <c r="A107" s="163" t="s">
        <v>752</v>
      </c>
      <c r="B107" s="163" t="s">
        <v>536</v>
      </c>
      <c r="C107" s="163" t="s">
        <v>144</v>
      </c>
      <c r="D107" s="163">
        <v>14</v>
      </c>
      <c r="E107" s="163">
        <v>0</v>
      </c>
      <c r="F107" s="163">
        <v>0</v>
      </c>
      <c r="G107" s="163">
        <v>0</v>
      </c>
      <c r="H107" s="163">
        <v>35.840000000000003</v>
      </c>
      <c r="I107" s="163">
        <v>2.56</v>
      </c>
      <c r="J107" s="163" t="s">
        <v>518</v>
      </c>
      <c r="K107" s="163">
        <v>2.56</v>
      </c>
      <c r="L107" s="163" t="s">
        <v>147</v>
      </c>
      <c r="M107" s="163" t="s">
        <v>753</v>
      </c>
      <c r="N107" s="163">
        <v>0</v>
      </c>
      <c r="O107" s="163" t="s">
        <v>743</v>
      </c>
      <c r="P107" s="163" t="s">
        <v>740</v>
      </c>
    </row>
    <row r="108" spans="1:16">
      <c r="A108" s="163" t="s">
        <v>754</v>
      </c>
      <c r="B108" s="163" t="s">
        <v>536</v>
      </c>
      <c r="C108" s="163" t="s">
        <v>144</v>
      </c>
      <c r="D108" s="163">
        <v>1</v>
      </c>
      <c r="E108" s="163">
        <v>0</v>
      </c>
      <c r="F108" s="163">
        <v>0</v>
      </c>
      <c r="G108" s="163">
        <v>0</v>
      </c>
      <c r="H108" s="163">
        <v>1954.89</v>
      </c>
      <c r="I108" s="163">
        <v>1954.89</v>
      </c>
      <c r="J108" s="163" t="s">
        <v>518</v>
      </c>
      <c r="K108" s="163">
        <v>1954.89</v>
      </c>
      <c r="L108" s="163" t="s">
        <v>147</v>
      </c>
      <c r="M108" s="163" t="s">
        <v>755</v>
      </c>
      <c r="N108" s="163">
        <v>0</v>
      </c>
      <c r="O108" s="163" t="s">
        <v>756</v>
      </c>
      <c r="P108" s="163" t="s">
        <v>740</v>
      </c>
    </row>
    <row r="109" spans="1:16">
      <c r="A109" s="163" t="s">
        <v>757</v>
      </c>
      <c r="B109" s="163" t="s">
        <v>536</v>
      </c>
      <c r="C109" s="163" t="s">
        <v>144</v>
      </c>
      <c r="D109" s="163">
        <v>1</v>
      </c>
      <c r="E109" s="163">
        <v>0</v>
      </c>
      <c r="F109" s="163">
        <v>0</v>
      </c>
      <c r="G109" s="163">
        <v>0</v>
      </c>
      <c r="H109" s="163">
        <v>4745</v>
      </c>
      <c r="I109" s="163">
        <v>0</v>
      </c>
      <c r="J109" s="163" t="s">
        <v>518</v>
      </c>
      <c r="K109" s="163">
        <v>4745</v>
      </c>
      <c r="L109" s="163" t="s">
        <v>147</v>
      </c>
      <c r="M109" s="163" t="s">
        <v>758</v>
      </c>
      <c r="N109" s="163">
        <v>0</v>
      </c>
      <c r="O109" s="163" t="s">
        <v>759</v>
      </c>
      <c r="P109" s="163" t="s">
        <v>740</v>
      </c>
    </row>
    <row r="110" spans="1:16">
      <c r="A110" s="163" t="s">
        <v>763</v>
      </c>
      <c r="B110" s="163" t="s">
        <v>536</v>
      </c>
      <c r="C110" s="163" t="s">
        <v>144</v>
      </c>
      <c r="D110" s="163">
        <v>4</v>
      </c>
      <c r="E110" s="163">
        <v>0</v>
      </c>
      <c r="F110" s="163">
        <v>0</v>
      </c>
      <c r="G110" s="163">
        <v>0</v>
      </c>
      <c r="H110" s="163">
        <v>100</v>
      </c>
      <c r="I110" s="163">
        <v>25</v>
      </c>
      <c r="J110" s="163" t="s">
        <v>518</v>
      </c>
      <c r="K110" s="163">
        <v>25</v>
      </c>
      <c r="L110" s="163" t="s">
        <v>147</v>
      </c>
      <c r="M110" s="163" t="s">
        <v>764</v>
      </c>
      <c r="N110" s="163">
        <v>0</v>
      </c>
      <c r="O110" s="163" t="s">
        <v>743</v>
      </c>
      <c r="P110" s="163" t="s">
        <v>740</v>
      </c>
    </row>
    <row r="111" spans="1:16">
      <c r="A111" s="163" t="s">
        <v>765</v>
      </c>
      <c r="B111" s="163" t="s">
        <v>536</v>
      </c>
      <c r="C111" s="163" t="s">
        <v>144</v>
      </c>
      <c r="D111" s="163">
        <v>1</v>
      </c>
      <c r="E111" s="163">
        <v>0</v>
      </c>
      <c r="F111" s="163">
        <v>0</v>
      </c>
      <c r="G111" s="163">
        <v>0</v>
      </c>
      <c r="H111" s="163">
        <v>30</v>
      </c>
      <c r="I111" s="163">
        <v>30</v>
      </c>
      <c r="J111" s="163" t="s">
        <v>518</v>
      </c>
      <c r="K111" s="163">
        <v>30</v>
      </c>
      <c r="L111" s="163" t="s">
        <v>147</v>
      </c>
      <c r="M111" s="163" t="s">
        <v>766</v>
      </c>
      <c r="N111" s="163">
        <v>0</v>
      </c>
      <c r="O111" s="163" t="s">
        <v>767</v>
      </c>
      <c r="P111" s="163" t="s">
        <v>740</v>
      </c>
    </row>
    <row r="112" spans="1:16">
      <c r="A112" s="163" t="s">
        <v>768</v>
      </c>
      <c r="B112" s="163" t="s">
        <v>536</v>
      </c>
      <c r="C112" s="163" t="s">
        <v>144</v>
      </c>
      <c r="D112" s="163">
        <v>3</v>
      </c>
      <c r="E112" s="163">
        <v>0</v>
      </c>
      <c r="F112" s="163">
        <v>0</v>
      </c>
      <c r="G112" s="163">
        <v>0</v>
      </c>
      <c r="H112" s="163">
        <v>412.63979999999998</v>
      </c>
      <c r="I112" s="163">
        <v>137.54660000000001</v>
      </c>
      <c r="J112" s="163" t="s">
        <v>518</v>
      </c>
      <c r="K112" s="163">
        <v>137.54660000000001</v>
      </c>
      <c r="L112" s="163" t="s">
        <v>147</v>
      </c>
      <c r="M112" s="163" t="s">
        <v>769</v>
      </c>
      <c r="N112" s="163">
        <v>0</v>
      </c>
      <c r="O112" s="163" t="s">
        <v>767</v>
      </c>
      <c r="P112" s="163" t="s">
        <v>740</v>
      </c>
    </row>
    <row r="113" spans="1:16">
      <c r="A113" s="163" t="s">
        <v>770</v>
      </c>
      <c r="B113" s="163" t="s">
        <v>536</v>
      </c>
      <c r="C113" s="163" t="s">
        <v>144</v>
      </c>
      <c r="D113" s="163">
        <v>1</v>
      </c>
      <c r="E113" s="163">
        <v>0</v>
      </c>
      <c r="F113" s="163">
        <v>0</v>
      </c>
      <c r="G113" s="163">
        <v>0</v>
      </c>
      <c r="H113" s="163">
        <v>36</v>
      </c>
      <c r="I113" s="163">
        <v>36</v>
      </c>
      <c r="J113" s="163" t="s">
        <v>518</v>
      </c>
      <c r="K113" s="163">
        <v>36</v>
      </c>
      <c r="L113" s="163" t="s">
        <v>147</v>
      </c>
      <c r="M113" s="163" t="s">
        <v>771</v>
      </c>
      <c r="N113" s="163">
        <v>0</v>
      </c>
      <c r="O113" s="163" t="s">
        <v>767</v>
      </c>
      <c r="P113" s="163" t="s">
        <v>740</v>
      </c>
    </row>
    <row r="114" spans="1:16">
      <c r="A114" s="163" t="s">
        <v>772</v>
      </c>
      <c r="B114" s="163" t="s">
        <v>536</v>
      </c>
      <c r="C114" s="163" t="s">
        <v>144</v>
      </c>
      <c r="D114" s="163">
        <v>1</v>
      </c>
      <c r="E114" s="163">
        <v>0</v>
      </c>
      <c r="F114" s="163">
        <v>0</v>
      </c>
      <c r="G114" s="163">
        <v>0</v>
      </c>
      <c r="H114" s="163">
        <v>36</v>
      </c>
      <c r="I114" s="163">
        <v>36</v>
      </c>
      <c r="J114" s="163" t="s">
        <v>518</v>
      </c>
      <c r="K114" s="163">
        <v>36</v>
      </c>
      <c r="L114" s="163" t="s">
        <v>147</v>
      </c>
      <c r="M114" s="163" t="s">
        <v>773</v>
      </c>
      <c r="N114" s="163">
        <v>0</v>
      </c>
      <c r="O114" s="163" t="s">
        <v>767</v>
      </c>
      <c r="P114" s="163" t="s">
        <v>740</v>
      </c>
    </row>
    <row r="115" spans="1:16">
      <c r="A115" s="163" t="s">
        <v>774</v>
      </c>
      <c r="B115" s="163" t="s">
        <v>536</v>
      </c>
      <c r="C115" s="163" t="s">
        <v>144</v>
      </c>
      <c r="D115" s="163">
        <v>2</v>
      </c>
      <c r="E115" s="163">
        <v>0</v>
      </c>
      <c r="F115" s="163">
        <v>0</v>
      </c>
      <c r="G115" s="163">
        <v>0</v>
      </c>
      <c r="H115" s="163">
        <v>80</v>
      </c>
      <c r="I115" s="163">
        <v>40</v>
      </c>
      <c r="J115" s="163" t="s">
        <v>518</v>
      </c>
      <c r="K115" s="163">
        <v>40</v>
      </c>
      <c r="L115" s="163" t="s">
        <v>147</v>
      </c>
      <c r="M115" s="163" t="s">
        <v>775</v>
      </c>
      <c r="N115" s="163">
        <v>0</v>
      </c>
      <c r="O115" s="163" t="s">
        <v>767</v>
      </c>
      <c r="P115" s="163" t="s">
        <v>740</v>
      </c>
    </row>
    <row r="116" spans="1:16">
      <c r="A116" s="163" t="s">
        <v>776</v>
      </c>
      <c r="B116" s="163" t="s">
        <v>536</v>
      </c>
      <c r="C116" s="163" t="s">
        <v>144</v>
      </c>
      <c r="D116" s="163">
        <v>3</v>
      </c>
      <c r="E116" s="163">
        <v>0</v>
      </c>
      <c r="F116" s="163">
        <v>0</v>
      </c>
      <c r="G116" s="163">
        <v>0</v>
      </c>
      <c r="H116" s="163">
        <v>4567.5</v>
      </c>
      <c r="I116" s="163">
        <v>1522.5</v>
      </c>
      <c r="J116" s="163" t="s">
        <v>518</v>
      </c>
      <c r="K116" s="163">
        <v>1522.5</v>
      </c>
      <c r="L116" s="163" t="s">
        <v>147</v>
      </c>
      <c r="M116" s="163" t="s">
        <v>777</v>
      </c>
      <c r="N116" s="163">
        <v>0</v>
      </c>
      <c r="O116" s="163" t="s">
        <v>778</v>
      </c>
      <c r="P116" s="163" t="s">
        <v>740</v>
      </c>
    </row>
    <row r="117" spans="1:16">
      <c r="A117" s="163" t="s">
        <v>779</v>
      </c>
      <c r="B117" s="163" t="s">
        <v>536</v>
      </c>
      <c r="C117" s="163" t="s">
        <v>144</v>
      </c>
      <c r="D117" s="163">
        <v>1</v>
      </c>
      <c r="E117" s="163">
        <v>0</v>
      </c>
      <c r="F117" s="163">
        <v>0</v>
      </c>
      <c r="G117" s="163">
        <v>0</v>
      </c>
      <c r="H117" s="163">
        <v>15375</v>
      </c>
      <c r="I117" s="163">
        <v>15375</v>
      </c>
      <c r="J117" s="163" t="s">
        <v>518</v>
      </c>
      <c r="K117" s="163">
        <v>15375</v>
      </c>
      <c r="L117" s="163" t="s">
        <v>147</v>
      </c>
      <c r="M117" s="163" t="s">
        <v>780</v>
      </c>
      <c r="N117" s="163">
        <v>0</v>
      </c>
      <c r="O117" s="163" t="s">
        <v>781</v>
      </c>
      <c r="P117" s="163" t="s">
        <v>740</v>
      </c>
    </row>
    <row r="118" spans="1:16">
      <c r="A118" s="163" t="s">
        <v>782</v>
      </c>
      <c r="B118" s="163" t="s">
        <v>536</v>
      </c>
      <c r="C118" s="163" t="s">
        <v>144</v>
      </c>
      <c r="D118" s="163">
        <v>1</v>
      </c>
      <c r="E118" s="163">
        <v>0</v>
      </c>
      <c r="F118" s="163">
        <v>0</v>
      </c>
      <c r="G118" s="163">
        <v>0</v>
      </c>
      <c r="H118" s="163">
        <v>2768</v>
      </c>
      <c r="I118" s="163">
        <v>2768</v>
      </c>
      <c r="J118" s="163" t="s">
        <v>518</v>
      </c>
      <c r="K118" s="163">
        <v>2768</v>
      </c>
      <c r="L118" s="163" t="s">
        <v>147</v>
      </c>
      <c r="M118" s="163" t="s">
        <v>783</v>
      </c>
      <c r="N118" s="163">
        <v>0</v>
      </c>
      <c r="O118" s="163" t="s">
        <v>784</v>
      </c>
      <c r="P118" s="163" t="s">
        <v>740</v>
      </c>
    </row>
    <row r="119" spans="1:16">
      <c r="A119" s="163" t="s">
        <v>785</v>
      </c>
      <c r="B119" s="163" t="s">
        <v>536</v>
      </c>
      <c r="C119" s="163" t="s">
        <v>144</v>
      </c>
      <c r="D119" s="163">
        <v>3</v>
      </c>
      <c r="E119" s="163">
        <v>0</v>
      </c>
      <c r="F119" s="163">
        <v>0</v>
      </c>
      <c r="G119" s="163">
        <v>0</v>
      </c>
      <c r="H119" s="163">
        <v>3762</v>
      </c>
      <c r="I119" s="163">
        <v>1254</v>
      </c>
      <c r="J119" s="163" t="s">
        <v>518</v>
      </c>
      <c r="K119" s="163">
        <v>1254</v>
      </c>
      <c r="L119" s="163" t="s">
        <v>147</v>
      </c>
      <c r="M119" s="163" t="s">
        <v>786</v>
      </c>
      <c r="N119" s="163">
        <v>0</v>
      </c>
      <c r="O119" s="163" t="s">
        <v>756</v>
      </c>
      <c r="P119" s="163" t="s">
        <v>740</v>
      </c>
    </row>
    <row r="120" spans="1:16">
      <c r="A120" s="163" t="s">
        <v>787</v>
      </c>
      <c r="B120" s="163" t="s">
        <v>536</v>
      </c>
      <c r="C120" s="163" t="s">
        <v>144</v>
      </c>
      <c r="D120" s="163">
        <v>1</v>
      </c>
      <c r="E120" s="163">
        <v>0</v>
      </c>
      <c r="F120" s="163">
        <v>0</v>
      </c>
      <c r="G120" s="163">
        <v>0</v>
      </c>
      <c r="H120" s="163">
        <v>1815.45</v>
      </c>
      <c r="I120" s="163">
        <v>1815.45</v>
      </c>
      <c r="J120" s="163" t="s">
        <v>518</v>
      </c>
      <c r="K120" s="163">
        <v>1815.45</v>
      </c>
      <c r="L120" s="163" t="s">
        <v>147</v>
      </c>
      <c r="M120" s="163" t="s">
        <v>788</v>
      </c>
      <c r="N120" s="163">
        <v>0</v>
      </c>
      <c r="O120" s="163" t="s">
        <v>789</v>
      </c>
      <c r="P120" s="163" t="s">
        <v>740</v>
      </c>
    </row>
    <row r="121" spans="1:16">
      <c r="A121" s="163" t="s">
        <v>790</v>
      </c>
      <c r="B121" s="163" t="s">
        <v>536</v>
      </c>
      <c r="C121" s="163" t="s">
        <v>144</v>
      </c>
      <c r="D121" s="163">
        <v>1</v>
      </c>
      <c r="E121" s="163">
        <v>0</v>
      </c>
      <c r="F121" s="163">
        <v>0</v>
      </c>
      <c r="G121" s="163">
        <v>0</v>
      </c>
      <c r="H121" s="163">
        <v>5000</v>
      </c>
      <c r="I121" s="163">
        <v>5000</v>
      </c>
      <c r="J121" s="163" t="s">
        <v>518</v>
      </c>
      <c r="K121" s="163">
        <v>5000</v>
      </c>
      <c r="L121" s="163" t="s">
        <v>147</v>
      </c>
      <c r="M121" s="163" t="s">
        <v>791</v>
      </c>
      <c r="N121" s="163">
        <v>0</v>
      </c>
      <c r="O121" s="163" t="s">
        <v>792</v>
      </c>
      <c r="P121" s="163" t="s">
        <v>740</v>
      </c>
    </row>
    <row r="122" spans="1:16">
      <c r="A122" s="163" t="s">
        <v>793</v>
      </c>
      <c r="B122" s="163" t="s">
        <v>536</v>
      </c>
      <c r="C122" s="163" t="s">
        <v>144</v>
      </c>
      <c r="D122" s="163">
        <v>1</v>
      </c>
      <c r="E122" s="163">
        <v>0</v>
      </c>
      <c r="F122" s="163">
        <v>0</v>
      </c>
      <c r="G122" s="163">
        <v>0</v>
      </c>
      <c r="H122" s="163">
        <v>6398.6</v>
      </c>
      <c r="I122" s="163">
        <v>6398.6</v>
      </c>
      <c r="J122" s="163" t="s">
        <v>518</v>
      </c>
      <c r="K122" s="163">
        <v>6398.6</v>
      </c>
      <c r="L122" s="163" t="s">
        <v>147</v>
      </c>
      <c r="M122" s="163" t="s">
        <v>794</v>
      </c>
      <c r="N122" s="163">
        <v>0</v>
      </c>
      <c r="O122" s="163" t="s">
        <v>795</v>
      </c>
      <c r="P122" s="163" t="s">
        <v>740</v>
      </c>
    </row>
    <row r="123" spans="1:16">
      <c r="A123" s="163" t="s">
        <v>799</v>
      </c>
      <c r="B123" s="163" t="s">
        <v>536</v>
      </c>
      <c r="C123" s="163" t="s">
        <v>144</v>
      </c>
      <c r="D123" s="163">
        <v>1</v>
      </c>
      <c r="E123" s="163">
        <v>0</v>
      </c>
      <c r="F123" s="163">
        <v>0</v>
      </c>
      <c r="G123" s="163">
        <v>0</v>
      </c>
      <c r="H123" s="163">
        <v>364</v>
      </c>
      <c r="I123" s="163">
        <v>364</v>
      </c>
      <c r="J123" s="163" t="s">
        <v>518</v>
      </c>
      <c r="K123" s="163">
        <v>364</v>
      </c>
      <c r="L123" s="163" t="s">
        <v>147</v>
      </c>
      <c r="M123" s="163" t="s">
        <v>800</v>
      </c>
      <c r="N123" s="163">
        <v>0</v>
      </c>
      <c r="O123" s="163" t="s">
        <v>801</v>
      </c>
      <c r="P123" s="163" t="s">
        <v>740</v>
      </c>
    </row>
    <row r="124" spans="1:16">
      <c r="A124" s="163" t="s">
        <v>802</v>
      </c>
      <c r="B124" s="163" t="s">
        <v>536</v>
      </c>
      <c r="C124" s="163" t="s">
        <v>144</v>
      </c>
      <c r="D124" s="163">
        <v>1</v>
      </c>
      <c r="E124" s="163">
        <v>0</v>
      </c>
      <c r="F124" s="163">
        <v>0</v>
      </c>
      <c r="G124" s="163">
        <v>0</v>
      </c>
      <c r="H124" s="163">
        <v>119</v>
      </c>
      <c r="I124" s="163">
        <v>119</v>
      </c>
      <c r="J124" s="163" t="s">
        <v>518</v>
      </c>
      <c r="K124" s="163">
        <v>119</v>
      </c>
      <c r="L124" s="163" t="s">
        <v>147</v>
      </c>
      <c r="M124" s="163" t="s">
        <v>803</v>
      </c>
      <c r="N124" s="163">
        <v>0</v>
      </c>
      <c r="O124" s="163" t="s">
        <v>801</v>
      </c>
      <c r="P124" s="163" t="s">
        <v>740</v>
      </c>
    </row>
    <row r="125" spans="1:16">
      <c r="A125" s="163" t="s">
        <v>804</v>
      </c>
      <c r="B125" s="163" t="s">
        <v>536</v>
      </c>
      <c r="C125" s="163" t="s">
        <v>144</v>
      </c>
      <c r="D125" s="163">
        <v>1</v>
      </c>
      <c r="E125" s="163">
        <v>0</v>
      </c>
      <c r="F125" s="163">
        <v>0</v>
      </c>
      <c r="G125" s="163">
        <v>0</v>
      </c>
      <c r="H125" s="163">
        <v>298.52999999999997</v>
      </c>
      <c r="I125" s="163">
        <v>298.52999999999997</v>
      </c>
      <c r="J125" s="163" t="s">
        <v>518</v>
      </c>
      <c r="K125" s="163">
        <v>148.72999999999999</v>
      </c>
      <c r="L125" s="163" t="s">
        <v>147</v>
      </c>
      <c r="M125" s="163" t="s">
        <v>805</v>
      </c>
      <c r="N125" s="163">
        <v>0</v>
      </c>
      <c r="O125" s="163" t="s">
        <v>806</v>
      </c>
      <c r="P125" s="163" t="s">
        <v>740</v>
      </c>
    </row>
    <row r="126" spans="1:16">
      <c r="A126" s="163" t="s">
        <v>807</v>
      </c>
      <c r="B126" s="163" t="s">
        <v>536</v>
      </c>
      <c r="C126" s="163" t="s">
        <v>144</v>
      </c>
      <c r="D126" s="163">
        <v>8</v>
      </c>
      <c r="E126" s="163">
        <v>0</v>
      </c>
      <c r="F126" s="163">
        <v>0</v>
      </c>
      <c r="G126" s="163">
        <v>1</v>
      </c>
      <c r="H126" s="163">
        <v>59.56</v>
      </c>
      <c r="I126" s="163">
        <v>7.44</v>
      </c>
      <c r="J126" s="163" t="s">
        <v>545</v>
      </c>
      <c r="K126" s="163">
        <v>7.4444999999999997</v>
      </c>
      <c r="L126" s="163" t="s">
        <v>147</v>
      </c>
      <c r="M126" s="163" t="s">
        <v>808</v>
      </c>
      <c r="N126" s="163">
        <v>0</v>
      </c>
      <c r="O126" s="163" t="s">
        <v>806</v>
      </c>
      <c r="P126" s="163" t="s">
        <v>740</v>
      </c>
    </row>
    <row r="127" spans="1:16">
      <c r="A127" s="163" t="s">
        <v>809</v>
      </c>
      <c r="B127" s="163" t="s">
        <v>536</v>
      </c>
      <c r="C127" s="163" t="s">
        <v>144</v>
      </c>
      <c r="D127" s="163">
        <v>2</v>
      </c>
      <c r="E127" s="163">
        <v>0</v>
      </c>
      <c r="F127" s="163">
        <v>0</v>
      </c>
      <c r="G127" s="163">
        <v>1</v>
      </c>
      <c r="H127" s="163">
        <v>57.75</v>
      </c>
      <c r="I127" s="163">
        <v>28.875</v>
      </c>
      <c r="J127" s="163" t="s">
        <v>518</v>
      </c>
      <c r="K127" s="163">
        <v>28.875</v>
      </c>
      <c r="L127" s="163" t="s">
        <v>147</v>
      </c>
      <c r="M127" s="163" t="s">
        <v>810</v>
      </c>
      <c r="N127" s="163">
        <v>0</v>
      </c>
      <c r="O127" s="163" t="s">
        <v>743</v>
      </c>
      <c r="P127" s="163" t="s">
        <v>740</v>
      </c>
    </row>
    <row r="128" spans="1:16">
      <c r="A128" s="163" t="s">
        <v>811</v>
      </c>
      <c r="B128" s="163" t="s">
        <v>536</v>
      </c>
      <c r="C128" s="163" t="s">
        <v>144</v>
      </c>
      <c r="D128" s="163">
        <v>2</v>
      </c>
      <c r="E128" s="163">
        <v>0</v>
      </c>
      <c r="F128" s="163">
        <v>0</v>
      </c>
      <c r="G128" s="163">
        <v>1</v>
      </c>
      <c r="H128" s="163">
        <v>1493.64</v>
      </c>
      <c r="I128" s="163">
        <v>746.81</v>
      </c>
      <c r="J128" s="163" t="s">
        <v>518</v>
      </c>
      <c r="K128" s="163">
        <v>746.8125</v>
      </c>
      <c r="L128" s="163" t="s">
        <v>147</v>
      </c>
      <c r="M128" s="163" t="s">
        <v>812</v>
      </c>
      <c r="N128" s="163">
        <v>0</v>
      </c>
      <c r="O128" s="163" t="s">
        <v>743</v>
      </c>
      <c r="P128" s="163" t="s">
        <v>740</v>
      </c>
    </row>
    <row r="129" spans="1:16">
      <c r="A129" s="163" t="s">
        <v>825</v>
      </c>
      <c r="B129" s="163" t="s">
        <v>536</v>
      </c>
      <c r="C129" s="163" t="s">
        <v>144</v>
      </c>
      <c r="D129" s="163">
        <v>4</v>
      </c>
      <c r="E129" s="163">
        <v>0</v>
      </c>
      <c r="F129" s="163">
        <v>0</v>
      </c>
      <c r="G129" s="163">
        <v>0</v>
      </c>
      <c r="H129" s="163">
        <v>131.44</v>
      </c>
      <c r="I129" s="163">
        <v>32.86</v>
      </c>
      <c r="J129" s="163" t="s">
        <v>518</v>
      </c>
      <c r="K129" s="163">
        <v>32.86</v>
      </c>
      <c r="L129" s="163" t="s">
        <v>147</v>
      </c>
      <c r="M129" s="163" t="s">
        <v>826</v>
      </c>
      <c r="N129" s="163">
        <v>0</v>
      </c>
      <c r="O129" s="163" t="s">
        <v>827</v>
      </c>
      <c r="P129" s="163" t="s">
        <v>740</v>
      </c>
    </row>
    <row r="130" spans="1:16">
      <c r="A130" s="163" t="s">
        <v>828</v>
      </c>
      <c r="B130" s="163" t="s">
        <v>536</v>
      </c>
      <c r="C130" s="163" t="s">
        <v>144</v>
      </c>
      <c r="D130" s="163">
        <v>1</v>
      </c>
      <c r="E130" s="163">
        <v>0</v>
      </c>
      <c r="F130" s="163">
        <v>0</v>
      </c>
      <c r="G130" s="163">
        <v>0</v>
      </c>
      <c r="H130" s="163">
        <v>1689.53</v>
      </c>
      <c r="I130" s="163">
        <v>1689.53</v>
      </c>
      <c r="J130" s="163" t="s">
        <v>518</v>
      </c>
      <c r="K130" s="163">
        <v>1689.53</v>
      </c>
      <c r="L130" s="163" t="s">
        <v>147</v>
      </c>
      <c r="M130" s="163" t="s">
        <v>829</v>
      </c>
      <c r="N130" s="163">
        <v>0</v>
      </c>
      <c r="O130" s="163" t="s">
        <v>767</v>
      </c>
      <c r="P130" s="163" t="s">
        <v>740</v>
      </c>
    </row>
    <row r="131" spans="1:16">
      <c r="A131" s="163" t="s">
        <v>830</v>
      </c>
      <c r="B131" s="163" t="s">
        <v>536</v>
      </c>
      <c r="C131" s="163" t="s">
        <v>144</v>
      </c>
      <c r="D131" s="163">
        <v>1</v>
      </c>
      <c r="E131" s="163">
        <v>0</v>
      </c>
      <c r="F131" s="163">
        <v>0</v>
      </c>
      <c r="G131" s="163">
        <v>0</v>
      </c>
      <c r="H131" s="163">
        <v>1816.86</v>
      </c>
      <c r="I131" s="163">
        <v>1816.86</v>
      </c>
      <c r="J131" s="163" t="s">
        <v>518</v>
      </c>
      <c r="K131" s="163">
        <v>1816.86</v>
      </c>
      <c r="L131" s="163" t="s">
        <v>147</v>
      </c>
      <c r="M131" s="163" t="s">
        <v>831</v>
      </c>
      <c r="N131" s="163">
        <v>0</v>
      </c>
      <c r="O131" s="163" t="s">
        <v>778</v>
      </c>
      <c r="P131" s="163" t="s">
        <v>740</v>
      </c>
    </row>
    <row r="132" spans="1:16">
      <c r="A132" s="163" t="s">
        <v>832</v>
      </c>
      <c r="B132" s="163" t="s">
        <v>536</v>
      </c>
      <c r="C132" s="163" t="s">
        <v>144</v>
      </c>
      <c r="D132" s="163">
        <v>3</v>
      </c>
      <c r="E132" s="163">
        <v>0</v>
      </c>
      <c r="F132" s="163">
        <v>0</v>
      </c>
      <c r="G132" s="163">
        <v>0</v>
      </c>
      <c r="H132" s="163">
        <v>1998.97</v>
      </c>
      <c r="I132" s="163">
        <v>683.73</v>
      </c>
      <c r="J132" s="163" t="s">
        <v>518</v>
      </c>
      <c r="K132" s="163">
        <v>422.65</v>
      </c>
      <c r="L132" s="163" t="s">
        <v>146</v>
      </c>
      <c r="M132" s="163" t="s">
        <v>878</v>
      </c>
      <c r="N132" s="163">
        <v>0</v>
      </c>
      <c r="O132" s="163" t="s">
        <v>833</v>
      </c>
      <c r="P132" s="163" t="s">
        <v>740</v>
      </c>
    </row>
    <row r="133" spans="1:16">
      <c r="A133" s="163" t="s">
        <v>623</v>
      </c>
      <c r="B133" s="163" t="s">
        <v>536</v>
      </c>
      <c r="C133" s="163" t="s">
        <v>144</v>
      </c>
      <c r="D133" s="163">
        <v>11</v>
      </c>
      <c r="E133" s="163">
        <v>0</v>
      </c>
      <c r="F133" s="163">
        <v>0</v>
      </c>
      <c r="G133" s="163">
        <v>0</v>
      </c>
      <c r="H133" s="163">
        <v>48.4</v>
      </c>
      <c r="I133" s="163">
        <v>4.4000000000000004</v>
      </c>
      <c r="J133" s="163" t="s">
        <v>518</v>
      </c>
      <c r="K133" s="163">
        <v>4.4000000000000004</v>
      </c>
      <c r="L133" s="163" t="s">
        <v>147</v>
      </c>
      <c r="M133" s="163" t="s">
        <v>624</v>
      </c>
      <c r="N133" s="163">
        <v>0</v>
      </c>
      <c r="O133" s="163" t="s">
        <v>541</v>
      </c>
      <c r="P133" s="163" t="s">
        <v>534</v>
      </c>
    </row>
    <row r="134" spans="1:16">
      <c r="A134" s="163" t="s">
        <v>625</v>
      </c>
      <c r="B134" s="163" t="s">
        <v>536</v>
      </c>
      <c r="C134" s="163" t="s">
        <v>144</v>
      </c>
      <c r="D134" s="163">
        <v>11</v>
      </c>
      <c r="E134" s="163">
        <v>0</v>
      </c>
      <c r="F134" s="163">
        <v>0</v>
      </c>
      <c r="G134" s="163">
        <v>0</v>
      </c>
      <c r="H134" s="163">
        <v>90.64</v>
      </c>
      <c r="I134" s="163">
        <v>8.24</v>
      </c>
      <c r="J134" s="163" t="s">
        <v>518</v>
      </c>
      <c r="K134" s="163">
        <v>8.24</v>
      </c>
      <c r="L134" s="163" t="s">
        <v>147</v>
      </c>
      <c r="M134" s="163" t="s">
        <v>626</v>
      </c>
      <c r="N134" s="163">
        <v>0</v>
      </c>
      <c r="O134" s="163" t="s">
        <v>627</v>
      </c>
      <c r="P134" s="163" t="s">
        <v>534</v>
      </c>
    </row>
    <row r="135" spans="1:16">
      <c r="A135" s="163" t="s">
        <v>673</v>
      </c>
      <c r="B135" s="163" t="s">
        <v>536</v>
      </c>
      <c r="C135" s="163" t="s">
        <v>144</v>
      </c>
      <c r="D135" s="163">
        <v>38</v>
      </c>
      <c r="E135" s="163">
        <v>0</v>
      </c>
      <c r="F135" s="163">
        <v>0</v>
      </c>
      <c r="G135" s="163">
        <v>5</v>
      </c>
      <c r="H135" s="163">
        <v>385.21</v>
      </c>
      <c r="I135" s="163">
        <v>8.0299999999999994</v>
      </c>
      <c r="J135" s="163" t="s">
        <v>518</v>
      </c>
      <c r="K135" s="163">
        <v>27.724499999999999</v>
      </c>
      <c r="L135" s="163" t="s">
        <v>145</v>
      </c>
      <c r="M135" s="163" t="s">
        <v>674</v>
      </c>
      <c r="N135" s="163">
        <v>0</v>
      </c>
      <c r="O135" s="163" t="s">
        <v>675</v>
      </c>
      <c r="P135" s="163" t="s">
        <v>534</v>
      </c>
    </row>
    <row r="136" spans="1:16">
      <c r="A136" s="163" t="s">
        <v>682</v>
      </c>
      <c r="B136" s="163" t="s">
        <v>536</v>
      </c>
      <c r="C136" s="163" t="s">
        <v>144</v>
      </c>
      <c r="D136" s="163">
        <v>17</v>
      </c>
      <c r="E136" s="163">
        <v>0</v>
      </c>
      <c r="F136" s="163">
        <v>0</v>
      </c>
      <c r="G136" s="163">
        <v>6</v>
      </c>
      <c r="H136" s="163">
        <v>184.32</v>
      </c>
      <c r="I136" s="163">
        <v>12.53</v>
      </c>
      <c r="J136" s="163" t="s">
        <v>518</v>
      </c>
      <c r="K136" s="163">
        <v>8.9685000000000006</v>
      </c>
      <c r="L136" s="163" t="s">
        <v>147</v>
      </c>
      <c r="M136" s="163" t="s">
        <v>683</v>
      </c>
      <c r="N136" s="163">
        <v>0</v>
      </c>
      <c r="O136" s="163" t="s">
        <v>684</v>
      </c>
      <c r="P136" s="163" t="s">
        <v>534</v>
      </c>
    </row>
    <row r="137" spans="1:16">
      <c r="A137" s="163" t="s">
        <v>718</v>
      </c>
      <c r="B137" s="163" t="s">
        <v>536</v>
      </c>
      <c r="C137" s="163" t="s">
        <v>144</v>
      </c>
      <c r="D137" s="163">
        <v>2000</v>
      </c>
      <c r="E137" s="163">
        <v>0</v>
      </c>
      <c r="F137" s="163">
        <v>0</v>
      </c>
      <c r="G137" s="163">
        <v>200</v>
      </c>
      <c r="H137" s="163">
        <v>848.23</v>
      </c>
      <c r="I137" s="163">
        <v>0.42</v>
      </c>
      <c r="J137" s="163" t="s">
        <v>709</v>
      </c>
      <c r="K137" s="163">
        <v>0.4269</v>
      </c>
      <c r="L137" s="163" t="s">
        <v>144</v>
      </c>
      <c r="M137" s="163" t="s">
        <v>719</v>
      </c>
      <c r="N137" s="163">
        <v>0</v>
      </c>
      <c r="O137" s="163" t="s">
        <v>720</v>
      </c>
      <c r="P137" s="163" t="s">
        <v>534</v>
      </c>
    </row>
    <row r="138" spans="1:16">
      <c r="A138" s="163" t="s">
        <v>760</v>
      </c>
      <c r="B138" s="163" t="s">
        <v>536</v>
      </c>
      <c r="C138" s="163" t="s">
        <v>144</v>
      </c>
      <c r="D138" s="163">
        <v>1</v>
      </c>
      <c r="E138" s="163">
        <v>0</v>
      </c>
      <c r="F138" s="163">
        <v>0</v>
      </c>
      <c r="G138" s="163">
        <v>0</v>
      </c>
      <c r="H138" s="163">
        <v>15</v>
      </c>
      <c r="I138" s="163">
        <v>15</v>
      </c>
      <c r="J138" s="163" t="s">
        <v>518</v>
      </c>
      <c r="K138" s="163">
        <v>15</v>
      </c>
      <c r="L138" s="163" t="s">
        <v>147</v>
      </c>
      <c r="M138" s="163" t="s">
        <v>761</v>
      </c>
      <c r="N138" s="163">
        <v>0</v>
      </c>
      <c r="O138" s="163" t="s">
        <v>762</v>
      </c>
      <c r="P138" s="163" t="s">
        <v>740</v>
      </c>
    </row>
    <row r="139" spans="1:16">
      <c r="A139" s="163" t="s">
        <v>796</v>
      </c>
      <c r="B139" s="163" t="s">
        <v>536</v>
      </c>
      <c r="C139" s="163" t="s">
        <v>144</v>
      </c>
      <c r="D139" s="163">
        <v>2</v>
      </c>
      <c r="E139" s="163">
        <v>0</v>
      </c>
      <c r="F139" s="163">
        <v>0</v>
      </c>
      <c r="G139" s="163">
        <v>1</v>
      </c>
      <c r="H139" s="163">
        <v>8.99</v>
      </c>
      <c r="I139" s="163">
        <v>4.5</v>
      </c>
      <c r="J139" s="163" t="s">
        <v>518</v>
      </c>
      <c r="K139" s="163">
        <v>3.0314999999999999</v>
      </c>
      <c r="L139" s="163" t="s">
        <v>146</v>
      </c>
      <c r="M139" s="163" t="s">
        <v>797</v>
      </c>
      <c r="N139" s="163">
        <v>0</v>
      </c>
      <c r="O139" s="163" t="s">
        <v>798</v>
      </c>
      <c r="P139" s="163" t="s">
        <v>740</v>
      </c>
    </row>
    <row r="140" spans="1:16">
      <c r="A140" s="163" t="s">
        <v>813</v>
      </c>
      <c r="B140" s="163" t="s">
        <v>536</v>
      </c>
      <c r="C140" s="163" t="s">
        <v>144</v>
      </c>
      <c r="D140" s="163">
        <v>10</v>
      </c>
      <c r="E140" s="163">
        <v>0</v>
      </c>
      <c r="F140" s="163">
        <v>0</v>
      </c>
      <c r="G140" s="163">
        <v>2</v>
      </c>
      <c r="H140" s="163">
        <v>381.61</v>
      </c>
      <c r="I140" s="163">
        <v>39.06</v>
      </c>
      <c r="J140" s="163" t="s">
        <v>518</v>
      </c>
      <c r="K140" s="163">
        <v>32.796599999999998</v>
      </c>
      <c r="L140" s="163" t="s">
        <v>147</v>
      </c>
      <c r="M140" s="163" t="s">
        <v>814</v>
      </c>
      <c r="N140" s="163">
        <v>0</v>
      </c>
      <c r="O140" s="163" t="s">
        <v>815</v>
      </c>
      <c r="P140" s="163" t="s">
        <v>740</v>
      </c>
    </row>
    <row r="141" spans="1:16">
      <c r="A141" s="163" t="s">
        <v>816</v>
      </c>
      <c r="B141" s="163" t="s">
        <v>536</v>
      </c>
      <c r="C141" s="163" t="s">
        <v>144</v>
      </c>
      <c r="D141" s="163">
        <v>5</v>
      </c>
      <c r="E141" s="163">
        <v>0</v>
      </c>
      <c r="F141" s="163">
        <v>0</v>
      </c>
      <c r="G141" s="163">
        <v>1</v>
      </c>
      <c r="H141" s="163">
        <v>192.6</v>
      </c>
      <c r="I141" s="163">
        <v>38.520000000000003</v>
      </c>
      <c r="J141" s="163" t="s">
        <v>518</v>
      </c>
      <c r="K141" s="163">
        <v>38.520000000000003</v>
      </c>
      <c r="L141" s="163" t="s">
        <v>147</v>
      </c>
      <c r="M141" s="163" t="s">
        <v>817</v>
      </c>
      <c r="N141" s="163">
        <v>0</v>
      </c>
      <c r="O141" s="163" t="s">
        <v>815</v>
      </c>
      <c r="P141" s="163" t="s">
        <v>740</v>
      </c>
    </row>
    <row r="142" spans="1:16">
      <c r="A142" s="163" t="s">
        <v>818</v>
      </c>
      <c r="B142" s="163" t="s">
        <v>536</v>
      </c>
      <c r="C142" s="163" t="s">
        <v>144</v>
      </c>
      <c r="D142" s="163">
        <v>4</v>
      </c>
      <c r="E142" s="163">
        <v>0</v>
      </c>
      <c r="F142" s="163">
        <v>0</v>
      </c>
      <c r="G142" s="163">
        <v>0</v>
      </c>
      <c r="H142" s="163">
        <v>235.4</v>
      </c>
      <c r="I142" s="163">
        <v>58.85</v>
      </c>
      <c r="J142" s="163" t="s">
        <v>518</v>
      </c>
      <c r="K142" s="163">
        <v>58.85</v>
      </c>
      <c r="L142" s="163" t="s">
        <v>147</v>
      </c>
      <c r="M142" s="163" t="s">
        <v>819</v>
      </c>
      <c r="N142" s="163">
        <v>0</v>
      </c>
      <c r="O142" s="163" t="s">
        <v>815</v>
      </c>
      <c r="P142" s="163" t="s">
        <v>740</v>
      </c>
    </row>
    <row r="143" spans="1:16">
      <c r="A143" s="163" t="s">
        <v>820</v>
      </c>
      <c r="B143" s="163" t="s">
        <v>536</v>
      </c>
      <c r="C143" s="163" t="s">
        <v>144</v>
      </c>
      <c r="D143" s="163">
        <v>2</v>
      </c>
      <c r="E143" s="163">
        <v>0</v>
      </c>
      <c r="F143" s="163">
        <v>0</v>
      </c>
      <c r="G143" s="163">
        <v>0</v>
      </c>
      <c r="H143" s="163">
        <v>76</v>
      </c>
      <c r="I143" s="163">
        <v>38</v>
      </c>
      <c r="J143" s="163" t="s">
        <v>518</v>
      </c>
      <c r="K143" s="163">
        <v>38</v>
      </c>
      <c r="L143" s="163" t="s">
        <v>147</v>
      </c>
      <c r="M143" s="163" t="s">
        <v>821</v>
      </c>
      <c r="N143" s="163">
        <v>0</v>
      </c>
      <c r="O143" s="163" t="s">
        <v>815</v>
      </c>
      <c r="P143" s="163" t="s">
        <v>740</v>
      </c>
    </row>
    <row r="144" spans="1:16">
      <c r="A144" s="163" t="s">
        <v>822</v>
      </c>
      <c r="B144" s="163" t="s">
        <v>536</v>
      </c>
      <c r="C144" s="163" t="s">
        <v>144</v>
      </c>
      <c r="D144" s="163">
        <v>7</v>
      </c>
      <c r="E144" s="163">
        <v>0</v>
      </c>
      <c r="F144" s="163">
        <v>0</v>
      </c>
      <c r="G144" s="163">
        <v>0</v>
      </c>
      <c r="H144" s="163">
        <v>48.76</v>
      </c>
      <c r="I144" s="163">
        <v>6.97</v>
      </c>
      <c r="J144" s="163" t="s">
        <v>518</v>
      </c>
      <c r="K144" s="163">
        <v>6.9678000000000004</v>
      </c>
      <c r="L144" s="163" t="s">
        <v>147</v>
      </c>
      <c r="M144" s="163" t="s">
        <v>823</v>
      </c>
      <c r="N144" s="163">
        <v>0</v>
      </c>
      <c r="O144" s="163" t="s">
        <v>824</v>
      </c>
      <c r="P144" s="163" t="s">
        <v>740</v>
      </c>
    </row>
    <row r="145" spans="1:16">
      <c r="A145" s="163" t="s">
        <v>834</v>
      </c>
      <c r="B145" s="163" t="s">
        <v>536</v>
      </c>
      <c r="C145" s="163" t="s">
        <v>144</v>
      </c>
      <c r="D145" s="163">
        <v>1</v>
      </c>
      <c r="E145" s="163">
        <v>0</v>
      </c>
      <c r="F145" s="163">
        <v>0</v>
      </c>
      <c r="G145" s="163">
        <v>0</v>
      </c>
      <c r="H145" s="163">
        <v>954.98</v>
      </c>
      <c r="I145" s="163">
        <v>954.98</v>
      </c>
      <c r="J145" s="163" t="s">
        <v>518</v>
      </c>
      <c r="K145" s="163">
        <v>954.97500000000002</v>
      </c>
      <c r="L145" s="163" t="s">
        <v>147</v>
      </c>
      <c r="M145" s="163" t="s">
        <v>835</v>
      </c>
      <c r="N145" s="163">
        <v>0</v>
      </c>
      <c r="O145" s="163" t="s">
        <v>836</v>
      </c>
      <c r="P145" s="163" t="s">
        <v>740</v>
      </c>
    </row>
    <row r="146" spans="1:16">
      <c r="A146" s="163" t="s">
        <v>837</v>
      </c>
      <c r="B146" s="163" t="s">
        <v>536</v>
      </c>
      <c r="C146" s="163" t="s">
        <v>144</v>
      </c>
      <c r="D146" s="163">
        <v>1</v>
      </c>
      <c r="E146" s="163">
        <v>0</v>
      </c>
      <c r="F146" s="163">
        <v>0</v>
      </c>
      <c r="G146" s="163">
        <v>0</v>
      </c>
      <c r="H146" s="163">
        <v>1093.54</v>
      </c>
      <c r="I146" s="163">
        <v>1093.54</v>
      </c>
      <c r="J146" s="163" t="s">
        <v>518</v>
      </c>
      <c r="K146" s="163">
        <v>1093.54</v>
      </c>
      <c r="L146" s="163" t="s">
        <v>147</v>
      </c>
      <c r="M146" s="163" t="s">
        <v>838</v>
      </c>
      <c r="N146" s="163">
        <v>0</v>
      </c>
      <c r="O146" s="163" t="s">
        <v>836</v>
      </c>
      <c r="P146" s="163" t="s">
        <v>740</v>
      </c>
    </row>
    <row r="147" spans="1:16">
      <c r="A147" s="163" t="s">
        <v>839</v>
      </c>
      <c r="B147" s="163" t="s">
        <v>536</v>
      </c>
      <c r="C147" s="163" t="s">
        <v>144</v>
      </c>
      <c r="D147" s="163">
        <v>1</v>
      </c>
      <c r="E147" s="163">
        <v>0</v>
      </c>
      <c r="F147" s="163">
        <v>0</v>
      </c>
      <c r="G147" s="163">
        <v>0</v>
      </c>
      <c r="H147" s="163">
        <v>27.5</v>
      </c>
      <c r="I147" s="163">
        <v>27.5</v>
      </c>
      <c r="J147" s="163" t="s">
        <v>518</v>
      </c>
      <c r="K147" s="163">
        <v>27.5</v>
      </c>
      <c r="L147" s="163" t="s">
        <v>147</v>
      </c>
      <c r="M147" s="163" t="s">
        <v>840</v>
      </c>
      <c r="N147" s="163">
        <v>0</v>
      </c>
      <c r="O147" s="163" t="s">
        <v>815</v>
      </c>
      <c r="P147" s="163" t="s">
        <v>740</v>
      </c>
    </row>
    <row r="148" spans="1:16">
      <c r="A148" s="163" t="s">
        <v>841</v>
      </c>
      <c r="B148" s="163" t="s">
        <v>536</v>
      </c>
      <c r="C148" s="163" t="s">
        <v>144</v>
      </c>
      <c r="D148" s="163">
        <v>1</v>
      </c>
      <c r="E148" s="163">
        <v>0</v>
      </c>
      <c r="F148" s="163">
        <v>0</v>
      </c>
      <c r="G148" s="163">
        <v>0</v>
      </c>
      <c r="H148" s="163">
        <v>265.36</v>
      </c>
      <c r="I148" s="163">
        <v>265.36</v>
      </c>
      <c r="J148" s="163" t="s">
        <v>518</v>
      </c>
      <c r="K148" s="163">
        <v>212</v>
      </c>
      <c r="L148" s="163" t="s">
        <v>147</v>
      </c>
      <c r="M148" s="163" t="s">
        <v>842</v>
      </c>
      <c r="N148" s="163">
        <v>0</v>
      </c>
      <c r="O148" s="163" t="s">
        <v>843</v>
      </c>
      <c r="P148" s="163" t="s">
        <v>740</v>
      </c>
    </row>
    <row r="149" spans="1:16">
      <c r="A149" s="163" t="s">
        <v>844</v>
      </c>
      <c r="B149" s="163" t="s">
        <v>536</v>
      </c>
      <c r="C149" s="163" t="s">
        <v>144</v>
      </c>
      <c r="D149" s="163">
        <v>1</v>
      </c>
      <c r="E149" s="163">
        <v>0</v>
      </c>
      <c r="F149" s="163">
        <v>0</v>
      </c>
      <c r="G149" s="163">
        <v>0</v>
      </c>
      <c r="H149" s="163">
        <v>265.36</v>
      </c>
      <c r="I149" s="163">
        <v>265.36</v>
      </c>
      <c r="J149" s="163" t="s">
        <v>518</v>
      </c>
      <c r="K149" s="163">
        <v>212</v>
      </c>
      <c r="L149" s="163" t="s">
        <v>147</v>
      </c>
      <c r="M149" s="163" t="s">
        <v>845</v>
      </c>
      <c r="N149" s="163">
        <v>0</v>
      </c>
      <c r="O149" s="163" t="s">
        <v>843</v>
      </c>
      <c r="P149" s="163" t="s">
        <v>740</v>
      </c>
    </row>
    <row r="150" spans="1:16">
      <c r="A150" s="163" t="s">
        <v>846</v>
      </c>
      <c r="B150" s="163" t="s">
        <v>536</v>
      </c>
      <c r="C150" s="163" t="s">
        <v>144</v>
      </c>
      <c r="D150" s="163">
        <v>1</v>
      </c>
      <c r="E150" s="163">
        <v>0</v>
      </c>
      <c r="F150" s="163">
        <v>0</v>
      </c>
      <c r="G150" s="163">
        <v>0</v>
      </c>
      <c r="H150" s="163">
        <v>80</v>
      </c>
      <c r="I150" s="163">
        <v>80</v>
      </c>
      <c r="J150" s="163" t="s">
        <v>518</v>
      </c>
      <c r="K150" s="163">
        <v>80</v>
      </c>
      <c r="L150" s="163" t="s">
        <v>147</v>
      </c>
      <c r="M150" s="163" t="s">
        <v>847</v>
      </c>
      <c r="N150" s="163">
        <v>0</v>
      </c>
      <c r="O150" s="163" t="s">
        <v>815</v>
      </c>
      <c r="P150" s="163" t="s">
        <v>740</v>
      </c>
    </row>
    <row r="151" spans="1:16">
      <c r="A151" s="163" t="s">
        <v>848</v>
      </c>
      <c r="B151" s="163" t="s">
        <v>536</v>
      </c>
      <c r="C151" s="163" t="s">
        <v>144</v>
      </c>
      <c r="D151" s="163">
        <v>1</v>
      </c>
      <c r="E151" s="163">
        <v>0</v>
      </c>
      <c r="F151" s="163">
        <v>0</v>
      </c>
      <c r="G151" s="163">
        <v>0</v>
      </c>
      <c r="H151" s="163">
        <v>530</v>
      </c>
      <c r="I151" s="163">
        <v>530</v>
      </c>
      <c r="J151" s="163" t="s">
        <v>518</v>
      </c>
      <c r="K151" s="163">
        <v>530</v>
      </c>
      <c r="L151" s="163" t="s">
        <v>147</v>
      </c>
      <c r="M151" s="163" t="s">
        <v>849</v>
      </c>
      <c r="N151" s="163">
        <v>0</v>
      </c>
      <c r="O151" s="163" t="s">
        <v>850</v>
      </c>
      <c r="P151" s="163" t="s">
        <v>740</v>
      </c>
    </row>
    <row r="152" spans="1:16">
      <c r="A152" s="163" t="s">
        <v>851</v>
      </c>
      <c r="B152" s="163" t="s">
        <v>536</v>
      </c>
      <c r="C152" s="163" t="s">
        <v>144</v>
      </c>
      <c r="D152" s="163">
        <v>2</v>
      </c>
      <c r="E152" s="163">
        <v>0</v>
      </c>
      <c r="F152" s="163">
        <v>0</v>
      </c>
      <c r="G152" s="163">
        <v>0</v>
      </c>
      <c r="H152" s="163">
        <v>14.6</v>
      </c>
      <c r="I152" s="163">
        <v>7.3</v>
      </c>
      <c r="J152" s="163" t="s">
        <v>518</v>
      </c>
      <c r="K152" s="163">
        <v>7.3</v>
      </c>
      <c r="L152" s="163" t="s">
        <v>147</v>
      </c>
      <c r="M152" s="163" t="s">
        <v>852</v>
      </c>
      <c r="N152" s="163">
        <v>0</v>
      </c>
      <c r="O152" s="163" t="s">
        <v>853</v>
      </c>
      <c r="P152" s="163" t="s">
        <v>740</v>
      </c>
    </row>
    <row r="153" spans="1:16">
      <c r="A153" s="163" t="s">
        <v>854</v>
      </c>
      <c r="B153" s="163" t="s">
        <v>536</v>
      </c>
      <c r="C153" s="163" t="s">
        <v>144</v>
      </c>
      <c r="D153" s="163">
        <v>1</v>
      </c>
      <c r="E153" s="163">
        <v>0</v>
      </c>
      <c r="F153" s="163">
        <v>0</v>
      </c>
      <c r="G153" s="163">
        <v>0</v>
      </c>
      <c r="H153" s="163">
        <v>5538.5</v>
      </c>
      <c r="I153" s="163">
        <v>5538.5</v>
      </c>
      <c r="J153" s="163" t="s">
        <v>518</v>
      </c>
      <c r="K153" s="163">
        <v>5538.5</v>
      </c>
      <c r="L153" s="163" t="s">
        <v>147</v>
      </c>
      <c r="M153" s="163" t="s">
        <v>855</v>
      </c>
      <c r="N153" s="163">
        <v>0</v>
      </c>
      <c r="O153" s="163" t="s">
        <v>856</v>
      </c>
      <c r="P153" s="163" t="s">
        <v>740</v>
      </c>
    </row>
    <row r="154" spans="1:16">
      <c r="A154" s="163" t="s">
        <v>857</v>
      </c>
      <c r="B154" s="163" t="s">
        <v>536</v>
      </c>
      <c r="C154" s="163" t="s">
        <v>144</v>
      </c>
      <c r="D154" s="163">
        <v>1</v>
      </c>
      <c r="E154" s="163">
        <v>0</v>
      </c>
      <c r="F154" s="163">
        <v>0</v>
      </c>
      <c r="G154" s="163">
        <v>0</v>
      </c>
      <c r="H154" s="163">
        <v>80.25</v>
      </c>
      <c r="I154" s="163">
        <v>80.25</v>
      </c>
      <c r="J154" s="163" t="s">
        <v>518</v>
      </c>
      <c r="K154" s="163">
        <v>80.25</v>
      </c>
      <c r="L154" s="163" t="s">
        <v>147</v>
      </c>
      <c r="M154" s="163" t="s">
        <v>858</v>
      </c>
      <c r="N154" s="163">
        <v>0</v>
      </c>
      <c r="O154" s="163" t="s">
        <v>859</v>
      </c>
      <c r="P154" s="163" t="s">
        <v>740</v>
      </c>
    </row>
    <row r="155" spans="1:16">
      <c r="A155" s="163" t="s">
        <v>860</v>
      </c>
      <c r="B155" s="163" t="s">
        <v>536</v>
      </c>
      <c r="C155" s="163" t="s">
        <v>144</v>
      </c>
      <c r="D155" s="163">
        <v>65</v>
      </c>
      <c r="E155" s="163">
        <v>0</v>
      </c>
      <c r="F155" s="163">
        <v>0</v>
      </c>
      <c r="G155" s="163">
        <v>11</v>
      </c>
      <c r="H155" s="163">
        <v>266.5</v>
      </c>
      <c r="I155" s="163">
        <v>4.0999999999999996</v>
      </c>
      <c r="J155" s="163" t="s">
        <v>518</v>
      </c>
      <c r="K155" s="163">
        <v>3.83</v>
      </c>
      <c r="L155" s="163" t="s">
        <v>147</v>
      </c>
      <c r="M155" s="163" t="s">
        <v>861</v>
      </c>
      <c r="N155" s="163">
        <v>0</v>
      </c>
      <c r="O155" s="163" t="s">
        <v>862</v>
      </c>
      <c r="P155" s="163" t="s">
        <v>534</v>
      </c>
    </row>
    <row r="156" spans="1:16">
      <c r="A156" s="163" t="s">
        <v>863</v>
      </c>
      <c r="B156" s="163" t="s">
        <v>536</v>
      </c>
      <c r="C156" s="163" t="s">
        <v>144</v>
      </c>
      <c r="D156" s="163">
        <v>71</v>
      </c>
      <c r="E156" s="163">
        <v>0</v>
      </c>
      <c r="F156" s="163">
        <v>0</v>
      </c>
      <c r="G156" s="163">
        <v>47</v>
      </c>
      <c r="H156" s="163">
        <v>111.47</v>
      </c>
      <c r="I156" s="163">
        <v>1.57</v>
      </c>
      <c r="J156" s="163" t="s">
        <v>518</v>
      </c>
      <c r="K156" s="163">
        <v>0</v>
      </c>
      <c r="L156" s="163" t="s">
        <v>147</v>
      </c>
      <c r="M156" s="163" t="s">
        <v>864</v>
      </c>
      <c r="N156" s="163">
        <v>0</v>
      </c>
      <c r="O156" s="163" t="s">
        <v>862</v>
      </c>
      <c r="P156" s="163" t="s">
        <v>534</v>
      </c>
    </row>
    <row r="157" spans="1:16">
      <c r="H157" s="218">
        <f>SUM(H25:H156)</f>
        <v>239577.78980000009</v>
      </c>
    </row>
  </sheetData>
  <pageMargins left="0.7" right="0.7" top="0.75" bottom="0.75" header="0.3" footer="0.3"/>
  <pageSetup paperSize="17" scale="5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workbookViewId="0"/>
  </sheetViews>
  <sheetFormatPr defaultRowHeight="15"/>
  <cols>
    <col min="1" max="1" width="54.81640625" customWidth="1"/>
    <col min="2" max="2" width="2.453125" customWidth="1"/>
    <col min="3" max="3" width="11.08984375" style="248" bestFit="1" customWidth="1"/>
  </cols>
  <sheetData>
    <row r="1" spans="1:9" ht="16.2">
      <c r="A1" s="374" t="s">
        <v>883</v>
      </c>
      <c r="B1" s="374"/>
      <c r="C1" s="374"/>
      <c r="D1" s="374"/>
      <c r="E1" s="236"/>
      <c r="F1" s="236"/>
      <c r="G1" s="236"/>
      <c r="H1" s="236"/>
      <c r="I1" s="236"/>
    </row>
    <row r="2" spans="1:9" ht="16.2">
      <c r="A2" s="375" t="s">
        <v>941</v>
      </c>
      <c r="B2" s="375"/>
      <c r="C2" s="375"/>
      <c r="D2" s="375"/>
      <c r="E2" s="236"/>
      <c r="F2" s="236"/>
      <c r="G2" s="236"/>
      <c r="H2" s="236"/>
      <c r="I2" s="236"/>
    </row>
    <row r="4" spans="1:9" ht="15.6">
      <c r="A4" s="244" t="s">
        <v>942</v>
      </c>
      <c r="B4" s="236"/>
      <c r="C4" s="251" t="s">
        <v>7</v>
      </c>
      <c r="D4" s="236"/>
      <c r="E4" s="236"/>
      <c r="F4" s="236"/>
      <c r="G4" s="236"/>
      <c r="H4" s="236"/>
      <c r="I4" s="236"/>
    </row>
    <row r="5" spans="1:9" ht="15.6">
      <c r="A5" s="241" t="s">
        <v>943</v>
      </c>
      <c r="B5" s="242"/>
      <c r="C5" s="250"/>
      <c r="D5" s="236"/>
      <c r="E5" s="236"/>
      <c r="F5" s="236"/>
      <c r="G5" s="236"/>
      <c r="H5" s="236"/>
      <c r="I5" s="236"/>
    </row>
    <row r="6" spans="1:9" ht="15.6">
      <c r="A6" s="240" t="s">
        <v>944</v>
      </c>
      <c r="B6" s="242"/>
      <c r="C6" s="250">
        <v>48164.76</v>
      </c>
      <c r="D6" s="243">
        <v>0</v>
      </c>
      <c r="E6" s="236"/>
      <c r="F6" s="236"/>
      <c r="G6" s="236"/>
      <c r="H6" s="236"/>
      <c r="I6" s="236"/>
    </row>
    <row r="7" spans="1:9" ht="15.6">
      <c r="A7" s="240" t="s">
        <v>945</v>
      </c>
      <c r="B7" s="242"/>
      <c r="C7" s="235">
        <v>17760</v>
      </c>
      <c r="D7" s="355" t="s">
        <v>947</v>
      </c>
      <c r="E7" s="236"/>
      <c r="F7" s="236"/>
      <c r="G7" s="236"/>
      <c r="H7" s="236"/>
      <c r="I7" s="236"/>
    </row>
    <row r="8" spans="1:9" ht="15.6">
      <c r="A8" s="240" t="s">
        <v>946</v>
      </c>
      <c r="B8" s="242"/>
      <c r="C8" s="235">
        <v>156145.72</v>
      </c>
      <c r="D8" s="355" t="s">
        <v>947</v>
      </c>
      <c r="E8" s="236"/>
      <c r="F8" s="236"/>
      <c r="G8" s="236"/>
      <c r="H8" s="236"/>
      <c r="I8" s="236"/>
    </row>
    <row r="9" spans="1:9" ht="15.6">
      <c r="A9" s="240" t="s">
        <v>948</v>
      </c>
      <c r="B9" s="242"/>
      <c r="C9" s="235">
        <v>34142.86</v>
      </c>
      <c r="D9" s="355" t="s">
        <v>947</v>
      </c>
      <c r="E9" s="236"/>
      <c r="F9" s="236"/>
      <c r="G9" s="236"/>
      <c r="H9" s="236"/>
      <c r="I9" s="236"/>
    </row>
    <row r="10" spans="1:9" ht="15.6">
      <c r="A10" s="240" t="s">
        <v>949</v>
      </c>
      <c r="B10" s="242"/>
      <c r="C10" s="235">
        <v>203229.39</v>
      </c>
      <c r="D10" s="236" t="s">
        <v>947</v>
      </c>
      <c r="E10" s="236"/>
      <c r="F10" s="236"/>
      <c r="G10" s="236"/>
      <c r="H10" s="236"/>
      <c r="I10" s="236"/>
    </row>
    <row r="11" spans="1:9" ht="15.6">
      <c r="A11" s="240" t="s">
        <v>950</v>
      </c>
      <c r="B11" s="242"/>
      <c r="C11" s="235">
        <v>213029.6</v>
      </c>
      <c r="D11" s="355" t="s">
        <v>947</v>
      </c>
      <c r="E11" s="236"/>
      <c r="F11" s="236"/>
      <c r="G11" s="236"/>
      <c r="H11" s="236"/>
      <c r="I11" s="236"/>
    </row>
    <row r="12" spans="1:9" ht="15.6">
      <c r="A12" s="240" t="s">
        <v>952</v>
      </c>
      <c r="B12" s="242"/>
      <c r="C12" s="228">
        <v>0</v>
      </c>
      <c r="D12" s="236"/>
      <c r="E12" s="236"/>
      <c r="F12" s="236"/>
      <c r="G12" s="236"/>
      <c r="H12" s="236"/>
      <c r="I12" s="236"/>
    </row>
    <row r="13" spans="1:9" ht="15.6">
      <c r="A13" s="240" t="s">
        <v>953</v>
      </c>
      <c r="B13" s="242"/>
      <c r="C13" s="228">
        <v>0</v>
      </c>
      <c r="D13" s="236"/>
      <c r="E13" s="236"/>
      <c r="F13" s="236"/>
      <c r="G13" s="236"/>
      <c r="H13" s="236"/>
      <c r="I13" s="247"/>
    </row>
    <row r="14" spans="1:9" ht="15.6">
      <c r="A14" s="240" t="s">
        <v>954</v>
      </c>
      <c r="B14" s="242"/>
      <c r="C14" s="228">
        <v>0</v>
      </c>
      <c r="D14" s="236"/>
      <c r="E14" s="236"/>
      <c r="F14" s="236"/>
      <c r="G14" s="236"/>
      <c r="H14" s="236"/>
      <c r="I14" s="247"/>
    </row>
    <row r="15" spans="1:9" ht="15.6">
      <c r="A15" s="240" t="s">
        <v>955</v>
      </c>
      <c r="B15" s="242"/>
      <c r="C15" s="235">
        <v>0</v>
      </c>
      <c r="D15" s="236" t="s">
        <v>951</v>
      </c>
      <c r="E15" s="236"/>
      <c r="F15" s="236"/>
      <c r="G15" s="236"/>
      <c r="H15" s="236"/>
      <c r="I15" s="247"/>
    </row>
    <row r="16" spans="1:9" ht="15.6">
      <c r="A16" s="240" t="s">
        <v>956</v>
      </c>
      <c r="B16" s="242"/>
      <c r="C16" s="228">
        <v>88495.85</v>
      </c>
      <c r="D16" s="236"/>
      <c r="E16" s="236"/>
      <c r="F16" s="236"/>
      <c r="G16" s="236"/>
      <c r="H16" s="236"/>
      <c r="I16" s="247"/>
    </row>
    <row r="17" spans="1:9" ht="15.6">
      <c r="A17" s="240" t="s">
        <v>957</v>
      </c>
      <c r="B17" s="242"/>
      <c r="C17" s="228">
        <v>2912.4</v>
      </c>
      <c r="D17" s="236"/>
      <c r="E17" s="236"/>
      <c r="F17" s="236"/>
      <c r="G17" s="236"/>
      <c r="H17" s="236"/>
      <c r="I17" s="247"/>
    </row>
    <row r="18" spans="1:9" ht="15.6">
      <c r="A18" s="240" t="s">
        <v>958</v>
      </c>
      <c r="B18" s="242"/>
      <c r="C18" s="228">
        <v>0</v>
      </c>
      <c r="D18" s="236"/>
      <c r="E18" s="236"/>
      <c r="F18" s="236"/>
      <c r="G18" s="236"/>
      <c r="H18" s="236"/>
      <c r="I18" s="247"/>
    </row>
    <row r="19" spans="1:9" ht="15.6">
      <c r="A19" s="240" t="s">
        <v>959</v>
      </c>
      <c r="B19" s="242"/>
      <c r="C19" s="231">
        <v>156514</v>
      </c>
      <c r="D19" s="236" t="s">
        <v>960</v>
      </c>
      <c r="E19" s="236"/>
      <c r="F19" s="236"/>
      <c r="G19" s="236"/>
      <c r="H19" s="236"/>
      <c r="I19" s="247"/>
    </row>
    <row r="20" spans="1:9" ht="15.6">
      <c r="A20" s="240" t="s">
        <v>961</v>
      </c>
      <c r="B20" s="242"/>
      <c r="C20" s="228">
        <v>61947</v>
      </c>
      <c r="D20" s="236"/>
      <c r="E20" s="236"/>
      <c r="F20" s="236"/>
      <c r="G20" s="236"/>
      <c r="H20" s="236"/>
      <c r="I20" s="247"/>
    </row>
    <row r="21" spans="1:9" ht="15.6">
      <c r="A21" s="240" t="s">
        <v>962</v>
      </c>
      <c r="B21" s="242"/>
      <c r="C21" s="228">
        <v>0</v>
      </c>
      <c r="D21" s="236"/>
      <c r="E21" s="236"/>
      <c r="F21" s="236"/>
      <c r="G21" s="236"/>
      <c r="H21" s="236"/>
      <c r="I21" s="247"/>
    </row>
    <row r="22" spans="1:9" ht="15.6">
      <c r="A22" s="240" t="s">
        <v>1021</v>
      </c>
      <c r="B22" s="242"/>
      <c r="C22" s="228">
        <v>86122</v>
      </c>
      <c r="D22" s="236"/>
      <c r="E22" s="236"/>
      <c r="F22" s="236"/>
      <c r="G22" s="247"/>
    </row>
    <row r="23" spans="1:9" ht="15.6">
      <c r="A23" s="240" t="s">
        <v>1022</v>
      </c>
      <c r="B23" s="242"/>
      <c r="C23" s="228">
        <v>68035</v>
      </c>
      <c r="D23" s="236"/>
      <c r="E23" s="236"/>
      <c r="F23" s="236"/>
      <c r="G23" s="236"/>
    </row>
    <row r="24" spans="1:9" ht="17.399999999999999">
      <c r="A24" s="241" t="s">
        <v>963</v>
      </c>
      <c r="B24" s="242"/>
      <c r="C24" s="228"/>
      <c r="D24" s="236"/>
      <c r="E24" s="230"/>
      <c r="F24" s="236"/>
      <c r="G24" s="236"/>
      <c r="H24" s="236"/>
      <c r="I24" s="247"/>
    </row>
    <row r="25" spans="1:9" ht="15.6">
      <c r="A25" s="240" t="s">
        <v>964</v>
      </c>
      <c r="B25" s="242"/>
      <c r="C25" s="228">
        <v>22697.06</v>
      </c>
      <c r="D25" s="236"/>
      <c r="E25" s="236"/>
      <c r="F25" s="236"/>
      <c r="G25" s="236"/>
      <c r="H25" s="236"/>
      <c r="I25" s="247"/>
    </row>
    <row r="26" spans="1:9" ht="15.6">
      <c r="A26" s="240" t="s">
        <v>965</v>
      </c>
      <c r="B26" s="242"/>
      <c r="C26" s="228">
        <v>0</v>
      </c>
      <c r="D26" s="236"/>
      <c r="E26" s="236"/>
      <c r="F26" s="236"/>
      <c r="G26" s="236"/>
      <c r="H26" s="236"/>
      <c r="I26" s="247"/>
    </row>
    <row r="27" spans="1:9" ht="15.6">
      <c r="A27" s="240" t="s">
        <v>966</v>
      </c>
      <c r="B27" s="242"/>
      <c r="C27" s="228">
        <v>0</v>
      </c>
      <c r="D27" s="236"/>
      <c r="E27" s="236"/>
      <c r="F27" s="236"/>
      <c r="G27" s="236"/>
      <c r="H27" s="236"/>
      <c r="I27" s="247"/>
    </row>
    <row r="28" spans="1:9" ht="15.6">
      <c r="A28" s="240" t="s">
        <v>967</v>
      </c>
      <c r="B28" s="242"/>
      <c r="C28" s="228">
        <v>0</v>
      </c>
      <c r="D28" s="236"/>
      <c r="E28" s="236"/>
      <c r="F28" s="236"/>
      <c r="G28" s="236"/>
      <c r="H28" s="236"/>
      <c r="I28" s="247"/>
    </row>
    <row r="29" spans="1:9" ht="15.6">
      <c r="A29" s="240" t="s">
        <v>968</v>
      </c>
      <c r="B29" s="242"/>
      <c r="C29" s="228">
        <v>0</v>
      </c>
      <c r="D29" s="236"/>
      <c r="E29" s="236"/>
      <c r="F29" s="236"/>
      <c r="G29" s="236"/>
      <c r="H29" s="236"/>
      <c r="I29" s="236"/>
    </row>
    <row r="30" spans="1:9" ht="15.6">
      <c r="A30" s="240" t="s">
        <v>969</v>
      </c>
      <c r="B30" s="242"/>
      <c r="C30" s="228">
        <v>0</v>
      </c>
      <c r="D30" s="236"/>
      <c r="E30" s="236"/>
      <c r="F30" s="236"/>
      <c r="G30" s="247"/>
      <c r="H30" s="236"/>
      <c r="I30" s="236"/>
    </row>
    <row r="31" spans="1:9" ht="15.6">
      <c r="A31" s="240" t="s">
        <v>970</v>
      </c>
      <c r="B31" s="242"/>
      <c r="C31" s="228">
        <v>67089</v>
      </c>
      <c r="D31" s="236"/>
      <c r="E31" s="236"/>
      <c r="F31" s="236"/>
      <c r="G31" s="247"/>
      <c r="H31" s="236"/>
      <c r="I31" s="236"/>
    </row>
    <row r="32" spans="1:9" ht="15.6">
      <c r="A32" s="240" t="s">
        <v>971</v>
      </c>
      <c r="B32" s="242"/>
      <c r="C32" s="228">
        <v>152129</v>
      </c>
      <c r="D32" s="236"/>
      <c r="E32" s="236"/>
      <c r="F32" s="236"/>
      <c r="G32" s="247"/>
      <c r="H32" s="236"/>
      <c r="I32" s="236"/>
    </row>
    <row r="33" spans="1:9" ht="15.6">
      <c r="A33" s="240" t="s">
        <v>972</v>
      </c>
      <c r="B33" s="242"/>
      <c r="C33" s="228">
        <v>0</v>
      </c>
      <c r="D33" s="236"/>
      <c r="E33" s="236"/>
      <c r="F33" s="236"/>
      <c r="G33" s="247"/>
      <c r="H33" s="236"/>
      <c r="I33" s="236"/>
    </row>
    <row r="34" spans="1:9" ht="15.6">
      <c r="A34" s="240" t="s">
        <v>973</v>
      </c>
      <c r="B34" s="242"/>
      <c r="C34" s="229">
        <v>0</v>
      </c>
      <c r="D34" s="236"/>
      <c r="E34" s="236"/>
      <c r="F34" s="236"/>
      <c r="G34" s="247"/>
      <c r="H34" s="236"/>
      <c r="I34" s="236"/>
    </row>
    <row r="36" spans="1:9" ht="15.6">
      <c r="A36" s="240" t="s">
        <v>974</v>
      </c>
      <c r="B36" s="236"/>
      <c r="C36" s="249">
        <f>SUM(C6:C34)</f>
        <v>1378413.6400000001</v>
      </c>
      <c r="D36" s="236" t="s">
        <v>975</v>
      </c>
      <c r="E36" s="236"/>
      <c r="F36" s="236"/>
      <c r="G36" s="236"/>
    </row>
    <row r="38" spans="1:9" ht="15.6">
      <c r="A38" s="236"/>
      <c r="B38" s="236"/>
      <c r="C38" s="250"/>
      <c r="D38" s="236"/>
      <c r="E38" s="236"/>
      <c r="F38" s="236"/>
      <c r="G38" s="236"/>
    </row>
    <row r="39" spans="1:9" ht="15.6">
      <c r="A39" s="238" t="s">
        <v>976</v>
      </c>
      <c r="B39" s="236"/>
      <c r="C39" s="250"/>
      <c r="D39" s="236"/>
      <c r="E39" s="236"/>
      <c r="F39" s="236"/>
      <c r="G39" s="236"/>
    </row>
    <row r="40" spans="1:9" ht="15.6">
      <c r="A40" s="237" t="s">
        <v>987</v>
      </c>
      <c r="B40" s="236"/>
      <c r="C40" s="250"/>
      <c r="D40" s="236"/>
      <c r="E40" s="236"/>
      <c r="F40" s="236"/>
      <c r="G40" s="236"/>
    </row>
    <row r="41" spans="1:9" ht="15.6">
      <c r="A41" s="377" t="s">
        <v>1196</v>
      </c>
      <c r="B41" s="236"/>
      <c r="C41" s="250"/>
      <c r="D41" s="236"/>
      <c r="E41" s="236"/>
      <c r="F41" s="236"/>
      <c r="G41" s="236"/>
    </row>
    <row r="42" spans="1:9" ht="15.6">
      <c r="A42" s="237" t="s">
        <v>977</v>
      </c>
      <c r="B42" s="236"/>
      <c r="C42" s="250"/>
      <c r="D42" s="236"/>
      <c r="E42" s="236"/>
      <c r="F42" s="236"/>
      <c r="G42" s="236"/>
    </row>
    <row r="43" spans="1:9" ht="15.6">
      <c r="A43" s="245" t="s">
        <v>988</v>
      </c>
      <c r="B43" s="236"/>
      <c r="C43" s="250"/>
      <c r="D43" s="236"/>
      <c r="E43" s="236"/>
      <c r="F43" s="236"/>
      <c r="G43" s="236"/>
    </row>
    <row r="44" spans="1:9" ht="15.6">
      <c r="A44" s="237" t="s">
        <v>979</v>
      </c>
      <c r="B44" s="236"/>
      <c r="C44" s="250"/>
      <c r="D44" s="236"/>
      <c r="E44" s="236"/>
      <c r="F44" s="236"/>
      <c r="G44" s="236"/>
    </row>
    <row r="45" spans="1:9" ht="15.6">
      <c r="A45" s="245" t="s">
        <v>978</v>
      </c>
      <c r="B45" s="236"/>
      <c r="C45" s="250"/>
      <c r="D45" s="236"/>
      <c r="E45" s="236"/>
      <c r="F45" s="236"/>
      <c r="G45" s="236"/>
    </row>
    <row r="46" spans="1:9" ht="15.6">
      <c r="A46" s="246" t="s">
        <v>989</v>
      </c>
      <c r="B46" s="236"/>
      <c r="C46" s="250"/>
      <c r="D46" s="236"/>
      <c r="E46" s="236"/>
      <c r="F46" s="236"/>
      <c r="G46" s="236"/>
    </row>
    <row r="47" spans="1:9" ht="15.6">
      <c r="A47" s="240"/>
      <c r="B47" s="236"/>
      <c r="C47" s="250"/>
      <c r="D47" s="236"/>
      <c r="E47" s="236"/>
      <c r="F47" s="236"/>
      <c r="G47" s="236"/>
    </row>
    <row r="48" spans="1:9" ht="15.6">
      <c r="A48" s="240"/>
      <c r="B48" s="236"/>
      <c r="C48" s="250"/>
      <c r="D48" s="236"/>
      <c r="E48" s="236"/>
      <c r="F48" s="236"/>
      <c r="G48" s="236"/>
    </row>
    <row r="49" spans="1:1" ht="15.6">
      <c r="A49" s="239"/>
    </row>
    <row r="50" spans="1:1" ht="15.6">
      <c r="A50" s="240"/>
    </row>
    <row r="51" spans="1:1" ht="15.6">
      <c r="A51" s="240"/>
    </row>
    <row r="52" spans="1:1" ht="15.6">
      <c r="A52" s="240"/>
    </row>
    <row r="53" spans="1:1" ht="15.6">
      <c r="A53" s="240"/>
    </row>
    <row r="54" spans="1:1" ht="15.6">
      <c r="A54" s="239"/>
    </row>
    <row r="55" spans="1:1" ht="15.6">
      <c r="A55" s="240"/>
    </row>
    <row r="56" spans="1:1" ht="15.6">
      <c r="A56" s="240"/>
    </row>
    <row r="57" spans="1:1" ht="15.6">
      <c r="A57" s="240"/>
    </row>
    <row r="58" spans="1:1" ht="15.6">
      <c r="A58" s="240"/>
    </row>
    <row r="59" spans="1:1" ht="15.6">
      <c r="A59" s="239"/>
    </row>
    <row r="60" spans="1:1" ht="15.6">
      <c r="A60" s="240"/>
    </row>
    <row r="61" spans="1:1" ht="15.6">
      <c r="A61" s="240"/>
    </row>
    <row r="62" spans="1:1" ht="15.6">
      <c r="A62" s="240"/>
    </row>
    <row r="63" spans="1:1" ht="15.6">
      <c r="A63" s="240"/>
    </row>
    <row r="64" spans="1:1" ht="15.6">
      <c r="A64" s="240"/>
    </row>
    <row r="65" spans="1:1" ht="15.6">
      <c r="A65" s="240"/>
    </row>
    <row r="66" spans="1:1" ht="15.6">
      <c r="A66" s="240"/>
    </row>
    <row r="67" spans="1:1" ht="15.6">
      <c r="A67" s="240"/>
    </row>
    <row r="68" spans="1:1" ht="15.6">
      <c r="A68" s="240"/>
    </row>
    <row r="69" spans="1:1" ht="15.6">
      <c r="A69" s="240"/>
    </row>
    <row r="70" spans="1:1" ht="15.6">
      <c r="A70" s="240"/>
    </row>
    <row r="71" spans="1:1" ht="15.6">
      <c r="A71" s="240"/>
    </row>
    <row r="72" spans="1:1" ht="15.6">
      <c r="A72" s="240"/>
    </row>
    <row r="73" spans="1:1" ht="15.6">
      <c r="A73" s="240"/>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topLeftCell="A40" workbookViewId="0">
      <selection activeCell="A53" sqref="A53"/>
    </sheetView>
  </sheetViews>
  <sheetFormatPr defaultRowHeight="15"/>
  <cols>
    <col min="1" max="1" width="44.7265625" customWidth="1"/>
    <col min="2" max="2" width="29.54296875" customWidth="1"/>
    <col min="3" max="3" width="12.7265625" bestFit="1" customWidth="1"/>
  </cols>
  <sheetData>
    <row r="1" spans="1:5" ht="16.2">
      <c r="A1" s="374" t="s">
        <v>883</v>
      </c>
      <c r="B1" s="374"/>
      <c r="C1" s="374"/>
      <c r="D1" s="374"/>
      <c r="E1" s="178"/>
    </row>
    <row r="2" spans="1:5" ht="16.2">
      <c r="A2" s="375" t="s">
        <v>941</v>
      </c>
      <c r="B2" s="375"/>
      <c r="C2" s="375"/>
      <c r="D2" s="375"/>
      <c r="E2" s="178"/>
    </row>
    <row r="3" spans="1:5" ht="18">
      <c r="A3" s="277"/>
      <c r="B3" s="265"/>
      <c r="C3" s="265"/>
      <c r="D3" s="265"/>
      <c r="E3" s="178"/>
    </row>
    <row r="4" spans="1:5" ht="18">
      <c r="A4" s="277"/>
      <c r="B4" s="265"/>
      <c r="C4" s="265"/>
      <c r="D4" s="265"/>
      <c r="E4" s="178"/>
    </row>
    <row r="5" spans="1:5" ht="15.6">
      <c r="A5" s="276" t="s">
        <v>990</v>
      </c>
      <c r="B5" s="265"/>
      <c r="C5" s="267" t="s">
        <v>7</v>
      </c>
      <c r="D5" s="265"/>
      <c r="E5" s="178"/>
    </row>
    <row r="6" spans="1:5" ht="15.6">
      <c r="A6" s="276"/>
      <c r="B6" s="265"/>
      <c r="C6" s="265"/>
      <c r="D6" s="267"/>
      <c r="E6" s="178"/>
    </row>
    <row r="7" spans="1:5" ht="15.6">
      <c r="A7" s="270" t="s">
        <v>991</v>
      </c>
      <c r="B7" s="272"/>
      <c r="C7" s="273"/>
      <c r="D7" s="265"/>
      <c r="E7" s="178"/>
    </row>
    <row r="8" spans="1:5" ht="15.6">
      <c r="A8" s="271" t="s">
        <v>992</v>
      </c>
      <c r="B8" s="272"/>
      <c r="C8" s="279">
        <v>34461.449999999997</v>
      </c>
      <c r="D8" s="265"/>
      <c r="E8" s="178"/>
    </row>
    <row r="9" spans="1:5" ht="15.6">
      <c r="A9" s="271" t="s">
        <v>993</v>
      </c>
      <c r="B9" s="272"/>
      <c r="C9" s="234">
        <v>101265.96</v>
      </c>
      <c r="D9" s="265"/>
      <c r="E9" s="178"/>
    </row>
    <row r="10" spans="1:5" ht="15.6">
      <c r="A10" s="271" t="s">
        <v>994</v>
      </c>
      <c r="B10" s="272"/>
      <c r="C10" s="234">
        <v>399017.22</v>
      </c>
      <c r="D10" s="265"/>
      <c r="E10" s="178"/>
    </row>
    <row r="11" spans="1:5" ht="15.6">
      <c r="A11" s="271" t="s">
        <v>995</v>
      </c>
      <c r="B11" s="272"/>
      <c r="C11" s="234">
        <v>47160.29</v>
      </c>
      <c r="D11" s="265"/>
      <c r="E11" s="178"/>
    </row>
    <row r="12" spans="1:5" s="178" customFormat="1" ht="15.6">
      <c r="A12" s="281" t="s">
        <v>1023</v>
      </c>
      <c r="B12" s="282"/>
      <c r="C12" s="234">
        <v>0</v>
      </c>
      <c r="D12" s="278"/>
    </row>
    <row r="13" spans="1:5" ht="17.399999999999999">
      <c r="A13" s="271" t="s">
        <v>1024</v>
      </c>
      <c r="B13" s="272"/>
      <c r="C13" s="280">
        <v>57546.58</v>
      </c>
      <c r="D13" s="265"/>
      <c r="E13" s="178"/>
    </row>
    <row r="14" spans="1:5" ht="15.6">
      <c r="A14" s="269" t="s">
        <v>996</v>
      </c>
      <c r="B14" s="272"/>
      <c r="C14" s="234">
        <f>SUM(C8:C13)</f>
        <v>639451.5</v>
      </c>
      <c r="D14" s="265" t="s">
        <v>997</v>
      </c>
      <c r="E14" s="178"/>
    </row>
    <row r="15" spans="1:5" ht="15.6">
      <c r="A15" s="271"/>
      <c r="B15" s="272"/>
      <c r="C15" s="232"/>
      <c r="D15" s="265"/>
      <c r="E15" s="178"/>
    </row>
    <row r="16" spans="1:5" ht="15.6">
      <c r="A16" s="270" t="s">
        <v>998</v>
      </c>
      <c r="B16" s="272"/>
      <c r="C16" s="274"/>
      <c r="D16" s="265"/>
      <c r="E16" s="178"/>
    </row>
    <row r="17" spans="1:5" ht="15.6">
      <c r="A17" s="271" t="s">
        <v>999</v>
      </c>
      <c r="B17" s="272"/>
      <c r="C17" s="273">
        <v>0</v>
      </c>
      <c r="D17" s="265"/>
      <c r="E17" s="178"/>
    </row>
    <row r="18" spans="1:5" ht="15.6">
      <c r="A18" s="271" t="s">
        <v>1000</v>
      </c>
      <c r="B18" s="272"/>
      <c r="C18" s="234">
        <v>0</v>
      </c>
      <c r="D18" s="265"/>
      <c r="E18" s="178"/>
    </row>
    <row r="19" spans="1:5" ht="15.6">
      <c r="A19" s="271" t="s">
        <v>1001</v>
      </c>
      <c r="B19" s="272"/>
      <c r="C19" s="234">
        <v>94748.09</v>
      </c>
      <c r="D19" s="265"/>
      <c r="E19" s="178"/>
    </row>
    <row r="20" spans="1:5" ht="17.399999999999999">
      <c r="A20" s="271" t="s">
        <v>1034</v>
      </c>
      <c r="B20" s="272"/>
      <c r="C20" s="280">
        <v>162551.35999999999</v>
      </c>
      <c r="D20" s="265"/>
      <c r="E20" s="178"/>
    </row>
    <row r="21" spans="1:5" ht="15.6">
      <c r="A21" s="269" t="s">
        <v>1002</v>
      </c>
      <c r="B21" s="272"/>
      <c r="C21" s="234">
        <f>SUM(C17:C20)</f>
        <v>257299.44999999998</v>
      </c>
      <c r="D21" s="265" t="s">
        <v>1003</v>
      </c>
      <c r="E21" s="178"/>
    </row>
    <row r="22" spans="1:5" ht="17.399999999999999">
      <c r="A22" s="271"/>
      <c r="B22" s="272"/>
      <c r="C22" s="280"/>
      <c r="D22" s="265"/>
      <c r="E22" s="178"/>
    </row>
    <row r="23" spans="1:5" ht="15.6">
      <c r="A23" s="270" t="s">
        <v>1004</v>
      </c>
      <c r="B23" s="272"/>
      <c r="C23" s="274"/>
      <c r="D23" s="265"/>
      <c r="E23" s="178"/>
    </row>
    <row r="24" spans="1:5" ht="15.6">
      <c r="A24" s="271" t="s">
        <v>1005</v>
      </c>
      <c r="B24" s="272"/>
      <c r="C24" s="273">
        <v>0</v>
      </c>
      <c r="D24" s="265"/>
      <c r="E24" s="178"/>
    </row>
    <row r="25" spans="1:5" ht="15.6">
      <c r="A25" s="271" t="s">
        <v>1006</v>
      </c>
      <c r="B25" s="272"/>
      <c r="C25" s="274">
        <v>0</v>
      </c>
      <c r="D25" s="265"/>
      <c r="E25" s="178"/>
    </row>
    <row r="26" spans="1:5" ht="15.6">
      <c r="A26" s="271" t="s">
        <v>1007</v>
      </c>
      <c r="B26" s="272"/>
      <c r="C26" s="274">
        <v>0</v>
      </c>
      <c r="D26" s="265"/>
      <c r="E26" s="178"/>
    </row>
    <row r="27" spans="1:5" ht="17.399999999999999">
      <c r="A27" s="271" t="s">
        <v>1008</v>
      </c>
      <c r="B27" s="272"/>
      <c r="C27" s="275">
        <v>0</v>
      </c>
      <c r="D27" s="265"/>
      <c r="E27" s="178"/>
    </row>
    <row r="28" spans="1:5" ht="15.6">
      <c r="A28" s="270" t="s">
        <v>1004</v>
      </c>
      <c r="B28" s="272"/>
      <c r="C28" s="274">
        <v>0</v>
      </c>
      <c r="D28" s="265" t="s">
        <v>1025</v>
      </c>
      <c r="E28" s="178"/>
    </row>
    <row r="29" spans="1:5" ht="15.6">
      <c r="A29" s="271"/>
      <c r="B29" s="272"/>
      <c r="C29" s="274"/>
      <c r="D29" s="265"/>
      <c r="E29" s="178"/>
    </row>
    <row r="30" spans="1:5" ht="15.6">
      <c r="A30" s="270" t="s">
        <v>1009</v>
      </c>
      <c r="B30" s="272"/>
      <c r="C30" s="274"/>
      <c r="D30" s="265"/>
      <c r="E30" s="178"/>
    </row>
    <row r="31" spans="1:5" ht="15.6">
      <c r="A31" s="271" t="s">
        <v>1010</v>
      </c>
      <c r="B31" s="272"/>
      <c r="C31" s="273">
        <v>2084771.49</v>
      </c>
      <c r="D31" s="265"/>
      <c r="E31" s="178"/>
    </row>
    <row r="32" spans="1:5" ht="15.6">
      <c r="A32" s="271" t="s">
        <v>1011</v>
      </c>
      <c r="B32" s="272"/>
      <c r="C32" s="234">
        <v>177849.07</v>
      </c>
      <c r="D32" s="265"/>
      <c r="E32" s="178"/>
    </row>
    <row r="33" spans="1:5" ht="15.6">
      <c r="A33" s="271" t="s">
        <v>1012</v>
      </c>
      <c r="B33" s="272"/>
      <c r="C33" s="234">
        <v>0</v>
      </c>
      <c r="D33" s="265"/>
      <c r="E33" s="178"/>
    </row>
    <row r="34" spans="1:5" ht="15.6">
      <c r="A34" s="271" t="s">
        <v>1013</v>
      </c>
      <c r="B34" s="272"/>
      <c r="C34" s="234">
        <v>426883.09</v>
      </c>
      <c r="D34" s="265"/>
      <c r="E34" s="178"/>
    </row>
    <row r="35" spans="1:5" ht="15.6">
      <c r="A35" s="271" t="s">
        <v>1014</v>
      </c>
      <c r="B35" s="272"/>
      <c r="C35" s="234">
        <v>636381.48</v>
      </c>
      <c r="D35" s="265"/>
      <c r="E35" s="178"/>
    </row>
    <row r="36" spans="1:5" ht="15.6">
      <c r="A36" s="271" t="s">
        <v>1015</v>
      </c>
      <c r="B36" s="272"/>
      <c r="C36" s="234">
        <v>434105.7</v>
      </c>
      <c r="D36" s="265"/>
      <c r="E36" s="178"/>
    </row>
    <row r="37" spans="1:5" ht="15.6">
      <c r="A37" s="271" t="s">
        <v>1033</v>
      </c>
      <c r="B37" s="272"/>
      <c r="C37" s="234">
        <f>6151648.65-1212915</f>
        <v>4938733.6500000004</v>
      </c>
      <c r="D37" s="265"/>
      <c r="E37" s="178"/>
    </row>
    <row r="38" spans="1:5" ht="15.6">
      <c r="A38" s="271" t="s">
        <v>1016</v>
      </c>
      <c r="B38" s="272"/>
      <c r="C38" s="234">
        <v>0</v>
      </c>
      <c r="D38" s="265"/>
      <c r="E38" s="178"/>
    </row>
    <row r="39" spans="1:5" ht="15.6">
      <c r="A39" s="271" t="s">
        <v>1017</v>
      </c>
      <c r="B39" s="272"/>
      <c r="C39" s="234">
        <v>63051.64</v>
      </c>
      <c r="D39" s="265"/>
      <c r="E39" s="178"/>
    </row>
    <row r="40" spans="1:5" ht="15.6">
      <c r="A40" s="271" t="s">
        <v>1035</v>
      </c>
      <c r="B40" s="272"/>
      <c r="C40" s="234">
        <v>-252520.06</v>
      </c>
      <c r="D40" s="265"/>
      <c r="E40" s="178"/>
    </row>
    <row r="41" spans="1:5" ht="15.6">
      <c r="A41" s="271" t="s">
        <v>1018</v>
      </c>
      <c r="B41" s="272"/>
      <c r="C41" s="234">
        <v>0</v>
      </c>
      <c r="D41" s="265"/>
      <c r="E41" s="178"/>
    </row>
    <row r="42" spans="1:5" ht="15.6">
      <c r="A42" s="271" t="s">
        <v>1019</v>
      </c>
      <c r="B42" s="265"/>
      <c r="C42" s="234">
        <v>383591.36</v>
      </c>
      <c r="D42" s="265"/>
      <c r="E42" s="178"/>
    </row>
    <row r="43" spans="1:5" ht="15.6">
      <c r="A43" s="271" t="s">
        <v>1020</v>
      </c>
      <c r="B43" s="265"/>
      <c r="C43" s="234">
        <v>0</v>
      </c>
      <c r="D43" s="265"/>
      <c r="E43" s="178"/>
    </row>
    <row r="44" spans="1:5" ht="15.6">
      <c r="A44" s="271" t="s">
        <v>1028</v>
      </c>
      <c r="B44" s="265"/>
      <c r="C44" s="234">
        <v>301347.76</v>
      </c>
      <c r="D44" s="265"/>
      <c r="E44" s="178"/>
    </row>
    <row r="45" spans="1:5" s="178" customFormat="1" ht="15.6">
      <c r="A45" s="281" t="s">
        <v>1027</v>
      </c>
      <c r="B45" s="278"/>
      <c r="C45" s="234">
        <v>387389.12</v>
      </c>
      <c r="D45" s="278"/>
    </row>
    <row r="46" spans="1:5" ht="15.6">
      <c r="A46" s="281" t="s">
        <v>1026</v>
      </c>
      <c r="B46" s="266"/>
      <c r="C46" s="262">
        <v>352902.59</v>
      </c>
      <c r="D46" s="265"/>
      <c r="E46" s="178"/>
    </row>
    <row r="47" spans="1:5" ht="15.6">
      <c r="A47" s="270" t="s">
        <v>1009</v>
      </c>
      <c r="B47" s="265"/>
      <c r="C47" s="233">
        <f>SUM(C31:C46)</f>
        <v>9934486.8899999987</v>
      </c>
      <c r="D47" s="265" t="s">
        <v>1032</v>
      </c>
      <c r="E47" s="178"/>
    </row>
    <row r="48" spans="1:5">
      <c r="A48" s="178"/>
      <c r="B48" s="178"/>
      <c r="C48" s="178"/>
      <c r="D48" s="178"/>
      <c r="E48" s="178"/>
    </row>
    <row r="49" spans="1:5">
      <c r="A49" s="178"/>
      <c r="B49" s="178"/>
      <c r="C49" s="178"/>
      <c r="D49" s="178"/>
      <c r="E49" s="178"/>
    </row>
    <row r="50" spans="1:5" ht="15.6">
      <c r="A50" s="266" t="s">
        <v>976</v>
      </c>
      <c r="B50" s="265"/>
      <c r="C50" s="265"/>
      <c r="D50" s="265"/>
      <c r="E50" s="178"/>
    </row>
    <row r="51" spans="1:5" ht="15.6">
      <c r="A51" s="268" t="s">
        <v>1029</v>
      </c>
      <c r="B51" s="265"/>
      <c r="C51" s="265"/>
      <c r="D51" s="265"/>
      <c r="E51" s="265"/>
    </row>
    <row r="52" spans="1:5" ht="15.6">
      <c r="A52" s="376" t="s">
        <v>1195</v>
      </c>
      <c r="B52" s="265"/>
      <c r="C52" s="265"/>
      <c r="D52" s="265"/>
      <c r="E52" s="265"/>
    </row>
    <row r="53" spans="1:5" ht="15.6">
      <c r="A53" s="271"/>
      <c r="B53" s="265"/>
      <c r="C53" s="265"/>
      <c r="D53" s="265"/>
      <c r="E53" s="265"/>
    </row>
    <row r="54" spans="1:5" ht="15.6">
      <c r="A54" s="268" t="s">
        <v>1030</v>
      </c>
      <c r="B54" s="268"/>
      <c r="C54" s="268"/>
      <c r="D54" s="268"/>
      <c r="E54" s="268"/>
    </row>
    <row r="55" spans="1:5" ht="15.6">
      <c r="A55" s="268" t="s">
        <v>1031</v>
      </c>
      <c r="B55" s="265"/>
      <c r="C55" s="265"/>
      <c r="D55" s="265"/>
      <c r="E55" s="265"/>
    </row>
    <row r="56" spans="1:5" ht="15.6">
      <c r="A56" s="271"/>
      <c r="B56" s="265"/>
      <c r="C56" s="265"/>
      <c r="D56" s="265"/>
      <c r="E56" s="265"/>
    </row>
    <row r="57" spans="1:5" ht="15.6">
      <c r="A57" s="271"/>
      <c r="B57" s="265"/>
      <c r="C57" s="265"/>
      <c r="D57" s="265"/>
      <c r="E57" s="265"/>
    </row>
    <row r="58" spans="1:5" ht="15.6">
      <c r="A58" s="270"/>
      <c r="B58" s="265"/>
      <c r="C58" s="265"/>
      <c r="D58" s="265"/>
      <c r="E58" s="265"/>
    </row>
    <row r="59" spans="1:5" ht="15.6">
      <c r="A59" s="271"/>
      <c r="B59" s="265"/>
      <c r="C59" s="265"/>
      <c r="D59" s="265"/>
      <c r="E59" s="265"/>
    </row>
    <row r="60" spans="1:5" ht="15.6">
      <c r="A60" s="271"/>
      <c r="B60" s="265"/>
      <c r="C60" s="265"/>
      <c r="D60" s="265"/>
      <c r="E60" s="265"/>
    </row>
    <row r="61" spans="1:5" ht="15.6">
      <c r="A61" s="271"/>
      <c r="B61" s="265"/>
      <c r="C61" s="265"/>
      <c r="D61" s="265"/>
      <c r="E61" s="265"/>
    </row>
    <row r="62" spans="1:5" ht="15.6">
      <c r="A62" s="271"/>
      <c r="B62" s="265"/>
      <c r="C62" s="265"/>
      <c r="D62" s="265"/>
      <c r="E62" s="265"/>
    </row>
    <row r="63" spans="1:5" ht="15.6">
      <c r="A63" s="270"/>
      <c r="B63" s="265"/>
      <c r="C63" s="265"/>
      <c r="D63" s="265"/>
      <c r="E63" s="265"/>
    </row>
    <row r="64" spans="1:5" ht="15.6">
      <c r="A64" s="271"/>
      <c r="B64" s="265"/>
      <c r="C64" s="265"/>
      <c r="D64" s="265"/>
      <c r="E64" s="265"/>
    </row>
    <row r="65" spans="1:5" ht="15.6">
      <c r="A65" s="271"/>
      <c r="B65" s="265"/>
      <c r="C65" s="265"/>
      <c r="D65" s="265"/>
      <c r="E65" s="265"/>
    </row>
    <row r="66" spans="1:5" ht="15.6">
      <c r="A66" s="271"/>
      <c r="B66" s="265"/>
      <c r="C66" s="265"/>
      <c r="D66" s="265"/>
      <c r="E66" s="265"/>
    </row>
    <row r="67" spans="1:5" ht="15.6">
      <c r="A67" s="271"/>
      <c r="B67" s="178"/>
      <c r="C67" s="178"/>
      <c r="D67" s="178"/>
      <c r="E67" s="178"/>
    </row>
    <row r="68" spans="1:5" ht="15.6">
      <c r="A68" s="270"/>
      <c r="B68" s="178"/>
      <c r="C68" s="178"/>
      <c r="D68" s="178"/>
      <c r="E68" s="178"/>
    </row>
    <row r="69" spans="1:5" ht="15.6">
      <c r="A69" s="271"/>
      <c r="B69" s="178"/>
      <c r="C69" s="178"/>
      <c r="D69" s="178"/>
      <c r="E69" s="178"/>
    </row>
    <row r="70" spans="1:5" ht="15.6">
      <c r="A70" s="271"/>
      <c r="B70" s="178"/>
      <c r="C70" s="178"/>
      <c r="D70" s="178"/>
      <c r="E70" s="178"/>
    </row>
    <row r="71" spans="1:5" ht="15.6">
      <c r="A71" s="271"/>
      <c r="B71" s="178"/>
      <c r="C71" s="178"/>
      <c r="D71" s="178"/>
      <c r="E71" s="178"/>
    </row>
    <row r="72" spans="1:5" ht="15.6">
      <c r="A72" s="271"/>
      <c r="B72" s="178"/>
      <c r="C72" s="178"/>
      <c r="D72" s="178"/>
      <c r="E72" s="178"/>
    </row>
    <row r="73" spans="1:5" ht="15.6">
      <c r="A73" s="271"/>
      <c r="B73" s="178"/>
      <c r="C73" s="178"/>
      <c r="D73" s="178"/>
      <c r="E73" s="178"/>
    </row>
    <row r="74" spans="1:5" ht="15.6">
      <c r="A74" s="271"/>
      <c r="B74" s="178"/>
      <c r="C74" s="178"/>
      <c r="D74" s="178"/>
      <c r="E74" s="178"/>
    </row>
    <row r="75" spans="1:5" ht="15.6">
      <c r="A75" s="271"/>
      <c r="B75" s="178"/>
      <c r="C75" s="178"/>
      <c r="D75" s="178"/>
      <c r="E75" s="178"/>
    </row>
    <row r="76" spans="1:5" ht="15.6">
      <c r="A76" s="271"/>
      <c r="B76" s="178"/>
      <c r="C76" s="178"/>
      <c r="D76" s="178"/>
      <c r="E76" s="178"/>
    </row>
    <row r="77" spans="1:5" ht="15.6">
      <c r="A77" s="271"/>
      <c r="B77" s="178"/>
      <c r="C77" s="178"/>
      <c r="D77" s="178"/>
      <c r="E77" s="178"/>
    </row>
    <row r="78" spans="1:5" ht="15.6">
      <c r="A78" s="271"/>
      <c r="B78" s="178"/>
      <c r="C78" s="178"/>
      <c r="D78" s="178"/>
      <c r="E78" s="178"/>
    </row>
    <row r="79" spans="1:5" ht="15.6">
      <c r="A79" s="271"/>
      <c r="B79" s="178"/>
      <c r="C79" s="178"/>
      <c r="D79" s="178"/>
      <c r="E79" s="178"/>
    </row>
    <row r="80" spans="1:5" ht="15.6">
      <c r="A80" s="271"/>
      <c r="B80" s="178"/>
      <c r="C80" s="178"/>
      <c r="D80" s="178"/>
      <c r="E80" s="178"/>
    </row>
    <row r="81" spans="1:5" ht="15.6">
      <c r="A81" s="271"/>
      <c r="B81" s="178"/>
      <c r="C81" s="178"/>
      <c r="D81" s="178"/>
      <c r="E81" s="178"/>
    </row>
    <row r="82" spans="1:5" ht="15.6">
      <c r="A82" s="271"/>
      <c r="B82" s="178"/>
      <c r="C82" s="178"/>
      <c r="D82" s="178"/>
      <c r="E82" s="17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3"/>
  <sheetViews>
    <sheetView topLeftCell="A52" workbookViewId="0">
      <selection activeCell="C93" sqref="C93:E94"/>
    </sheetView>
  </sheetViews>
  <sheetFormatPr defaultRowHeight="15"/>
  <cols>
    <col min="1" max="1" width="8.7265625" style="163"/>
    <col min="2" max="2" width="20.08984375" style="163" customWidth="1"/>
    <col min="3" max="3" width="7.36328125" style="163" bestFit="1" customWidth="1"/>
    <col min="4" max="4" width="18.08984375" style="163" bestFit="1" customWidth="1"/>
    <col min="5" max="5" width="13.54296875" style="163" bestFit="1" customWidth="1"/>
    <col min="6" max="6" width="7.36328125" style="163" bestFit="1" customWidth="1"/>
    <col min="7" max="16384" width="8.7265625" style="163"/>
  </cols>
  <sheetData>
    <row r="1" spans="1:8">
      <c r="A1" s="378" t="s">
        <v>1129</v>
      </c>
      <c r="B1" s="379"/>
      <c r="C1" s="379"/>
      <c r="D1" s="378"/>
      <c r="E1" s="378"/>
      <c r="F1" s="380"/>
      <c r="G1" s="381"/>
    </row>
    <row r="2" spans="1:8">
      <c r="A2" s="378" t="s">
        <v>1130</v>
      </c>
      <c r="B2" s="379"/>
      <c r="C2" s="379"/>
      <c r="D2" s="378"/>
      <c r="E2" s="378"/>
      <c r="F2" s="380"/>
      <c r="G2" s="381"/>
    </row>
    <row r="3" spans="1:8">
      <c r="A3" s="382" t="s">
        <v>1197</v>
      </c>
      <c r="B3" s="379"/>
      <c r="C3" s="379"/>
      <c r="D3" s="378"/>
      <c r="E3" s="378"/>
      <c r="F3" s="380"/>
      <c r="G3" s="381"/>
    </row>
    <row r="4" spans="1:8">
      <c r="A4" s="383"/>
      <c r="B4" s="383"/>
      <c r="C4" s="383"/>
      <c r="D4" s="383"/>
      <c r="E4" s="383"/>
      <c r="F4" s="384"/>
      <c r="G4" s="381"/>
    </row>
    <row r="5" spans="1:8">
      <c r="A5" s="385" t="s">
        <v>1131</v>
      </c>
      <c r="D5" s="385" t="s">
        <v>1193</v>
      </c>
      <c r="E5" s="385" t="s">
        <v>963</v>
      </c>
    </row>
    <row r="6" spans="1:8">
      <c r="A6" s="386" t="s">
        <v>1132</v>
      </c>
      <c r="D6" s="387">
        <v>952252</v>
      </c>
      <c r="E6" s="385"/>
    </row>
    <row r="7" spans="1:8">
      <c r="A7" s="386" t="s">
        <v>1133</v>
      </c>
      <c r="B7" s="384"/>
      <c r="C7" s="390"/>
      <c r="D7" s="390"/>
      <c r="E7" s="390"/>
      <c r="F7" s="384"/>
      <c r="G7" s="381"/>
    </row>
    <row r="8" spans="1:8">
      <c r="A8" s="386" t="s">
        <v>1134</v>
      </c>
      <c r="B8" s="384"/>
      <c r="C8" s="390"/>
      <c r="D8" s="387">
        <v>1206356</v>
      </c>
      <c r="E8" s="390"/>
      <c r="F8" s="384"/>
      <c r="G8" s="381"/>
    </row>
    <row r="9" spans="1:8">
      <c r="A9" s="386" t="s">
        <v>1135</v>
      </c>
      <c r="B9" s="384"/>
      <c r="C9" s="390"/>
      <c r="D9" s="387">
        <v>439000</v>
      </c>
      <c r="E9" s="390"/>
      <c r="F9" s="384"/>
      <c r="G9" s="381"/>
      <c r="H9" s="393"/>
    </row>
    <row r="10" spans="1:8">
      <c r="A10" s="386" t="s">
        <v>1136</v>
      </c>
      <c r="B10" s="384"/>
      <c r="C10" s="390"/>
      <c r="D10" s="387">
        <v>1116301</v>
      </c>
      <c r="E10" s="390"/>
      <c r="F10" s="384"/>
      <c r="G10" s="381"/>
    </row>
    <row r="11" spans="1:8">
      <c r="A11" s="386" t="s">
        <v>1137</v>
      </c>
      <c r="B11" s="384"/>
      <c r="C11" s="390"/>
      <c r="D11" s="387">
        <v>2130218</v>
      </c>
      <c r="E11" s="390"/>
      <c r="F11" s="384"/>
      <c r="G11" s="381"/>
    </row>
    <row r="12" spans="1:8">
      <c r="A12" s="386" t="s">
        <v>1138</v>
      </c>
      <c r="B12" s="384"/>
      <c r="C12" s="390"/>
      <c r="D12" s="390"/>
      <c r="E12" s="390"/>
      <c r="F12" s="384"/>
      <c r="G12" s="381"/>
    </row>
    <row r="13" spans="1:8">
      <c r="A13" s="386" t="s">
        <v>1139</v>
      </c>
      <c r="B13" s="384"/>
      <c r="C13" s="390"/>
      <c r="E13" s="387">
        <v>969369</v>
      </c>
      <c r="F13" s="384"/>
      <c r="G13" s="381"/>
    </row>
    <row r="14" spans="1:8">
      <c r="A14" s="386" t="s">
        <v>1140</v>
      </c>
      <c r="B14" s="384"/>
      <c r="C14" s="390"/>
      <c r="E14" s="387">
        <v>732009</v>
      </c>
      <c r="F14" s="384"/>
      <c r="G14" s="381"/>
    </row>
    <row r="15" spans="1:8">
      <c r="A15" s="386" t="s">
        <v>1141</v>
      </c>
      <c r="B15" s="384"/>
      <c r="C15" s="390"/>
      <c r="E15" s="394"/>
      <c r="F15" s="384"/>
      <c r="G15" s="381"/>
    </row>
    <row r="16" spans="1:8">
      <c r="A16" s="386" t="s">
        <v>1142</v>
      </c>
      <c r="B16" s="384"/>
      <c r="C16" s="390"/>
      <c r="E16" s="387">
        <v>3079421</v>
      </c>
      <c r="F16" s="384"/>
      <c r="G16" s="381"/>
    </row>
    <row r="17" spans="1:7">
      <c r="A17" s="386" t="s">
        <v>1143</v>
      </c>
      <c r="B17" s="384"/>
      <c r="C17" s="390"/>
      <c r="E17" s="387">
        <v>767728</v>
      </c>
      <c r="F17" s="384"/>
      <c r="G17" s="381"/>
    </row>
    <row r="18" spans="1:7">
      <c r="A18" s="386" t="s">
        <v>1144</v>
      </c>
      <c r="B18" s="384"/>
      <c r="C18" s="390"/>
      <c r="E18" s="387">
        <v>976365</v>
      </c>
      <c r="F18" s="384"/>
      <c r="G18" s="381"/>
    </row>
    <row r="19" spans="1:7">
      <c r="A19" s="386" t="s">
        <v>1145</v>
      </c>
      <c r="B19" s="384"/>
      <c r="C19" s="390"/>
      <c r="E19" s="387">
        <v>208042</v>
      </c>
      <c r="F19" s="384"/>
      <c r="G19" s="381"/>
    </row>
    <row r="20" spans="1:7">
      <c r="A20" s="386" t="s">
        <v>1146</v>
      </c>
      <c r="B20" s="384"/>
      <c r="C20" s="390"/>
      <c r="E20" s="387">
        <v>831479</v>
      </c>
      <c r="F20" s="384"/>
      <c r="G20" s="381"/>
    </row>
    <row r="21" spans="1:7">
      <c r="A21" s="386" t="s">
        <v>1147</v>
      </c>
      <c r="B21" s="384"/>
      <c r="C21" s="390"/>
      <c r="E21" s="387">
        <v>1087381</v>
      </c>
      <c r="F21" s="384"/>
      <c r="G21" s="381"/>
    </row>
    <row r="22" spans="1:7">
      <c r="A22" s="386" t="s">
        <v>1148</v>
      </c>
      <c r="B22" s="384"/>
      <c r="C22" s="390"/>
      <c r="D22" s="387">
        <v>311178</v>
      </c>
      <c r="E22" s="390"/>
      <c r="F22" s="384"/>
      <c r="G22" s="381"/>
    </row>
    <row r="23" spans="1:7">
      <c r="A23" s="386" t="s">
        <v>1149</v>
      </c>
      <c r="B23" s="384"/>
      <c r="C23" s="390"/>
      <c r="D23" s="387">
        <v>1216771</v>
      </c>
      <c r="E23" s="390"/>
      <c r="F23" s="384"/>
      <c r="G23" s="381"/>
    </row>
    <row r="24" spans="1:7">
      <c r="A24" s="386"/>
      <c r="B24" s="384"/>
      <c r="C24" s="390"/>
      <c r="D24" s="387"/>
      <c r="E24" s="390"/>
      <c r="F24" s="384"/>
      <c r="G24" s="381"/>
    </row>
    <row r="25" spans="1:7">
      <c r="A25" s="385" t="s">
        <v>45</v>
      </c>
      <c r="B25" s="384"/>
      <c r="C25" s="397"/>
      <c r="D25" s="390"/>
      <c r="E25" s="397"/>
      <c r="F25" s="398"/>
      <c r="G25" s="381"/>
    </row>
    <row r="26" spans="1:7">
      <c r="A26" s="386" t="s">
        <v>1132</v>
      </c>
      <c r="B26" s="384"/>
      <c r="C26" s="388"/>
      <c r="D26" s="402">
        <v>48165</v>
      </c>
      <c r="E26" s="388"/>
      <c r="F26" s="398"/>
      <c r="G26" s="381"/>
    </row>
    <row r="27" spans="1:7">
      <c r="A27" s="386" t="s">
        <v>1150</v>
      </c>
      <c r="B27" s="384"/>
      <c r="C27" s="397"/>
      <c r="D27" s="387">
        <v>624308</v>
      </c>
      <c r="E27" s="397"/>
      <c r="F27" s="398"/>
      <c r="G27" s="381"/>
    </row>
    <row r="28" spans="1:7">
      <c r="A28" s="386" t="s">
        <v>1151</v>
      </c>
      <c r="B28" s="384"/>
      <c r="C28" s="397"/>
      <c r="D28" s="387">
        <v>88496</v>
      </c>
      <c r="E28" s="397"/>
      <c r="F28" s="398"/>
      <c r="G28" s="381"/>
    </row>
    <row r="29" spans="1:7">
      <c r="A29" s="386" t="s">
        <v>1152</v>
      </c>
      <c r="B29" s="384"/>
      <c r="C29" s="397"/>
      <c r="D29" s="403">
        <v>2912</v>
      </c>
      <c r="E29" s="397"/>
      <c r="F29" s="398"/>
      <c r="G29" s="381"/>
    </row>
    <row r="30" spans="1:7">
      <c r="A30" s="386" t="s">
        <v>1153</v>
      </c>
      <c r="B30" s="384"/>
      <c r="C30" s="397"/>
      <c r="D30" s="403">
        <v>156514</v>
      </c>
      <c r="E30" s="397"/>
      <c r="F30" s="398"/>
      <c r="G30" s="381"/>
    </row>
    <row r="31" spans="1:7">
      <c r="A31" s="386" t="s">
        <v>1154</v>
      </c>
      <c r="B31" s="384"/>
      <c r="C31" s="397"/>
      <c r="D31" s="403">
        <v>61947</v>
      </c>
      <c r="E31" s="397"/>
      <c r="F31" s="398"/>
      <c r="G31" s="381"/>
    </row>
    <row r="32" spans="1:7">
      <c r="A32" s="386" t="s">
        <v>1138</v>
      </c>
      <c r="B32" s="384"/>
      <c r="C32" s="397"/>
      <c r="D32" s="390"/>
      <c r="E32" s="397"/>
      <c r="F32" s="398"/>
      <c r="G32" s="381"/>
    </row>
    <row r="33" spans="1:7">
      <c r="A33" s="386" t="s">
        <v>1139</v>
      </c>
      <c r="B33" s="384"/>
      <c r="C33" s="397"/>
      <c r="E33" s="387">
        <v>22697</v>
      </c>
      <c r="F33" s="398"/>
      <c r="G33" s="381"/>
    </row>
    <row r="34" spans="1:7">
      <c r="A34" s="386" t="s">
        <v>1155</v>
      </c>
      <c r="B34" s="384"/>
      <c r="C34" s="397"/>
      <c r="E34" s="387">
        <v>67089</v>
      </c>
      <c r="F34" s="398"/>
      <c r="G34" s="381"/>
    </row>
    <row r="35" spans="1:7">
      <c r="A35" s="386" t="s">
        <v>1156</v>
      </c>
      <c r="B35" s="384"/>
      <c r="C35" s="397"/>
      <c r="E35" s="387">
        <v>152129</v>
      </c>
      <c r="F35" s="398"/>
      <c r="G35" s="381"/>
    </row>
    <row r="36" spans="1:7">
      <c r="A36" s="386" t="s">
        <v>1149</v>
      </c>
      <c r="B36" s="384"/>
      <c r="C36" s="397"/>
      <c r="D36" s="387">
        <v>86122</v>
      </c>
      <c r="E36" s="397"/>
      <c r="F36" s="398"/>
      <c r="G36" s="381"/>
    </row>
    <row r="37" spans="1:7">
      <c r="A37" s="386" t="s">
        <v>1157</v>
      </c>
      <c r="B37" s="384"/>
      <c r="C37" s="397"/>
      <c r="D37" s="395">
        <v>68035</v>
      </c>
      <c r="E37" s="397"/>
      <c r="F37" s="398"/>
      <c r="G37" s="381"/>
    </row>
    <row r="38" spans="1:7">
      <c r="A38" s="396"/>
      <c r="B38" s="396"/>
      <c r="C38" s="396"/>
      <c r="D38" s="396"/>
      <c r="E38" s="396"/>
      <c r="F38" s="384"/>
      <c r="G38" s="381"/>
    </row>
    <row r="39" spans="1:7">
      <c r="A39" s="385" t="s">
        <v>1072</v>
      </c>
      <c r="B39" s="383"/>
      <c r="C39" s="400"/>
      <c r="D39" s="401"/>
      <c r="E39" s="400"/>
      <c r="F39" s="384"/>
      <c r="G39" s="381"/>
    </row>
    <row r="40" spans="1:7">
      <c r="A40" s="386" t="s">
        <v>1132</v>
      </c>
      <c r="B40" s="384"/>
      <c r="C40" s="390"/>
      <c r="D40" s="387">
        <v>135012</v>
      </c>
      <c r="E40" s="390"/>
      <c r="F40" s="384"/>
      <c r="G40" s="381"/>
    </row>
    <row r="41" spans="1:7">
      <c r="A41" s="386" t="s">
        <v>1150</v>
      </c>
      <c r="B41" s="384"/>
      <c r="C41" s="390"/>
      <c r="D41" s="387">
        <v>347812</v>
      </c>
      <c r="E41" s="390"/>
      <c r="F41" s="384"/>
      <c r="G41" s="381"/>
    </row>
    <row r="42" spans="1:7">
      <c r="A42" s="386" t="s">
        <v>1151</v>
      </c>
      <c r="B42" s="384"/>
      <c r="C42" s="390"/>
      <c r="D42" s="387">
        <v>78481</v>
      </c>
      <c r="E42" s="390"/>
      <c r="F42" s="384"/>
      <c r="G42" s="381"/>
    </row>
    <row r="43" spans="1:7">
      <c r="A43" s="386" t="s">
        <v>1152</v>
      </c>
      <c r="B43" s="384"/>
      <c r="C43" s="390"/>
      <c r="D43" s="387">
        <v>22917</v>
      </c>
      <c r="E43" s="390"/>
      <c r="F43" s="384"/>
      <c r="G43" s="381"/>
    </row>
    <row r="44" spans="1:7">
      <c r="A44" s="386" t="s">
        <v>1158</v>
      </c>
      <c r="B44" s="384"/>
      <c r="C44" s="390"/>
      <c r="D44" s="387">
        <v>196528</v>
      </c>
      <c r="E44" s="390"/>
      <c r="F44" s="384"/>
      <c r="G44" s="381"/>
    </row>
    <row r="45" spans="1:7">
      <c r="A45" s="386" t="s">
        <v>1159</v>
      </c>
      <c r="B45" s="384"/>
      <c r="C45" s="390"/>
      <c r="D45" s="387">
        <v>41636</v>
      </c>
      <c r="E45" s="390"/>
      <c r="F45" s="384"/>
      <c r="G45" s="381"/>
    </row>
    <row r="46" spans="1:7">
      <c r="A46" s="386" t="s">
        <v>1160</v>
      </c>
      <c r="B46" s="384"/>
      <c r="C46" s="390"/>
      <c r="D46" s="392">
        <v>24333</v>
      </c>
      <c r="E46" s="390"/>
      <c r="F46" s="384"/>
      <c r="G46" s="381"/>
    </row>
    <row r="47" spans="1:7">
      <c r="A47" s="386" t="s">
        <v>1161</v>
      </c>
      <c r="B47" s="384"/>
      <c r="C47" s="390"/>
      <c r="D47" s="403">
        <v>4683</v>
      </c>
      <c r="E47" s="390"/>
      <c r="F47" s="384"/>
      <c r="G47" s="381"/>
    </row>
    <row r="48" spans="1:7">
      <c r="A48" s="386" t="s">
        <v>1162</v>
      </c>
      <c r="B48" s="384"/>
      <c r="C48" s="390"/>
      <c r="D48" s="387">
        <v>96218</v>
      </c>
      <c r="E48" s="390"/>
      <c r="F48" s="384"/>
      <c r="G48" s="381"/>
    </row>
    <row r="49" spans="1:7">
      <c r="A49" s="386" t="s">
        <v>1163</v>
      </c>
      <c r="B49" s="384"/>
      <c r="C49" s="390"/>
      <c r="D49" s="387">
        <v>6425</v>
      </c>
      <c r="E49" s="390"/>
      <c r="F49" s="384"/>
      <c r="G49" s="381"/>
    </row>
    <row r="50" spans="1:7">
      <c r="A50" s="386" t="s">
        <v>1164</v>
      </c>
      <c r="B50" s="384"/>
      <c r="C50" s="390"/>
      <c r="D50" s="387">
        <v>588039</v>
      </c>
      <c r="E50" s="390"/>
      <c r="F50" s="384"/>
      <c r="G50" s="381"/>
    </row>
    <row r="51" spans="1:7">
      <c r="A51" s="386" t="s">
        <v>1138</v>
      </c>
      <c r="B51" s="384"/>
      <c r="C51" s="390"/>
      <c r="D51" s="390"/>
      <c r="E51" s="390"/>
      <c r="F51" s="384"/>
      <c r="G51" s="381"/>
    </row>
    <row r="52" spans="1:7">
      <c r="A52" s="386" t="s">
        <v>1139</v>
      </c>
      <c r="B52" s="384"/>
      <c r="C52" s="390"/>
      <c r="E52" s="403">
        <v>121977</v>
      </c>
      <c r="F52" s="384"/>
      <c r="G52" s="381"/>
    </row>
    <row r="53" spans="1:7">
      <c r="A53" s="386" t="s">
        <v>1155</v>
      </c>
      <c r="B53" s="384"/>
      <c r="C53" s="390"/>
      <c r="E53" s="403">
        <v>130733</v>
      </c>
      <c r="F53" s="384"/>
      <c r="G53" s="381"/>
    </row>
    <row r="54" spans="1:7">
      <c r="A54" s="386" t="s">
        <v>1156</v>
      </c>
      <c r="B54" s="384"/>
      <c r="C54" s="390"/>
      <c r="E54" s="387">
        <v>655881</v>
      </c>
      <c r="F54" s="384"/>
      <c r="G54" s="381"/>
    </row>
    <row r="55" spans="1:7">
      <c r="A55" s="386" t="s">
        <v>1165</v>
      </c>
      <c r="B55" s="384"/>
      <c r="C55" s="390"/>
      <c r="E55" s="387">
        <v>100842</v>
      </c>
      <c r="F55" s="384"/>
      <c r="G55" s="381"/>
    </row>
    <row r="56" spans="1:7">
      <c r="A56" s="386" t="s">
        <v>1166</v>
      </c>
      <c r="B56" s="384"/>
      <c r="C56" s="390"/>
      <c r="E56" s="387">
        <v>54188</v>
      </c>
      <c r="F56" s="384"/>
      <c r="G56" s="381"/>
    </row>
    <row r="57" spans="1:7">
      <c r="A57" s="386" t="s">
        <v>1167</v>
      </c>
      <c r="B57" s="384"/>
      <c r="C57" s="390"/>
      <c r="E57" s="387">
        <v>87572</v>
      </c>
      <c r="F57" s="384"/>
      <c r="G57" s="381"/>
    </row>
    <row r="58" spans="1:7">
      <c r="A58" s="386" t="s">
        <v>1168</v>
      </c>
      <c r="B58" s="384"/>
      <c r="C58" s="390"/>
      <c r="E58" s="387">
        <v>25482</v>
      </c>
      <c r="F58" s="384"/>
      <c r="G58" s="381"/>
    </row>
    <row r="59" spans="1:7">
      <c r="A59" s="386" t="s">
        <v>1169</v>
      </c>
      <c r="B59" s="384"/>
      <c r="C59" s="390"/>
      <c r="E59" s="403">
        <v>25772</v>
      </c>
      <c r="F59" s="384"/>
      <c r="G59" s="381"/>
    </row>
    <row r="60" spans="1:7">
      <c r="A60" s="386" t="s">
        <v>1170</v>
      </c>
      <c r="B60" s="384"/>
      <c r="C60" s="390"/>
      <c r="E60" s="387">
        <v>29580</v>
      </c>
      <c r="F60" s="384"/>
      <c r="G60" s="381"/>
    </row>
    <row r="61" spans="1:7">
      <c r="A61" s="386" t="s">
        <v>1149</v>
      </c>
      <c r="B61" s="384"/>
      <c r="C61" s="390"/>
      <c r="D61" s="387">
        <v>364840</v>
      </c>
      <c r="E61" s="390"/>
      <c r="F61" s="384"/>
      <c r="G61" s="381"/>
    </row>
    <row r="62" spans="1:7">
      <c r="A62" s="386" t="s">
        <v>1157</v>
      </c>
      <c r="B62" s="384"/>
      <c r="C62" s="390"/>
      <c r="D62" s="395">
        <v>20311</v>
      </c>
      <c r="E62" s="390"/>
      <c r="F62" s="384"/>
      <c r="G62" s="381"/>
    </row>
    <row r="63" spans="1:7">
      <c r="A63" s="386"/>
      <c r="B63" s="384"/>
      <c r="C63" s="390"/>
      <c r="D63" s="387"/>
      <c r="E63" s="390"/>
      <c r="F63" s="384"/>
      <c r="G63" s="381"/>
    </row>
    <row r="64" spans="1:7">
      <c r="A64" s="385" t="s">
        <v>1171</v>
      </c>
      <c r="B64" s="384"/>
      <c r="C64" s="397"/>
      <c r="D64" s="390"/>
      <c r="E64" s="397"/>
      <c r="F64" s="398"/>
      <c r="G64" s="381"/>
    </row>
    <row r="65" spans="1:8">
      <c r="A65" s="386" t="s">
        <v>1172</v>
      </c>
      <c r="B65" s="384"/>
      <c r="C65" s="388"/>
      <c r="D65" s="402">
        <v>94748</v>
      </c>
      <c r="E65" s="388"/>
      <c r="F65" s="398"/>
      <c r="G65" s="381"/>
    </row>
    <row r="66" spans="1:8">
      <c r="A66" s="386" t="s">
        <v>1173</v>
      </c>
      <c r="B66" s="384"/>
      <c r="C66" s="402"/>
      <c r="D66" s="404">
        <v>155580</v>
      </c>
      <c r="E66" s="402"/>
      <c r="H66" s="398"/>
    </row>
    <row r="67" spans="1:8">
      <c r="A67" s="386" t="s">
        <v>1174</v>
      </c>
      <c r="B67" s="384"/>
      <c r="C67" s="397"/>
      <c r="D67" s="387">
        <v>6163</v>
      </c>
      <c r="E67" s="397"/>
      <c r="F67" s="398"/>
      <c r="G67" s="381"/>
    </row>
    <row r="68" spans="1:8">
      <c r="A68" s="386" t="s">
        <v>1175</v>
      </c>
      <c r="B68" s="384"/>
      <c r="C68" s="397"/>
      <c r="D68" s="395">
        <v>809</v>
      </c>
      <c r="E68" s="397"/>
      <c r="F68" s="398"/>
      <c r="G68" s="381"/>
    </row>
    <row r="69" spans="1:8">
      <c r="A69" s="384"/>
      <c r="B69" s="384"/>
      <c r="C69" s="399"/>
      <c r="D69" s="389"/>
      <c r="E69" s="384"/>
      <c r="F69" s="384"/>
      <c r="G69" s="381"/>
    </row>
    <row r="70" spans="1:8">
      <c r="A70" s="385" t="s">
        <v>1176</v>
      </c>
      <c r="B70" s="383"/>
      <c r="C70" s="383"/>
      <c r="D70" s="405"/>
      <c r="E70" s="383"/>
      <c r="F70" s="384"/>
      <c r="G70" s="381"/>
    </row>
    <row r="71" spans="1:8">
      <c r="A71" s="386" t="s">
        <v>1177</v>
      </c>
      <c r="B71" s="384"/>
      <c r="C71" s="390"/>
      <c r="D71" s="387">
        <v>34461</v>
      </c>
      <c r="E71" s="390"/>
      <c r="F71" s="384"/>
      <c r="G71" s="381"/>
    </row>
    <row r="72" spans="1:8">
      <c r="A72" s="386" t="s">
        <v>1178</v>
      </c>
      <c r="B72" s="384"/>
      <c r="C72" s="390"/>
      <c r="D72" s="387">
        <v>101266</v>
      </c>
      <c r="E72" s="390"/>
      <c r="F72" s="384"/>
      <c r="G72" s="381"/>
    </row>
    <row r="73" spans="1:8">
      <c r="A73" s="386" t="s">
        <v>1179</v>
      </c>
      <c r="B73" s="384"/>
      <c r="C73" s="390"/>
      <c r="D73" s="387">
        <v>399017</v>
      </c>
      <c r="E73" s="390"/>
      <c r="F73" s="384"/>
      <c r="G73" s="381"/>
    </row>
    <row r="74" spans="1:8">
      <c r="A74" s="386" t="s">
        <v>1180</v>
      </c>
      <c r="B74" s="384"/>
      <c r="C74" s="390"/>
      <c r="D74" s="387">
        <v>47160</v>
      </c>
      <c r="E74" s="390"/>
      <c r="F74" s="384"/>
      <c r="G74" s="381"/>
    </row>
    <row r="75" spans="1:8">
      <c r="A75" s="386" t="s">
        <v>1149</v>
      </c>
      <c r="B75" s="384"/>
      <c r="C75" s="390"/>
      <c r="D75" s="395">
        <v>57547</v>
      </c>
      <c r="E75" s="390"/>
      <c r="F75" s="396"/>
      <c r="G75" s="381"/>
    </row>
    <row r="76" spans="1:8">
      <c r="G76" s="381"/>
    </row>
    <row r="77" spans="1:8">
      <c r="A77" s="385" t="s">
        <v>1181</v>
      </c>
      <c r="B77" s="384"/>
      <c r="C77" s="398"/>
      <c r="D77" s="389"/>
      <c r="E77" s="398"/>
      <c r="F77" s="398"/>
      <c r="G77" s="381"/>
    </row>
    <row r="78" spans="1:8">
      <c r="A78" s="386" t="s">
        <v>1182</v>
      </c>
      <c r="B78" s="384"/>
      <c r="C78" s="397"/>
      <c r="D78" s="387">
        <v>2084771</v>
      </c>
      <c r="E78" s="397"/>
      <c r="F78" s="398"/>
      <c r="G78" s="381"/>
    </row>
    <row r="79" spans="1:8">
      <c r="A79" s="386" t="s">
        <v>1183</v>
      </c>
      <c r="B79" s="384"/>
      <c r="C79" s="397"/>
      <c r="D79" s="387">
        <v>177849</v>
      </c>
      <c r="E79" s="397"/>
      <c r="F79" s="398"/>
      <c r="G79" s="381"/>
    </row>
    <row r="80" spans="1:8">
      <c r="A80" s="386" t="s">
        <v>1184</v>
      </c>
      <c r="B80" s="384"/>
      <c r="C80" s="397"/>
      <c r="D80" s="387">
        <v>426883</v>
      </c>
      <c r="E80" s="397"/>
      <c r="F80" s="398"/>
      <c r="G80" s="381"/>
    </row>
    <row r="81" spans="1:7">
      <c r="A81" s="386" t="s">
        <v>1185</v>
      </c>
      <c r="B81" s="384"/>
      <c r="C81" s="397"/>
      <c r="D81" s="387">
        <v>636381</v>
      </c>
      <c r="E81" s="397"/>
      <c r="F81" s="398"/>
      <c r="G81" s="381"/>
    </row>
    <row r="82" spans="1:7">
      <c r="A82" s="386" t="s">
        <v>1186</v>
      </c>
      <c r="B82" s="384"/>
      <c r="C82" s="397"/>
      <c r="D82" s="387">
        <v>434106</v>
      </c>
      <c r="E82" s="397"/>
      <c r="F82" s="398"/>
      <c r="G82" s="391"/>
    </row>
    <row r="83" spans="1:7">
      <c r="A83" s="386" t="s">
        <v>1187</v>
      </c>
      <c r="B83" s="384"/>
      <c r="C83" s="397"/>
      <c r="D83" s="387">
        <v>6151649</v>
      </c>
      <c r="E83" s="397"/>
      <c r="F83" s="398"/>
      <c r="G83" s="396"/>
    </row>
    <row r="84" spans="1:7">
      <c r="A84" s="386" t="s">
        <v>1188</v>
      </c>
      <c r="B84" s="384"/>
      <c r="C84" s="397"/>
      <c r="D84" s="387">
        <v>-252520</v>
      </c>
      <c r="E84" s="397"/>
      <c r="F84" s="398"/>
      <c r="G84" s="396"/>
    </row>
    <row r="85" spans="1:7">
      <c r="A85" s="386" t="s">
        <v>1189</v>
      </c>
      <c r="B85" s="384"/>
      <c r="C85" s="397"/>
      <c r="D85" s="387">
        <v>63052</v>
      </c>
      <c r="E85" s="397"/>
      <c r="F85" s="398"/>
      <c r="G85" s="396"/>
    </row>
    <row r="86" spans="1:7">
      <c r="A86" s="386" t="s">
        <v>1190</v>
      </c>
      <c r="B86" s="384"/>
      <c r="C86" s="397"/>
      <c r="D86" s="387">
        <v>383591</v>
      </c>
      <c r="E86" s="397"/>
      <c r="F86" s="398"/>
      <c r="G86" s="394"/>
    </row>
    <row r="87" spans="1:7">
      <c r="A87" s="386" t="s">
        <v>1191</v>
      </c>
      <c r="B87" s="384"/>
      <c r="C87" s="397"/>
      <c r="E87" s="387">
        <v>301348</v>
      </c>
      <c r="F87" s="398"/>
      <c r="G87" s="396"/>
    </row>
    <row r="88" spans="1:7">
      <c r="A88" s="386" t="s">
        <v>1192</v>
      </c>
      <c r="B88" s="384"/>
      <c r="C88" s="397"/>
      <c r="E88" s="406">
        <v>387389</v>
      </c>
      <c r="F88" s="398"/>
      <c r="G88" s="396"/>
    </row>
    <row r="89" spans="1:7">
      <c r="A89" s="386" t="s">
        <v>1149</v>
      </c>
      <c r="B89" s="384"/>
      <c r="C89" s="397"/>
      <c r="D89" s="406">
        <v>352903</v>
      </c>
      <c r="E89" s="397"/>
      <c r="F89" s="398"/>
      <c r="G89" s="381"/>
    </row>
    <row r="90" spans="1:7">
      <c r="G90" s="381"/>
    </row>
    <row r="91" spans="1:7">
      <c r="C91" s="163" t="s">
        <v>1194</v>
      </c>
      <c r="D91" s="407">
        <f>SUM(D6:D89)</f>
        <v>21791226</v>
      </c>
      <c r="E91" s="407">
        <f>SUM(E8:E89)</f>
        <v>10814473</v>
      </c>
      <c r="G91" s="381"/>
    </row>
    <row r="92" spans="1:7">
      <c r="G92" s="381"/>
    </row>
    <row r="93" spans="1:7">
      <c r="B93" s="384"/>
      <c r="C93" s="387"/>
      <c r="D93" s="388"/>
      <c r="E93" s="387"/>
      <c r="G93" s="381"/>
    </row>
    <row r="94" spans="1:7">
      <c r="G94" s="381"/>
    </row>
    <row r="95" spans="1:7">
      <c r="G95" s="381"/>
    </row>
    <row r="96" spans="1:7">
      <c r="G96" s="381"/>
    </row>
    <row r="97" spans="1:7">
      <c r="A97" s="396"/>
      <c r="B97" s="396"/>
      <c r="C97" s="396"/>
      <c r="D97" s="396"/>
      <c r="E97" s="396"/>
      <c r="F97" s="396"/>
      <c r="G97" s="381"/>
    </row>
    <row r="98" spans="1:7">
      <c r="B98" s="396"/>
      <c r="C98" s="396"/>
      <c r="D98" s="396"/>
      <c r="E98" s="396"/>
      <c r="F98" s="396"/>
      <c r="G98" s="381"/>
    </row>
    <row r="99" spans="1:7">
      <c r="A99" s="396"/>
      <c r="B99" s="396"/>
      <c r="C99" s="396"/>
      <c r="D99" s="396"/>
      <c r="E99" s="396"/>
      <c r="F99" s="396"/>
      <c r="G99" s="381"/>
    </row>
    <row r="100" spans="1:7">
      <c r="A100" s="396"/>
      <c r="B100" s="396"/>
      <c r="C100" s="396"/>
      <c r="D100" s="396"/>
      <c r="E100" s="396"/>
      <c r="F100" s="396"/>
      <c r="G100" s="381"/>
    </row>
    <row r="101" spans="1:7">
      <c r="A101" s="396"/>
      <c r="B101" s="396"/>
      <c r="C101" s="396"/>
      <c r="D101" s="396"/>
      <c r="E101" s="396"/>
      <c r="F101" s="396"/>
      <c r="G101" s="381"/>
    </row>
    <row r="102" spans="1:7">
      <c r="A102" s="396"/>
      <c r="B102" s="396"/>
      <c r="C102" s="396"/>
      <c r="D102" s="396"/>
      <c r="E102" s="396"/>
      <c r="F102" s="396"/>
      <c r="G102" s="381"/>
    </row>
    <row r="103" spans="1:7">
      <c r="A103" s="396"/>
      <c r="B103" s="396"/>
      <c r="C103" s="396"/>
      <c r="D103" s="396"/>
      <c r="E103" s="396"/>
      <c r="F103" s="396"/>
      <c r="G103" s="396"/>
    </row>
    <row r="104" spans="1:7">
      <c r="A104" s="396"/>
      <c r="B104" s="396"/>
      <c r="C104" s="396"/>
      <c r="D104" s="396"/>
      <c r="E104" s="396"/>
      <c r="F104" s="396"/>
      <c r="G104" s="396"/>
    </row>
    <row r="105" spans="1:7">
      <c r="A105" s="396"/>
      <c r="B105" s="396"/>
      <c r="C105" s="396"/>
      <c r="D105" s="396"/>
      <c r="E105" s="396"/>
      <c r="F105" s="396"/>
    </row>
    <row r="106" spans="1:7">
      <c r="A106" s="396"/>
      <c r="B106" s="396"/>
      <c r="C106" s="396"/>
      <c r="D106" s="396"/>
      <c r="E106" s="396"/>
      <c r="F106" s="396"/>
      <c r="G106" s="396"/>
    </row>
    <row r="107" spans="1:7">
      <c r="A107" s="396"/>
      <c r="B107" s="396"/>
      <c r="C107" s="396"/>
      <c r="D107" s="396"/>
      <c r="E107" s="396"/>
      <c r="F107" s="396"/>
      <c r="G107" s="396"/>
    </row>
    <row r="108" spans="1:7">
      <c r="A108" s="396"/>
      <c r="B108" s="396"/>
      <c r="C108" s="396"/>
      <c r="D108" s="396"/>
      <c r="E108" s="396"/>
      <c r="F108" s="396"/>
      <c r="G108" s="396"/>
    </row>
    <row r="109" spans="1:7">
      <c r="A109" s="396"/>
      <c r="B109" s="396"/>
      <c r="C109" s="396"/>
      <c r="D109" s="396"/>
      <c r="E109" s="396"/>
      <c r="F109" s="396"/>
      <c r="G109" s="396"/>
    </row>
    <row r="110" spans="1:7">
      <c r="G110" s="396"/>
    </row>
    <row r="111" spans="1:7">
      <c r="A111" s="396"/>
      <c r="B111" s="396"/>
      <c r="C111" s="396"/>
      <c r="D111" s="396"/>
      <c r="E111" s="396"/>
      <c r="F111" s="396"/>
      <c r="G111" s="396"/>
    </row>
    <row r="112" spans="1:7">
      <c r="A112" s="396"/>
      <c r="B112" s="396"/>
      <c r="C112" s="396"/>
      <c r="D112" s="396"/>
      <c r="E112" s="396"/>
      <c r="F112" s="396"/>
      <c r="G112" s="396"/>
    </row>
    <row r="113" spans="1:7">
      <c r="A113" s="396"/>
      <c r="B113" s="396"/>
      <c r="C113" s="396"/>
      <c r="D113" s="396"/>
      <c r="E113" s="396"/>
      <c r="F113" s="396"/>
      <c r="G113" s="396"/>
    </row>
    <row r="114" spans="1:7">
      <c r="A114" s="396"/>
      <c r="B114" s="396"/>
      <c r="C114" s="396"/>
      <c r="D114" s="396"/>
      <c r="E114" s="396"/>
      <c r="F114" s="396"/>
      <c r="G114" s="396"/>
    </row>
    <row r="115" spans="1:7">
      <c r="A115" s="396"/>
      <c r="B115" s="396"/>
      <c r="C115" s="396"/>
      <c r="D115" s="396"/>
      <c r="E115" s="396"/>
      <c r="F115" s="396"/>
      <c r="G115" s="396"/>
    </row>
    <row r="116" spans="1:7">
      <c r="A116" s="396"/>
      <c r="B116" s="396"/>
      <c r="C116" s="396"/>
      <c r="D116" s="396"/>
      <c r="E116" s="396"/>
      <c r="F116" s="396"/>
      <c r="G116" s="396"/>
    </row>
    <row r="117" spans="1:7">
      <c r="G117" s="396"/>
    </row>
    <row r="118" spans="1:7">
      <c r="G118" s="396"/>
    </row>
    <row r="119" spans="1:7">
      <c r="G119" s="396"/>
    </row>
    <row r="120" spans="1:7">
      <c r="G120" s="396"/>
    </row>
    <row r="121" spans="1:7">
      <c r="G121" s="396"/>
    </row>
    <row r="122" spans="1:7">
      <c r="G122" s="396"/>
    </row>
    <row r="123" spans="1:7">
      <c r="G123" s="396"/>
    </row>
    <row r="124" spans="1:7">
      <c r="G124" s="396"/>
    </row>
    <row r="125" spans="1:7">
      <c r="A125" s="396"/>
      <c r="B125" s="396"/>
      <c r="C125" s="396"/>
      <c r="D125" s="396"/>
      <c r="E125" s="396"/>
      <c r="F125" s="396"/>
      <c r="G125" s="396"/>
    </row>
    <row r="126" spans="1:7">
      <c r="A126" s="396"/>
      <c r="B126" s="396"/>
      <c r="C126" s="396"/>
      <c r="D126" s="396"/>
      <c r="E126" s="396"/>
      <c r="F126" s="396"/>
      <c r="G126" s="396"/>
    </row>
    <row r="127" spans="1:7">
      <c r="A127" s="396"/>
      <c r="B127" s="396"/>
      <c r="C127" s="396"/>
      <c r="D127" s="396"/>
      <c r="E127" s="396"/>
      <c r="F127" s="396"/>
      <c r="G127" s="396"/>
    </row>
    <row r="128" spans="1:7">
      <c r="A128" s="396"/>
      <c r="B128" s="396"/>
      <c r="C128" s="396"/>
      <c r="D128" s="396"/>
      <c r="E128" s="396"/>
      <c r="F128" s="396"/>
      <c r="G128" s="396"/>
    </row>
    <row r="129" spans="1:7">
      <c r="A129" s="396"/>
      <c r="B129" s="396"/>
      <c r="C129" s="396"/>
      <c r="D129" s="396"/>
      <c r="E129" s="396"/>
      <c r="F129" s="396"/>
      <c r="G129" s="396"/>
    </row>
    <row r="130" spans="1:7">
      <c r="A130" s="396"/>
      <c r="B130" s="396"/>
      <c r="C130" s="396"/>
      <c r="D130" s="396"/>
      <c r="E130" s="396"/>
      <c r="F130" s="396"/>
      <c r="G130" s="396"/>
    </row>
    <row r="131" spans="1:7">
      <c r="A131" s="396"/>
      <c r="B131" s="396"/>
      <c r="C131" s="396"/>
      <c r="D131" s="396"/>
      <c r="E131" s="396"/>
      <c r="F131" s="396"/>
      <c r="G131" s="396"/>
    </row>
    <row r="132" spans="1:7">
      <c r="A132" s="396"/>
      <c r="B132" s="396"/>
      <c r="C132" s="396"/>
      <c r="D132" s="396"/>
      <c r="E132" s="396"/>
      <c r="F132" s="396"/>
      <c r="G132" s="396"/>
    </row>
    <row r="133" spans="1:7">
      <c r="A133" s="396"/>
      <c r="B133" s="396"/>
      <c r="C133" s="396"/>
      <c r="D133" s="396"/>
      <c r="E133" s="396"/>
      <c r="F133" s="396"/>
      <c r="G133" s="396"/>
    </row>
    <row r="134" spans="1:7">
      <c r="A134" s="396"/>
      <c r="B134" s="396"/>
      <c r="C134" s="396"/>
      <c r="D134" s="396"/>
      <c r="E134" s="396"/>
      <c r="F134" s="396"/>
      <c r="G134" s="396"/>
    </row>
    <row r="135" spans="1:7">
      <c r="A135" s="396"/>
      <c r="B135" s="396"/>
      <c r="C135" s="396"/>
      <c r="D135" s="396"/>
      <c r="E135" s="396"/>
      <c r="F135" s="396"/>
      <c r="G135" s="396"/>
    </row>
    <row r="136" spans="1:7">
      <c r="A136" s="396"/>
      <c r="B136" s="396"/>
      <c r="C136" s="396"/>
      <c r="D136" s="396"/>
      <c r="E136" s="396"/>
      <c r="F136" s="396"/>
      <c r="G136" s="396"/>
    </row>
    <row r="137" spans="1:7">
      <c r="A137" s="396"/>
      <c r="B137" s="396"/>
      <c r="C137" s="396"/>
      <c r="D137" s="396"/>
      <c r="E137" s="396"/>
      <c r="F137" s="396"/>
      <c r="G137" s="396"/>
    </row>
    <row r="138" spans="1:7">
      <c r="A138" s="396"/>
      <c r="B138" s="396"/>
      <c r="C138" s="396"/>
      <c r="D138" s="396"/>
      <c r="E138" s="396"/>
      <c r="F138" s="396"/>
      <c r="G138" s="396"/>
    </row>
    <row r="139" spans="1:7">
      <c r="A139" s="396"/>
      <c r="B139" s="396"/>
      <c r="C139" s="396"/>
      <c r="D139" s="396"/>
      <c r="E139" s="396"/>
      <c r="F139" s="396"/>
      <c r="G139" s="396"/>
    </row>
    <row r="140" spans="1:7">
      <c r="A140" s="396"/>
      <c r="B140" s="396"/>
      <c r="C140" s="396"/>
      <c r="D140" s="396"/>
      <c r="E140" s="396"/>
      <c r="F140" s="396"/>
      <c r="G140" s="396"/>
    </row>
    <row r="141" spans="1:7">
      <c r="A141" s="396"/>
      <c r="B141" s="396"/>
      <c r="C141" s="396"/>
      <c r="D141" s="396"/>
      <c r="E141" s="396"/>
      <c r="F141" s="396"/>
      <c r="G141" s="396"/>
    </row>
    <row r="142" spans="1:7">
      <c r="A142" s="396"/>
      <c r="B142" s="396"/>
      <c r="C142" s="396"/>
      <c r="D142" s="396"/>
      <c r="E142" s="396"/>
      <c r="F142" s="396"/>
      <c r="G142" s="396"/>
    </row>
    <row r="143" spans="1:7">
      <c r="A143" s="396"/>
      <c r="B143" s="396"/>
      <c r="C143" s="396"/>
      <c r="D143" s="396"/>
      <c r="E143" s="396"/>
      <c r="F143" s="396"/>
      <c r="G143" s="396"/>
    </row>
    <row r="144" spans="1:7">
      <c r="A144" s="396"/>
      <c r="B144" s="396"/>
      <c r="C144" s="396"/>
      <c r="D144" s="396"/>
      <c r="E144" s="396"/>
      <c r="F144" s="396"/>
      <c r="G144" s="396"/>
    </row>
    <row r="145" spans="1:7">
      <c r="A145" s="396"/>
      <c r="B145" s="396"/>
      <c r="C145" s="396"/>
      <c r="D145" s="396"/>
      <c r="E145" s="396"/>
      <c r="F145" s="396"/>
      <c r="G145" s="396"/>
    </row>
    <row r="146" spans="1:7">
      <c r="A146" s="396"/>
      <c r="B146" s="396"/>
      <c r="C146" s="396"/>
      <c r="D146" s="396"/>
      <c r="E146" s="396"/>
      <c r="F146" s="396"/>
      <c r="G146" s="396"/>
    </row>
    <row r="147" spans="1:7">
      <c r="A147" s="396"/>
      <c r="B147" s="396"/>
      <c r="C147" s="396"/>
      <c r="D147" s="396"/>
      <c r="E147" s="396"/>
      <c r="F147" s="396"/>
    </row>
    <row r="148" spans="1:7">
      <c r="A148" s="396"/>
      <c r="B148" s="396"/>
      <c r="C148" s="396"/>
      <c r="D148" s="396"/>
      <c r="E148" s="396"/>
      <c r="F148" s="396"/>
    </row>
    <row r="149" spans="1:7">
      <c r="A149" s="396"/>
      <c r="B149" s="396"/>
      <c r="C149" s="396"/>
      <c r="D149" s="396"/>
      <c r="E149" s="396"/>
      <c r="F149" s="396"/>
    </row>
    <row r="150" spans="1:7">
      <c r="A150" s="396"/>
      <c r="B150" s="396"/>
      <c r="C150" s="396"/>
      <c r="D150" s="396"/>
      <c r="E150" s="396"/>
      <c r="F150" s="396"/>
    </row>
    <row r="151" spans="1:7">
      <c r="A151" s="396"/>
      <c r="B151" s="396"/>
      <c r="C151" s="396"/>
      <c r="D151" s="396"/>
      <c r="E151" s="396"/>
      <c r="F151" s="396"/>
    </row>
    <row r="152" spans="1:7">
      <c r="A152" s="396"/>
      <c r="B152" s="396"/>
      <c r="C152" s="396"/>
      <c r="D152" s="396"/>
      <c r="E152" s="396"/>
      <c r="F152" s="396"/>
      <c r="G152" s="396"/>
    </row>
    <row r="153" spans="1:7">
      <c r="A153" s="396"/>
      <c r="B153" s="396"/>
      <c r="C153" s="396"/>
      <c r="D153" s="396"/>
      <c r="E153" s="396"/>
      <c r="F153" s="396"/>
      <c r="G153" s="396"/>
    </row>
    <row r="154" spans="1:7">
      <c r="G154" s="396"/>
    </row>
    <row r="155" spans="1:7">
      <c r="G155" s="396"/>
    </row>
    <row r="156" spans="1:7">
      <c r="G156" s="396"/>
    </row>
    <row r="157" spans="1:7">
      <c r="G157" s="396"/>
    </row>
    <row r="158" spans="1:7">
      <c r="G158" s="396"/>
    </row>
    <row r="159" spans="1:7">
      <c r="A159" s="396"/>
      <c r="B159" s="396"/>
      <c r="C159" s="396"/>
      <c r="D159" s="396"/>
      <c r="E159" s="396"/>
      <c r="F159" s="396"/>
      <c r="G159" s="396"/>
    </row>
    <row r="160" spans="1:7">
      <c r="A160" s="396"/>
      <c r="B160" s="396"/>
      <c r="C160" s="396"/>
      <c r="D160" s="396"/>
      <c r="E160" s="396"/>
      <c r="F160" s="396"/>
      <c r="G160" s="396"/>
    </row>
    <row r="161" spans="1:7">
      <c r="A161" s="396"/>
      <c r="B161" s="396"/>
      <c r="C161" s="396"/>
      <c r="D161" s="396"/>
      <c r="E161" s="396"/>
      <c r="F161" s="396"/>
      <c r="G161" s="396"/>
    </row>
    <row r="162" spans="1:7">
      <c r="A162" s="396"/>
      <c r="B162" s="396"/>
      <c r="C162" s="396"/>
      <c r="D162" s="396"/>
      <c r="E162" s="396"/>
      <c r="F162" s="396"/>
      <c r="G162" s="396"/>
    </row>
    <row r="163" spans="1:7">
      <c r="A163" s="396"/>
      <c r="B163" s="396"/>
      <c r="C163" s="396"/>
      <c r="D163" s="396"/>
      <c r="E163" s="396"/>
      <c r="F163" s="396"/>
      <c r="G163" s="396"/>
    </row>
    <row r="164" spans="1:7">
      <c r="A164" s="396"/>
      <c r="B164" s="396"/>
      <c r="C164" s="396"/>
      <c r="D164" s="396"/>
      <c r="E164" s="396"/>
      <c r="F164" s="396"/>
      <c r="G164" s="396"/>
    </row>
    <row r="165" spans="1:7">
      <c r="A165" s="396"/>
      <c r="B165" s="396"/>
      <c r="C165" s="396"/>
      <c r="D165" s="396"/>
      <c r="E165" s="396"/>
      <c r="F165" s="396"/>
      <c r="G165" s="396"/>
    </row>
    <row r="166" spans="1:7">
      <c r="A166" s="396"/>
      <c r="B166" s="396"/>
      <c r="C166" s="396"/>
      <c r="D166" s="396"/>
      <c r="E166" s="396"/>
      <c r="F166" s="396"/>
      <c r="G166" s="396"/>
    </row>
    <row r="167" spans="1:7">
      <c r="A167" s="396"/>
      <c r="B167" s="396"/>
      <c r="C167" s="396"/>
      <c r="D167" s="396"/>
      <c r="E167" s="396"/>
      <c r="F167" s="396"/>
      <c r="G167" s="381"/>
    </row>
    <row r="168" spans="1:7">
      <c r="A168" s="396"/>
      <c r="B168" s="396"/>
      <c r="C168" s="396"/>
      <c r="D168" s="396"/>
      <c r="E168" s="396"/>
      <c r="F168" s="396"/>
      <c r="G168" s="381"/>
    </row>
    <row r="169" spans="1:7">
      <c r="A169" s="396"/>
      <c r="B169" s="396"/>
      <c r="C169" s="396"/>
      <c r="D169" s="396"/>
      <c r="E169" s="396"/>
      <c r="F169" s="396"/>
      <c r="G169" s="381"/>
    </row>
    <row r="170" spans="1:7">
      <c r="A170" s="396"/>
      <c r="B170" s="396"/>
      <c r="C170" s="396"/>
      <c r="D170" s="396"/>
      <c r="E170" s="396"/>
      <c r="F170" s="396"/>
      <c r="G170" s="396"/>
    </row>
    <row r="171" spans="1:7">
      <c r="A171" s="396"/>
      <c r="B171" s="396"/>
      <c r="C171" s="396"/>
      <c r="D171" s="396"/>
      <c r="E171" s="396"/>
      <c r="F171" s="396"/>
      <c r="G171" s="396"/>
    </row>
    <row r="172" spans="1:7">
      <c r="A172" s="396"/>
      <c r="B172" s="396"/>
      <c r="C172" s="396"/>
      <c r="D172" s="396"/>
      <c r="E172" s="396"/>
      <c r="F172" s="396"/>
      <c r="G172" s="396"/>
    </row>
    <row r="173" spans="1:7">
      <c r="A173" s="396"/>
      <c r="B173" s="396"/>
      <c r="C173" s="396"/>
      <c r="D173" s="396"/>
      <c r="E173" s="396"/>
      <c r="F173" s="396"/>
      <c r="G173" s="396"/>
    </row>
    <row r="174" spans="1:7">
      <c r="A174" s="396"/>
      <c r="B174" s="396"/>
      <c r="C174" s="396"/>
      <c r="D174" s="396"/>
      <c r="E174" s="396"/>
      <c r="F174" s="396"/>
      <c r="G174" s="396"/>
    </row>
    <row r="175" spans="1:7">
      <c r="A175" s="396"/>
      <c r="B175" s="396"/>
      <c r="C175" s="396"/>
      <c r="D175" s="396"/>
      <c r="E175" s="396"/>
      <c r="F175" s="396"/>
      <c r="G175" s="396"/>
    </row>
    <row r="176" spans="1:7">
      <c r="A176" s="396"/>
      <c r="B176" s="396"/>
      <c r="C176" s="396"/>
      <c r="D176" s="396"/>
      <c r="E176" s="396"/>
      <c r="F176" s="396"/>
      <c r="G176" s="396"/>
    </row>
    <row r="177" spans="1:7">
      <c r="A177" s="396"/>
      <c r="B177" s="396"/>
      <c r="C177" s="396"/>
      <c r="D177" s="396"/>
      <c r="E177" s="396"/>
      <c r="F177" s="396"/>
      <c r="G177" s="396"/>
    </row>
    <row r="178" spans="1:7">
      <c r="A178" s="396"/>
      <c r="B178" s="396"/>
      <c r="C178" s="396"/>
      <c r="D178" s="396"/>
      <c r="E178" s="396"/>
      <c r="F178" s="396"/>
      <c r="G178" s="396"/>
    </row>
    <row r="179" spans="1:7">
      <c r="A179" s="396"/>
      <c r="B179" s="396"/>
      <c r="C179" s="396"/>
      <c r="D179" s="396"/>
      <c r="E179" s="396"/>
      <c r="F179" s="396"/>
      <c r="G179" s="396"/>
    </row>
    <row r="180" spans="1:7">
      <c r="A180" s="396"/>
      <c r="B180" s="396"/>
      <c r="C180" s="396"/>
      <c r="D180" s="396"/>
      <c r="E180" s="396"/>
      <c r="F180" s="396"/>
      <c r="G180" s="396"/>
    </row>
    <row r="181" spans="1:7">
      <c r="A181" s="396"/>
      <c r="B181" s="396"/>
      <c r="C181" s="396"/>
      <c r="D181" s="396"/>
      <c r="E181" s="396"/>
      <c r="F181" s="396"/>
      <c r="G181" s="396"/>
    </row>
    <row r="182" spans="1:7">
      <c r="A182" s="396"/>
      <c r="B182" s="396"/>
      <c r="C182" s="396"/>
      <c r="D182" s="396"/>
      <c r="E182" s="396"/>
      <c r="F182" s="396"/>
      <c r="G182" s="396"/>
    </row>
    <row r="183" spans="1:7">
      <c r="A183" s="396"/>
      <c r="B183" s="396"/>
      <c r="C183" s="396"/>
      <c r="D183" s="396"/>
      <c r="E183" s="396"/>
      <c r="F183" s="396"/>
      <c r="G183" s="396"/>
    </row>
    <row r="184" spans="1:7">
      <c r="A184" s="396"/>
      <c r="B184" s="396"/>
      <c r="C184" s="396"/>
      <c r="D184" s="396"/>
      <c r="E184" s="396"/>
      <c r="F184" s="396"/>
      <c r="G184" s="396"/>
    </row>
    <row r="185" spans="1:7">
      <c r="A185" s="396"/>
      <c r="B185" s="396"/>
      <c r="C185" s="396"/>
      <c r="D185" s="396"/>
      <c r="E185" s="396"/>
      <c r="F185" s="396"/>
      <c r="G185" s="396"/>
    </row>
    <row r="186" spans="1:7">
      <c r="A186" s="396"/>
      <c r="B186" s="396"/>
      <c r="C186" s="396"/>
      <c r="D186" s="396"/>
      <c r="E186" s="396"/>
      <c r="F186" s="396"/>
      <c r="G186" s="396"/>
    </row>
    <row r="187" spans="1:7">
      <c r="A187" s="396"/>
      <c r="B187" s="396"/>
      <c r="C187" s="396"/>
      <c r="D187" s="396"/>
      <c r="E187" s="396"/>
      <c r="F187" s="396"/>
      <c r="G187" s="396"/>
    </row>
    <row r="188" spans="1:7">
      <c r="A188" s="396"/>
      <c r="B188" s="396"/>
      <c r="C188" s="396"/>
      <c r="D188" s="396"/>
      <c r="E188" s="396"/>
      <c r="F188" s="396"/>
      <c r="G188" s="396"/>
    </row>
    <row r="189" spans="1:7">
      <c r="A189" s="396"/>
      <c r="B189" s="396"/>
      <c r="C189" s="396"/>
      <c r="D189" s="396"/>
      <c r="E189" s="396"/>
      <c r="F189" s="396"/>
      <c r="G189" s="396"/>
    </row>
    <row r="190" spans="1:7">
      <c r="A190" s="396"/>
      <c r="B190" s="396"/>
      <c r="C190" s="396"/>
      <c r="D190" s="396"/>
      <c r="E190" s="396"/>
      <c r="F190" s="396"/>
      <c r="G190" s="396"/>
    </row>
    <row r="191" spans="1:7">
      <c r="A191" s="396"/>
      <c r="B191" s="396"/>
      <c r="C191" s="396"/>
      <c r="D191" s="396"/>
      <c r="E191" s="396"/>
      <c r="F191" s="396"/>
      <c r="G191" s="396"/>
    </row>
    <row r="192" spans="1:7">
      <c r="A192" s="396"/>
      <c r="B192" s="396"/>
      <c r="C192" s="396"/>
      <c r="D192" s="396"/>
      <c r="E192" s="396"/>
      <c r="F192" s="396"/>
      <c r="G192" s="396"/>
    </row>
    <row r="193" spans="1:7">
      <c r="A193" s="396"/>
      <c r="B193" s="396"/>
      <c r="C193" s="396"/>
      <c r="D193" s="396"/>
      <c r="E193" s="396"/>
      <c r="F193" s="396"/>
      <c r="G193" s="396"/>
    </row>
    <row r="194" spans="1:7">
      <c r="A194" s="396"/>
      <c r="B194" s="396"/>
      <c r="C194" s="396"/>
      <c r="D194" s="396"/>
      <c r="E194" s="396"/>
      <c r="F194" s="396"/>
      <c r="G194" s="396"/>
    </row>
    <row r="195" spans="1:7">
      <c r="A195" s="396"/>
      <c r="B195" s="396"/>
      <c r="C195" s="396"/>
      <c r="D195" s="396"/>
      <c r="E195" s="396"/>
      <c r="F195" s="396"/>
      <c r="G195" s="396"/>
    </row>
    <row r="196" spans="1:7">
      <c r="A196" s="396"/>
      <c r="B196" s="396"/>
      <c r="C196" s="396"/>
      <c r="D196" s="396"/>
      <c r="E196" s="396"/>
      <c r="F196" s="396"/>
      <c r="G196" s="396"/>
    </row>
    <row r="197" spans="1:7">
      <c r="A197" s="396"/>
      <c r="B197" s="396"/>
      <c r="C197" s="396"/>
      <c r="D197" s="396"/>
      <c r="E197" s="396"/>
      <c r="F197" s="396"/>
      <c r="G197" s="396"/>
    </row>
    <row r="198" spans="1:7">
      <c r="A198" s="396"/>
      <c r="B198" s="396"/>
      <c r="C198" s="396"/>
      <c r="D198" s="396"/>
      <c r="E198" s="396"/>
      <c r="F198" s="396"/>
      <c r="G198" s="396"/>
    </row>
    <row r="199" spans="1:7">
      <c r="A199" s="396"/>
      <c r="B199" s="396"/>
      <c r="C199" s="396"/>
      <c r="D199" s="396"/>
      <c r="E199" s="396"/>
      <c r="F199" s="396"/>
      <c r="G199" s="396"/>
    </row>
    <row r="200" spans="1:7">
      <c r="A200" s="396"/>
      <c r="B200" s="396"/>
      <c r="C200" s="396"/>
      <c r="D200" s="396"/>
      <c r="E200" s="396"/>
      <c r="F200" s="396"/>
      <c r="G200" s="396"/>
    </row>
    <row r="201" spans="1:7">
      <c r="A201" s="396"/>
      <c r="B201" s="396"/>
      <c r="C201" s="396"/>
      <c r="D201" s="396"/>
      <c r="E201" s="396"/>
      <c r="F201" s="396"/>
      <c r="G201" s="396"/>
    </row>
    <row r="202" spans="1:7">
      <c r="A202" s="396"/>
      <c r="B202" s="396"/>
      <c r="C202" s="396"/>
      <c r="D202" s="396"/>
      <c r="E202" s="396"/>
      <c r="F202" s="396"/>
      <c r="G202" s="396"/>
    </row>
    <row r="203" spans="1:7">
      <c r="A203" s="396"/>
      <c r="B203" s="396"/>
      <c r="C203" s="396"/>
      <c r="D203" s="396"/>
      <c r="E203" s="396"/>
      <c r="F203" s="396"/>
      <c r="G203" s="396"/>
    </row>
    <row r="204" spans="1:7">
      <c r="A204" s="396"/>
      <c r="B204" s="396"/>
      <c r="C204" s="396"/>
      <c r="D204" s="396"/>
      <c r="E204" s="396"/>
      <c r="F204" s="396"/>
      <c r="G204" s="396"/>
    </row>
    <row r="205" spans="1:7">
      <c r="A205" s="396"/>
      <c r="B205" s="396"/>
      <c r="C205" s="396"/>
      <c r="D205" s="396"/>
      <c r="E205" s="396"/>
      <c r="F205" s="396"/>
      <c r="G205" s="396"/>
    </row>
    <row r="206" spans="1:7">
      <c r="A206" s="396"/>
      <c r="B206" s="396"/>
      <c r="C206" s="396"/>
      <c r="D206" s="396"/>
      <c r="E206" s="396"/>
      <c r="F206" s="396"/>
      <c r="G206" s="396"/>
    </row>
    <row r="207" spans="1:7">
      <c r="A207" s="396"/>
      <c r="B207" s="396"/>
      <c r="C207" s="396"/>
      <c r="D207" s="396"/>
      <c r="E207" s="396"/>
      <c r="F207" s="396"/>
      <c r="G207" s="396"/>
    </row>
    <row r="208" spans="1:7">
      <c r="A208" s="396"/>
      <c r="B208" s="396"/>
      <c r="C208" s="396"/>
      <c r="D208" s="396"/>
      <c r="E208" s="396"/>
      <c r="F208" s="396"/>
      <c r="G208" s="396"/>
    </row>
    <row r="209" spans="1:7">
      <c r="A209" s="396"/>
      <c r="B209" s="396"/>
      <c r="C209" s="396"/>
      <c r="D209" s="396"/>
      <c r="E209" s="396"/>
      <c r="F209" s="396"/>
      <c r="G209" s="396"/>
    </row>
    <row r="210" spans="1:7">
      <c r="A210" s="396"/>
      <c r="B210" s="396"/>
      <c r="C210" s="396"/>
      <c r="D210" s="396"/>
      <c r="E210" s="396"/>
      <c r="F210" s="396"/>
      <c r="G210" s="396"/>
    </row>
    <row r="211" spans="1:7">
      <c r="A211" s="396"/>
      <c r="B211" s="396"/>
      <c r="C211" s="396"/>
      <c r="D211" s="396"/>
      <c r="E211" s="396"/>
      <c r="F211" s="396"/>
      <c r="G211" s="396"/>
    </row>
    <row r="212" spans="1:7">
      <c r="A212" s="396"/>
      <c r="B212" s="396"/>
      <c r="C212" s="396"/>
      <c r="D212" s="396"/>
      <c r="E212" s="396"/>
      <c r="F212" s="396"/>
      <c r="G212" s="396"/>
    </row>
    <row r="213" spans="1:7">
      <c r="A213" s="396"/>
      <c r="B213" s="396"/>
      <c r="C213" s="396"/>
      <c r="D213" s="396"/>
      <c r="E213" s="396"/>
      <c r="F213" s="396"/>
      <c r="G213" s="396"/>
    </row>
    <row r="214" spans="1:7">
      <c r="A214" s="396"/>
      <c r="B214" s="396"/>
      <c r="C214" s="396"/>
      <c r="D214" s="396"/>
      <c r="E214" s="396"/>
      <c r="F214" s="396"/>
      <c r="G214" s="396"/>
    </row>
    <row r="215" spans="1:7">
      <c r="A215" s="396"/>
      <c r="B215" s="396"/>
      <c r="C215" s="396"/>
      <c r="D215" s="396"/>
      <c r="E215" s="396"/>
      <c r="F215" s="396"/>
      <c r="G215" s="396"/>
    </row>
    <row r="216" spans="1:7">
      <c r="A216" s="396"/>
      <c r="B216" s="396"/>
      <c r="C216" s="396"/>
      <c r="D216" s="396"/>
      <c r="E216" s="396"/>
      <c r="F216" s="396"/>
      <c r="G216" s="396"/>
    </row>
    <row r="217" spans="1:7">
      <c r="A217" s="396"/>
      <c r="B217" s="396"/>
      <c r="C217" s="396"/>
      <c r="D217" s="396"/>
      <c r="E217" s="396"/>
      <c r="F217" s="396"/>
      <c r="G217" s="396"/>
    </row>
    <row r="218" spans="1:7">
      <c r="A218" s="396"/>
      <c r="B218" s="396"/>
      <c r="C218" s="396"/>
      <c r="D218" s="396"/>
      <c r="E218" s="396"/>
      <c r="F218" s="396"/>
      <c r="G218" s="396"/>
    </row>
    <row r="219" spans="1:7">
      <c r="A219" s="396"/>
      <c r="B219" s="396"/>
      <c r="C219" s="396"/>
      <c r="D219" s="396"/>
      <c r="E219" s="396"/>
      <c r="F219" s="396"/>
      <c r="G219" s="396"/>
    </row>
    <row r="220" spans="1:7">
      <c r="A220" s="396"/>
      <c r="B220" s="396"/>
      <c r="C220" s="396"/>
      <c r="D220" s="396"/>
      <c r="E220" s="396"/>
      <c r="F220" s="396"/>
      <c r="G220" s="396"/>
    </row>
    <row r="221" spans="1:7">
      <c r="A221" s="396"/>
      <c r="B221" s="396"/>
      <c r="C221" s="396"/>
      <c r="D221" s="396"/>
      <c r="E221" s="396"/>
      <c r="F221" s="396"/>
      <c r="G221" s="396"/>
    </row>
    <row r="222" spans="1:7">
      <c r="A222" s="396"/>
      <c r="B222" s="396"/>
      <c r="C222" s="396"/>
      <c r="D222" s="396"/>
      <c r="E222" s="396"/>
      <c r="F222" s="396"/>
      <c r="G222" s="396"/>
    </row>
    <row r="223" spans="1:7">
      <c r="A223" s="396"/>
      <c r="B223" s="396"/>
      <c r="C223" s="396"/>
      <c r="D223" s="396"/>
      <c r="E223" s="396"/>
      <c r="F223" s="396"/>
      <c r="G223" s="396"/>
    </row>
    <row r="224" spans="1:7">
      <c r="A224" s="396"/>
      <c r="B224" s="396"/>
      <c r="C224" s="396"/>
      <c r="D224" s="396"/>
      <c r="E224" s="396"/>
      <c r="F224" s="396"/>
      <c r="G224" s="396"/>
    </row>
    <row r="225" spans="1:7">
      <c r="A225" s="396"/>
      <c r="B225" s="396"/>
      <c r="C225" s="396"/>
      <c r="D225" s="396"/>
      <c r="E225" s="396"/>
      <c r="F225" s="396"/>
      <c r="G225" s="396"/>
    </row>
    <row r="226" spans="1:7">
      <c r="A226" s="396"/>
      <c r="B226" s="396"/>
      <c r="C226" s="396"/>
      <c r="D226" s="396"/>
      <c r="E226" s="396"/>
      <c r="F226" s="396"/>
      <c r="G226" s="396"/>
    </row>
    <row r="227" spans="1:7">
      <c r="A227" s="396"/>
      <c r="B227" s="396"/>
      <c r="C227" s="396"/>
      <c r="D227" s="396"/>
      <c r="E227" s="396"/>
      <c r="F227" s="396"/>
      <c r="G227" s="396"/>
    </row>
    <row r="228" spans="1:7">
      <c r="A228" s="396"/>
      <c r="B228" s="396"/>
      <c r="C228" s="396"/>
      <c r="D228" s="396"/>
      <c r="E228" s="396"/>
      <c r="F228" s="396"/>
      <c r="G228" s="396"/>
    </row>
    <row r="229" spans="1:7">
      <c r="A229" s="396"/>
      <c r="B229" s="396"/>
      <c r="C229" s="396"/>
      <c r="D229" s="396"/>
      <c r="E229" s="396"/>
      <c r="F229" s="396"/>
      <c r="G229" s="396"/>
    </row>
    <row r="230" spans="1:7">
      <c r="A230" s="396"/>
      <c r="B230" s="396"/>
      <c r="C230" s="396"/>
      <c r="D230" s="396"/>
      <c r="E230" s="396"/>
      <c r="F230" s="396"/>
      <c r="G230" s="396"/>
    </row>
    <row r="231" spans="1:7">
      <c r="A231" s="396"/>
      <c r="B231" s="396"/>
      <c r="C231" s="396"/>
      <c r="D231" s="396"/>
      <c r="E231" s="396"/>
      <c r="F231" s="396"/>
      <c r="G231" s="396"/>
    </row>
    <row r="232" spans="1:7">
      <c r="A232" s="396"/>
      <c r="B232" s="396"/>
      <c r="C232" s="396"/>
      <c r="D232" s="396"/>
      <c r="E232" s="396"/>
      <c r="F232" s="396"/>
      <c r="G232" s="396"/>
    </row>
    <row r="233" spans="1:7">
      <c r="A233" s="396"/>
      <c r="B233" s="396"/>
      <c r="C233" s="396"/>
      <c r="D233" s="396"/>
      <c r="E233" s="396"/>
      <c r="F233" s="396"/>
      <c r="G233" s="396"/>
    </row>
    <row r="234" spans="1:7">
      <c r="A234" s="396"/>
      <c r="B234" s="396"/>
      <c r="C234" s="396"/>
      <c r="D234" s="396"/>
      <c r="E234" s="396"/>
      <c r="F234" s="396"/>
      <c r="G234" s="396"/>
    </row>
    <row r="235" spans="1:7">
      <c r="A235" s="396"/>
      <c r="B235" s="396"/>
      <c r="C235" s="396"/>
      <c r="D235" s="396"/>
      <c r="E235" s="396"/>
      <c r="F235" s="396"/>
      <c r="G235" s="396"/>
    </row>
    <row r="236" spans="1:7">
      <c r="A236" s="396"/>
      <c r="B236" s="396"/>
      <c r="C236" s="396"/>
      <c r="D236" s="396"/>
      <c r="E236" s="396"/>
      <c r="F236" s="396"/>
      <c r="G236" s="396"/>
    </row>
    <row r="237" spans="1:7">
      <c r="A237" s="396"/>
      <c r="B237" s="396"/>
      <c r="C237" s="396"/>
      <c r="D237" s="396"/>
      <c r="E237" s="396"/>
      <c r="F237" s="396"/>
      <c r="G237" s="396"/>
    </row>
    <row r="238" spans="1:7">
      <c r="A238" s="396"/>
      <c r="B238" s="396"/>
      <c r="C238" s="396"/>
      <c r="D238" s="396"/>
      <c r="E238" s="396"/>
      <c r="F238" s="396"/>
      <c r="G238" s="396"/>
    </row>
    <row r="239" spans="1:7">
      <c r="A239" s="396"/>
      <c r="B239" s="396"/>
      <c r="C239" s="396"/>
      <c r="D239" s="396"/>
      <c r="E239" s="396"/>
      <c r="F239" s="396"/>
      <c r="G239" s="396"/>
    </row>
    <row r="240" spans="1:7">
      <c r="A240" s="396"/>
      <c r="B240" s="396"/>
      <c r="C240" s="396"/>
      <c r="D240" s="396"/>
      <c r="E240" s="396"/>
      <c r="F240" s="396"/>
      <c r="G240" s="396"/>
    </row>
    <row r="241" spans="1:7">
      <c r="A241" s="396"/>
      <c r="B241" s="396"/>
      <c r="C241" s="396"/>
      <c r="D241" s="396"/>
      <c r="E241" s="396"/>
      <c r="F241" s="396"/>
      <c r="G241" s="396"/>
    </row>
    <row r="242" spans="1:7">
      <c r="A242" s="396"/>
      <c r="B242" s="396"/>
      <c r="C242" s="396"/>
      <c r="D242" s="396"/>
      <c r="E242" s="396"/>
      <c r="F242" s="396"/>
      <c r="G242" s="396"/>
    </row>
    <row r="243" spans="1:7">
      <c r="A243" s="396"/>
      <c r="B243" s="396"/>
      <c r="C243" s="396"/>
      <c r="D243" s="396"/>
      <c r="E243" s="396"/>
      <c r="F243" s="396"/>
      <c r="G243" s="396"/>
    </row>
    <row r="244" spans="1:7">
      <c r="A244" s="396"/>
      <c r="B244" s="396"/>
      <c r="C244" s="396"/>
      <c r="D244" s="396"/>
      <c r="E244" s="396"/>
      <c r="F244" s="396"/>
      <c r="G244" s="396"/>
    </row>
    <row r="245" spans="1:7">
      <c r="A245" s="396"/>
      <c r="B245" s="396"/>
      <c r="C245" s="396"/>
      <c r="D245" s="396"/>
      <c r="E245" s="396"/>
      <c r="F245" s="396"/>
      <c r="G245" s="396"/>
    </row>
    <row r="246" spans="1:7">
      <c r="A246" s="396"/>
      <c r="B246" s="396"/>
      <c r="C246" s="396"/>
      <c r="D246" s="396"/>
      <c r="E246" s="396"/>
      <c r="F246" s="396"/>
      <c r="G246" s="396"/>
    </row>
    <row r="247" spans="1:7">
      <c r="A247" s="396"/>
      <c r="B247" s="396"/>
      <c r="C247" s="396"/>
      <c r="D247" s="396"/>
      <c r="E247" s="396"/>
      <c r="F247" s="396"/>
      <c r="G247" s="396"/>
    </row>
    <row r="248" spans="1:7">
      <c r="A248" s="396"/>
      <c r="B248" s="396"/>
      <c r="C248" s="396"/>
      <c r="D248" s="396"/>
      <c r="E248" s="396"/>
      <c r="F248" s="396"/>
      <c r="G248" s="396"/>
    </row>
    <row r="249" spans="1:7">
      <c r="A249" s="396"/>
      <c r="B249" s="396"/>
      <c r="C249" s="396"/>
      <c r="D249" s="396"/>
      <c r="E249" s="396"/>
      <c r="F249" s="396"/>
      <c r="G249" s="396"/>
    </row>
    <row r="250" spans="1:7">
      <c r="A250" s="396"/>
      <c r="B250" s="396"/>
      <c r="C250" s="396"/>
      <c r="D250" s="396"/>
      <c r="E250" s="396"/>
      <c r="F250" s="396"/>
      <c r="G250" s="396"/>
    </row>
    <row r="251" spans="1:7">
      <c r="G251" s="381"/>
    </row>
    <row r="252" spans="1:7">
      <c r="A252" s="396"/>
      <c r="B252" s="396"/>
      <c r="C252" s="396"/>
      <c r="D252" s="396"/>
      <c r="E252" s="396"/>
      <c r="F252" s="396"/>
      <c r="G252" s="381"/>
    </row>
    <row r="253" spans="1:7">
      <c r="A253" s="396"/>
      <c r="B253" s="396"/>
      <c r="C253" s="396"/>
      <c r="D253" s="396"/>
      <c r="E253" s="396"/>
      <c r="F253" s="396"/>
      <c r="G253" s="381"/>
    </row>
    <row r="254" spans="1:7">
      <c r="A254" s="396"/>
      <c r="B254" s="396"/>
      <c r="C254" s="396"/>
      <c r="D254" s="396"/>
      <c r="E254" s="396"/>
      <c r="F254" s="396"/>
      <c r="G254" s="381"/>
    </row>
    <row r="255" spans="1:7">
      <c r="A255" s="396"/>
      <c r="B255" s="396"/>
      <c r="C255" s="396"/>
      <c r="D255" s="396"/>
      <c r="E255" s="396"/>
      <c r="F255" s="396"/>
      <c r="G255" s="381"/>
    </row>
    <row r="256" spans="1:7">
      <c r="A256" s="396"/>
      <c r="B256" s="396"/>
      <c r="C256" s="396"/>
      <c r="D256" s="396"/>
      <c r="E256" s="396"/>
      <c r="F256" s="396"/>
      <c r="G256" s="381"/>
    </row>
    <row r="257" spans="1:7">
      <c r="A257" s="396"/>
      <c r="B257" s="396"/>
      <c r="C257" s="396"/>
      <c r="D257" s="396"/>
      <c r="E257" s="396"/>
      <c r="F257" s="396"/>
      <c r="G257" s="381"/>
    </row>
    <row r="258" spans="1:7">
      <c r="A258" s="396"/>
      <c r="B258" s="396"/>
      <c r="C258" s="396"/>
      <c r="D258" s="396"/>
      <c r="E258" s="396"/>
      <c r="F258" s="396"/>
      <c r="G258" s="396"/>
    </row>
    <row r="259" spans="1:7">
      <c r="A259" s="396"/>
      <c r="B259" s="396"/>
      <c r="C259" s="396"/>
      <c r="D259" s="396"/>
      <c r="E259" s="396"/>
      <c r="F259" s="396"/>
      <c r="G259" s="396"/>
    </row>
    <row r="260" spans="1:7">
      <c r="A260" s="396"/>
      <c r="B260" s="396"/>
      <c r="C260" s="396"/>
      <c r="D260" s="396"/>
      <c r="E260" s="396"/>
      <c r="F260" s="396"/>
      <c r="G260" s="396"/>
    </row>
    <row r="261" spans="1:7">
      <c r="A261" s="396"/>
      <c r="B261" s="396"/>
      <c r="C261" s="396"/>
      <c r="D261" s="396"/>
      <c r="E261" s="396"/>
      <c r="F261" s="396"/>
      <c r="G261" s="396"/>
    </row>
    <row r="262" spans="1:7">
      <c r="A262" s="396"/>
      <c r="B262" s="396"/>
      <c r="C262" s="396"/>
      <c r="D262" s="396"/>
      <c r="E262" s="396"/>
      <c r="F262" s="396"/>
      <c r="G262" s="396"/>
    </row>
    <row r="263" spans="1:7">
      <c r="A263" s="396"/>
      <c r="B263" s="396"/>
      <c r="C263" s="396"/>
      <c r="D263" s="396"/>
      <c r="E263" s="396"/>
      <c r="F263" s="396"/>
      <c r="G263" s="396"/>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Nonlevelized-EIA 412</vt:lpstr>
      <vt:lpstr>MPW 12 CP Demand</vt:lpstr>
      <vt:lpstr>Plant &amp; Depr</vt:lpstr>
      <vt:lpstr>Land for future use</vt:lpstr>
      <vt:lpstr>Pre Payments</vt:lpstr>
      <vt:lpstr>Mat &amp; Supplies</vt:lpstr>
      <vt:lpstr>Transmission O&amp;M</vt:lpstr>
      <vt:lpstr>Admin &amp; General</vt:lpstr>
      <vt:lpstr>Summary of O&amp;M Expenses</vt:lpstr>
      <vt:lpstr>LSE exp</vt:lpstr>
      <vt:lpstr>FERC Fees</vt:lpstr>
      <vt:lpstr>EPRI Reg Comm Non Safety</vt:lpstr>
      <vt:lpstr>Taxes other than inc tax</vt:lpstr>
      <vt:lpstr>Radial Line Allocation</vt:lpstr>
      <vt:lpstr>Wages &amp; Salaries</vt:lpstr>
      <vt:lpstr>Debt Detail</vt:lpstr>
      <vt:lpstr>Account 454</vt:lpstr>
      <vt:lpstr>Account 456.1</vt:lpstr>
      <vt:lpstr>'Nonlevelized-EIA 412'!Print_Area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Griffin</dc:creator>
  <cp:lastModifiedBy>Kathy Griffin</cp:lastModifiedBy>
  <cp:lastPrinted>2014-03-05T13:54:04Z</cp:lastPrinted>
  <dcterms:created xsi:type="dcterms:W3CDTF">2008-03-20T17:17:49Z</dcterms:created>
  <dcterms:modified xsi:type="dcterms:W3CDTF">2014-04-28T14:23:53Z</dcterms:modified>
</cp:coreProperties>
</file>