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24226"/>
  <mc:AlternateContent xmlns:mc="http://schemas.openxmlformats.org/markup-compatibility/2006">
    <mc:Choice Requires="x15">
      <x15ac:absPath xmlns:x15ac="http://schemas.microsoft.com/office/spreadsheetml/2010/11/ac" url="V:\MISO\2016\"/>
    </mc:Choice>
  </mc:AlternateContent>
  <xr:revisionPtr revIDLastSave="0" documentId="8_{E4ACD272-77DD-47AD-B9F1-654ED87076F2}" xr6:coauthVersionLast="28" xr6:coauthVersionMax="28" xr10:uidLastSave="{00000000-0000-0000-0000-000000000000}"/>
  <bookViews>
    <workbookView xWindow="-15" yWindow="-15" windowWidth="25230" windowHeight="6255" tabRatio="376" xr2:uid="{00000000-000D-0000-FFFF-FFFF00000000}"/>
  </bookViews>
  <sheets>
    <sheet name="Nonlevelized-EIA 412" sheetId="1" r:id="rId1"/>
    <sheet name="MPW 12 CP Demand" sheetId="2" r:id="rId2"/>
    <sheet name="Plant &amp; Depr" sheetId="3" r:id="rId3"/>
    <sheet name="Land for future use" sheetId="4" r:id="rId4"/>
    <sheet name="Prepayments" sheetId="5" r:id="rId5"/>
    <sheet name="Matl &amp; Supplies" sheetId="6" r:id="rId6"/>
    <sheet name="Transmission O&amp;M" sheetId="7" r:id="rId7"/>
    <sheet name="Admin &amp; General" sheetId="8" r:id="rId8"/>
    <sheet name="Summary of O&amp;M Expenses" sheetId="9" r:id="rId9"/>
    <sheet name="LSE exp" sheetId="10" r:id="rId10"/>
    <sheet name="FERC Fees" sheetId="11" r:id="rId11"/>
    <sheet name="EPRI Reg Comm Non Safety" sheetId="12" r:id="rId12"/>
    <sheet name="Taxes other than inc tax" sheetId="13" r:id="rId13"/>
    <sheet name="Radial Line Allocation" sheetId="14" r:id="rId14"/>
    <sheet name="Wage &amp; Salaries" sheetId="15" r:id="rId15"/>
    <sheet name="Debt Detail" sheetId="16" r:id="rId16"/>
    <sheet name="Account 454" sheetId="17" r:id="rId17"/>
    <sheet name="Account 456.1" sheetId="18" r:id="rId18"/>
  </sheets>
  <calcPr calcId="171027"/>
</workbook>
</file>

<file path=xl/calcChain.xml><?xml version="1.0" encoding="utf-8"?>
<calcChain xmlns="http://schemas.openxmlformats.org/spreadsheetml/2006/main">
  <c r="C8" i="18" l="1"/>
  <c r="C16" i="18"/>
  <c r="C10" i="18"/>
  <c r="C13" i="7" l="1"/>
  <c r="E8" i="10"/>
  <c r="E9" i="10"/>
  <c r="E10" i="10"/>
  <c r="E11" i="10"/>
  <c r="E12" i="10"/>
  <c r="E13" i="10"/>
  <c r="E14" i="10"/>
  <c r="E15" i="10"/>
  <c r="E16" i="10"/>
  <c r="E17" i="10"/>
  <c r="E18" i="10"/>
  <c r="E7" i="10"/>
  <c r="D239" i="1" l="1"/>
  <c r="I216" i="1"/>
  <c r="D162" i="1"/>
  <c r="D161" i="1"/>
  <c r="D153" i="1"/>
  <c r="D152" i="1"/>
  <c r="D119" i="1"/>
  <c r="I264" i="1" l="1"/>
  <c r="K21" i="18"/>
  <c r="L21" i="18"/>
  <c r="M21" i="18"/>
  <c r="J21" i="18"/>
  <c r="M19" i="18" l="1"/>
  <c r="M16" i="18" l="1"/>
  <c r="M15" i="18"/>
  <c r="M14" i="18"/>
  <c r="M12" i="18"/>
  <c r="N19" i="18" l="1"/>
  <c r="N18" i="18"/>
  <c r="N17" i="18"/>
  <c r="N16" i="18"/>
  <c r="N15" i="18"/>
  <c r="N14" i="18"/>
  <c r="N13" i="18"/>
  <c r="N12" i="18"/>
  <c r="N11" i="18"/>
  <c r="N10" i="18"/>
  <c r="N9" i="18"/>
  <c r="N8" i="18"/>
  <c r="N21" i="18" l="1"/>
  <c r="C24" i="18" l="1"/>
  <c r="C17" i="18"/>
  <c r="D235" i="1"/>
  <c r="D233" i="1"/>
  <c r="D234" i="1"/>
  <c r="D232" i="1"/>
  <c r="D83" i="15"/>
  <c r="B22" i="14"/>
  <c r="B20" i="14"/>
  <c r="C83" i="15" l="1"/>
  <c r="D74" i="15"/>
  <c r="D68" i="15"/>
  <c r="B9" i="15" s="1"/>
  <c r="D49" i="15"/>
  <c r="B8" i="15" s="1"/>
  <c r="D40" i="15"/>
  <c r="B10" i="15"/>
  <c r="B18" i="14"/>
  <c r="D168" i="1"/>
  <c r="E12" i="13"/>
  <c r="C13" i="11"/>
  <c r="C15" i="10"/>
  <c r="D20" i="10"/>
  <c r="C20" i="10"/>
  <c r="B20" i="10"/>
  <c r="C94" i="9"/>
  <c r="B94" i="9"/>
  <c r="B85" i="9"/>
  <c r="C23" i="9"/>
  <c r="B13" i="9"/>
  <c r="B7" i="15" l="1"/>
  <c r="B11" i="15" s="1"/>
  <c r="E20" i="10"/>
  <c r="B37" i="8" l="1"/>
  <c r="B20" i="8"/>
  <c r="C37" i="7"/>
  <c r="D149" i="1" s="1"/>
  <c r="D151" i="1"/>
  <c r="D150" i="1"/>
  <c r="I224" i="1"/>
  <c r="D118" i="1"/>
  <c r="B14" i="6" l="1"/>
  <c r="B11" i="6"/>
  <c r="B47" i="8" l="1"/>
  <c r="B21" i="8"/>
  <c r="B14" i="8"/>
  <c r="H160" i="6"/>
  <c r="B15" i="6"/>
  <c r="B17" i="6" s="1"/>
  <c r="B12" i="5"/>
  <c r="B16" i="5" l="1"/>
  <c r="D94" i="1"/>
  <c r="D93" i="1"/>
  <c r="D92" i="1"/>
  <c r="D91" i="1"/>
  <c r="D86" i="1"/>
  <c r="D85" i="1"/>
  <c r="D84" i="1"/>
  <c r="D83" i="1"/>
  <c r="Q85" i="3"/>
  <c r="F61" i="3"/>
  <c r="F62" i="3"/>
  <c r="Q81" i="3"/>
  <c r="M55" i="3"/>
  <c r="M36" i="3"/>
  <c r="Q36" i="3" s="1"/>
  <c r="M26" i="3"/>
  <c r="M73" i="3"/>
  <c r="P79" i="3"/>
  <c r="O79" i="3"/>
  <c r="K79" i="3"/>
  <c r="L59" i="3"/>
  <c r="M41" i="3"/>
  <c r="M46" i="3"/>
  <c r="M15" i="3"/>
  <c r="M24" i="3"/>
  <c r="M14" i="3"/>
  <c r="M16" i="3"/>
  <c r="M30" i="3"/>
  <c r="M79" i="3" l="1"/>
  <c r="M63" i="3"/>
  <c r="Q73" i="3"/>
  <c r="M9" i="3"/>
  <c r="E61" i="3"/>
  <c r="G61" i="3"/>
  <c r="G71" i="3" l="1"/>
  <c r="H71" i="3" s="1"/>
  <c r="E69" i="3"/>
  <c r="H69" i="3" s="1"/>
  <c r="E67" i="3"/>
  <c r="E66" i="3"/>
  <c r="G48" i="3"/>
  <c r="E48" i="3"/>
  <c r="F47" i="3"/>
  <c r="E47" i="3"/>
  <c r="E55" i="3" s="1"/>
  <c r="D48" i="3"/>
  <c r="H48" i="3" s="1"/>
  <c r="F73" i="3"/>
  <c r="F75" i="3" s="1"/>
  <c r="F79" i="3" s="1"/>
  <c r="F55" i="3"/>
  <c r="G55" i="3"/>
  <c r="E36" i="3"/>
  <c r="F36" i="3"/>
  <c r="G36" i="3"/>
  <c r="H77" i="3"/>
  <c r="H70" i="3"/>
  <c r="H68" i="3"/>
  <c r="H67" i="3"/>
  <c r="H66" i="3"/>
  <c r="H65" i="3"/>
  <c r="H64" i="3"/>
  <c r="H63" i="3"/>
  <c r="H62" i="3"/>
  <c r="H61" i="3"/>
  <c r="H60" i="3"/>
  <c r="H59" i="3"/>
  <c r="H58" i="3"/>
  <c r="H53" i="3"/>
  <c r="H52" i="3"/>
  <c r="H51" i="3"/>
  <c r="H50" i="3"/>
  <c r="H49" i="3"/>
  <c r="H46" i="3"/>
  <c r="H45" i="3"/>
  <c r="H44" i="3"/>
  <c r="H43" i="3"/>
  <c r="H42" i="3"/>
  <c r="H41" i="3"/>
  <c r="H40" i="3"/>
  <c r="H39" i="3"/>
  <c r="H34" i="3"/>
  <c r="H33" i="3"/>
  <c r="H32" i="3"/>
  <c r="H31" i="3"/>
  <c r="H30" i="3"/>
  <c r="H29" i="3"/>
  <c r="F26" i="3"/>
  <c r="G26" i="3"/>
  <c r="E26" i="3"/>
  <c r="H9" i="3"/>
  <c r="H10" i="3"/>
  <c r="H11" i="3"/>
  <c r="H12" i="3"/>
  <c r="H13" i="3"/>
  <c r="H14" i="3"/>
  <c r="H15" i="3"/>
  <c r="H16" i="3"/>
  <c r="H17" i="3"/>
  <c r="H18" i="3"/>
  <c r="H19" i="3"/>
  <c r="H20" i="3"/>
  <c r="H21" i="3"/>
  <c r="H22" i="3"/>
  <c r="H23" i="3"/>
  <c r="H24" i="3"/>
  <c r="H8" i="3"/>
  <c r="G73" i="3" l="1"/>
  <c r="G75" i="3" s="1"/>
  <c r="G79" i="3" s="1"/>
  <c r="E73" i="3"/>
  <c r="E75" i="3" s="1"/>
  <c r="E79" i="3" s="1"/>
  <c r="H47" i="3"/>
  <c r="H73" i="3"/>
  <c r="H36" i="3"/>
  <c r="H55" i="3"/>
  <c r="H26" i="3"/>
  <c r="D73" i="3" l="1"/>
  <c r="D55" i="3"/>
  <c r="D36" i="3"/>
  <c r="D26" i="3"/>
  <c r="L71" i="3"/>
  <c r="L70" i="3"/>
  <c r="L69" i="3"/>
  <c r="L68" i="3"/>
  <c r="L67" i="3"/>
  <c r="L66" i="3"/>
  <c r="L65" i="3"/>
  <c r="L64" i="3"/>
  <c r="L63" i="3"/>
  <c r="L62" i="3"/>
  <c r="L61" i="3"/>
  <c r="L60" i="3"/>
  <c r="M53" i="3"/>
  <c r="M52" i="3"/>
  <c r="M51" i="3"/>
  <c r="M50" i="3"/>
  <c r="M49" i="3"/>
  <c r="M48" i="3"/>
  <c r="M47" i="3"/>
  <c r="M45" i="3"/>
  <c r="M44" i="3"/>
  <c r="M43" i="3"/>
  <c r="M42" i="3"/>
  <c r="M40" i="3"/>
  <c r="M34" i="3"/>
  <c r="M33" i="3"/>
  <c r="M32" i="3"/>
  <c r="M23" i="3"/>
  <c r="M22" i="3"/>
  <c r="M21" i="3"/>
  <c r="M20" i="3"/>
  <c r="M19" i="3"/>
  <c r="M18" i="3"/>
  <c r="M17" i="3"/>
  <c r="M13" i="3"/>
  <c r="M12" i="3"/>
  <c r="M11" i="3"/>
  <c r="M10" i="3"/>
  <c r="D75" i="3" l="1"/>
  <c r="H75" i="3" s="1"/>
  <c r="L73" i="3"/>
  <c r="Q55" i="3"/>
  <c r="Q26" i="3"/>
  <c r="M67" i="3"/>
  <c r="Q79" i="3" l="1"/>
  <c r="M65" i="3"/>
  <c r="M59" i="3"/>
  <c r="M71" i="3"/>
  <c r="M70" i="3"/>
  <c r="M60" i="3"/>
  <c r="M61" i="3"/>
  <c r="M66" i="3"/>
  <c r="M62" i="3"/>
  <c r="M69" i="3"/>
  <c r="M64" i="3"/>
  <c r="H79" i="3"/>
  <c r="H81" i="3" s="1"/>
  <c r="M68" i="3"/>
  <c r="D79" i="3"/>
  <c r="I27" i="1" l="1"/>
  <c r="B23" i="2"/>
  <c r="B21" i="2"/>
  <c r="I252" i="1" l="1"/>
  <c r="I22" i="1" l="1"/>
  <c r="I268" i="1" l="1"/>
  <c r="D158" i="1" l="1"/>
  <c r="D117" i="1" s="1"/>
  <c r="D120" i="1" s="1"/>
  <c r="D88" i="1"/>
  <c r="I215" i="1"/>
  <c r="G232" i="1"/>
  <c r="G234" i="1"/>
  <c r="G235" i="1"/>
  <c r="D242" i="1"/>
  <c r="G240" i="1" s="1"/>
  <c r="I223" i="1"/>
  <c r="D99" i="1"/>
  <c r="D100" i="1"/>
  <c r="D101" i="1"/>
  <c r="D102" i="1"/>
  <c r="G248" i="1"/>
  <c r="D250" i="1"/>
  <c r="E248" i="1" s="1"/>
  <c r="G249" i="1"/>
  <c r="I34" i="1"/>
  <c r="D236" i="1"/>
  <c r="D15" i="1"/>
  <c r="I157" i="1"/>
  <c r="D178" i="1"/>
  <c r="D182" i="1" s="1"/>
  <c r="D186" i="1" s="1"/>
  <c r="D112" i="1"/>
  <c r="D103" i="1"/>
  <c r="D175" i="1"/>
  <c r="D164" i="1"/>
  <c r="D209" i="1"/>
  <c r="K274" i="1"/>
  <c r="I150" i="1"/>
  <c r="I253"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c r="G84" i="1" l="1"/>
  <c r="E233" i="1"/>
  <c r="G233" i="1" s="1"/>
  <c r="G236" i="1" s="1"/>
  <c r="I236" i="1" s="1"/>
  <c r="G86" i="1" s="1"/>
  <c r="G94" i="1" s="1"/>
  <c r="I94" i="1" s="1"/>
  <c r="I228" i="1"/>
  <c r="I229" i="1" s="1"/>
  <c r="G149" i="1" s="1"/>
  <c r="G14" i="1"/>
  <c r="G16" i="1" s="1"/>
  <c r="I16" i="1" s="1"/>
  <c r="I250" i="1"/>
  <c r="D179" i="1" s="1"/>
  <c r="I14" i="1"/>
  <c r="G17" i="1"/>
  <c r="I17" i="1" s="1"/>
  <c r="G118" i="1" l="1"/>
  <c r="I118" i="1" s="1"/>
  <c r="G15" i="1"/>
  <c r="I15" i="1" s="1"/>
  <c r="I18" i="1" s="1"/>
  <c r="G153" i="1"/>
  <c r="I153" i="1" s="1"/>
  <c r="I86" i="1"/>
  <c r="I240" i="1"/>
  <c r="K240" i="1" s="1"/>
  <c r="G87" i="1" s="1"/>
  <c r="I87" i="1" s="1"/>
  <c r="G154" i="1"/>
  <c r="I154" i="1" s="1"/>
  <c r="G152" i="1"/>
  <c r="G92" i="1"/>
  <c r="I84" i="1"/>
  <c r="D189" i="1"/>
  <c r="D185" i="1" s="1"/>
  <c r="D187" i="1" s="1"/>
  <c r="D192" i="1" s="1"/>
  <c r="D201" i="1" s="1"/>
  <c r="G155" i="1"/>
  <c r="I155" i="1" s="1"/>
  <c r="I149" i="1"/>
  <c r="G151" i="1"/>
  <c r="I151" i="1" s="1"/>
  <c r="I102" i="1"/>
  <c r="G156" i="1" l="1"/>
  <c r="G95" i="1"/>
  <c r="I95" i="1" s="1"/>
  <c r="I92" i="1"/>
  <c r="I100" i="1" s="1"/>
  <c r="G114" i="1"/>
  <c r="I152" i="1"/>
  <c r="G162" i="1"/>
  <c r="I103" i="1"/>
  <c r="I88" i="1"/>
  <c r="G88" i="1" s="1"/>
  <c r="I156" i="1" l="1"/>
  <c r="I158" i="1" s="1"/>
  <c r="I117" i="1" s="1"/>
  <c r="G163" i="1"/>
  <c r="I163" i="1" s="1"/>
  <c r="G168" i="1"/>
  <c r="I162" i="1"/>
  <c r="I114" i="1"/>
  <c r="G161" i="1"/>
  <c r="I161" i="1" s="1"/>
  <c r="I104" i="1"/>
  <c r="G104" i="1" s="1"/>
  <c r="G186" i="1" s="1"/>
  <c r="I186" i="1" s="1"/>
  <c r="I96" i="1"/>
  <c r="G171" i="1"/>
  <c r="G119" i="1"/>
  <c r="I119" i="1" s="1"/>
  <c r="I120" i="1" l="1"/>
  <c r="I164" i="1"/>
  <c r="G108" i="1"/>
  <c r="G169" i="1"/>
  <c r="I169" i="1" s="1"/>
  <c r="I168" i="1"/>
  <c r="G109" i="1"/>
  <c r="I108" i="1"/>
  <c r="I171" i="1"/>
  <c r="G173" i="1"/>
  <c r="G174" i="1" l="1"/>
  <c r="I174" i="1" s="1"/>
  <c r="I173" i="1"/>
  <c r="G110" i="1"/>
  <c r="I110" i="1" s="1"/>
  <c r="G111" i="1"/>
  <c r="I111" i="1" s="1"/>
  <c r="I109" i="1"/>
  <c r="I112" i="1" l="1"/>
  <c r="I122" i="1" s="1"/>
  <c r="I189" i="1" s="1"/>
  <c r="I185" i="1" s="1"/>
  <c r="I187" i="1" s="1"/>
  <c r="I175" i="1"/>
  <c r="I192" i="1" l="1"/>
  <c r="I201" i="1" l="1"/>
  <c r="I11" i="1" s="1"/>
  <c r="I24" i="1" s="1"/>
  <c r="D36" i="1" s="1"/>
  <c r="I41" i="1" l="1"/>
  <c r="I42" i="1"/>
  <c r="D41" i="1"/>
  <c r="D37" i="1"/>
  <c r="I40" i="1"/>
  <c r="D42" i="1"/>
  <c r="D40" i="1"/>
</calcChain>
</file>

<file path=xl/sharedStrings.xml><?xml version="1.0" encoding="utf-8"?>
<sst xmlns="http://schemas.openxmlformats.org/spreadsheetml/2006/main" count="2220" uniqueCount="1241">
  <si>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</si>
  <si>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</si>
  <si>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</si>
  <si>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</si>
  <si>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</si>
  <si>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</si>
  <si>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</si>
  <si>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</si>
  <si>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</si>
  <si>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</si>
  <si>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</si>
  <si>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</si>
  <si>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</si>
  <si>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</si>
  <si>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</si>
  <si>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</si>
  <si>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</si>
  <si>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</si>
  <si>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</si>
  <si>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</si>
  <si>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</si>
  <si>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</si>
  <si>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</si>
  <si>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</si>
  <si>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</si>
  <si>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</si>
  <si>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</si>
  <si>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</si>
  <si>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</si>
  <si>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</si>
  <si>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</si>
  <si>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</si>
  <si>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</si>
  <si>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</si>
  <si>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</si>
  <si>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</si>
  <si>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</si>
  <si>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</si>
  <si>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</si>
  <si>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</si>
  <si>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</si>
  <si>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</si>
  <si>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</si>
  <si>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</si>
  <si>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</si>
  <si>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</si>
  <si>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</si>
  <si>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</si>
  <si>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</si>
  <si>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</si>
  <si>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</si>
  <si>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</si>
  <si>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</si>
  <si>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</si>
  <si>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</si>
  <si>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</si>
  <si>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</si>
  <si>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</si>
  <si>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</si>
  <si>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</si>
  <si>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</si>
  <si>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</si>
  <si>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</si>
  <si>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</si>
  <si>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</si>
  <si>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</si>
  <si>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</si>
  <si>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</si>
  <si>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</si>
  <si>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</si>
  <si>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</si>
  <si>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</si>
  <si>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</si>
  <si>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</si>
  <si>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</si>
  <si>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</si>
  <si>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</si>
  <si>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</si>
  <si>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</si>
  <si>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</si>
  <si>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</si>
  <si>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</si>
  <si>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</si>
  <si>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</si>
  <si>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</si>
  <si>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</si>
  <si>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</si>
  <si>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</si>
  <si>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</si>
  <si>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</si>
  <si>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</si>
  <si>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</si>
  <si>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</si>
  <si>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</si>
  <si>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</si>
  <si>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</si>
  <si>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</si>
  <si>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</si>
  <si>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</si>
  <si>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</si>
  <si>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</si>
  <si>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</si>
  <si>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</si>
  <si>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</si>
  <si>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</si>
  <si>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</si>
  <si>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</si>
  <si>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</si>
  <si>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</si>
  <si>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</si>
  <si>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</si>
  <si>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</si>
  <si>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</si>
  <si>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</si>
  <si>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</si>
  <si>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</si>
  <si>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</si>
  <si>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</si>
  <si>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</si>
  <si>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</si>
  <si>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</si>
  <si>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</si>
  <si>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</si>
  <si>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</si>
  <si>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</si>
  <si>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</si>
  <si>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</si>
  <si>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</si>
  <si>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</si>
  <si>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</si>
  <si>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</si>
  <si>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</si>
  <si>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</si>
  <si>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</si>
  <si>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</si>
  <si>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</si>
  <si>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</si>
  <si>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</si>
  <si>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</si>
  <si>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</si>
  <si>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</si>
  <si>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</si>
  <si>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</si>
  <si>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</si>
  <si>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</si>
  <si>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</si>
  <si>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</si>
  <si>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</si>
  <si>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</si>
  <si>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</si>
  <si>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</si>
  <si>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</si>
  <si>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</si>
  <si>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</si>
  <si>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</si>
  <si>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</si>
  <si>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</si>
  <si>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</si>
  <si>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</si>
  <si>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</si>
  <si>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</si>
  <si>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</si>
  <si>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</si>
  <si>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</si>
  <si>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</si>
  <si>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</si>
  <si>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</si>
  <si>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</si>
  <si>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</si>
  <si>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</si>
  <si>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</si>
  <si>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</si>
  <si>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</si>
  <si>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</si>
  <si>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</si>
  <si>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</si>
  <si>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</si>
  <si>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</si>
  <si>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</si>
  <si>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</si>
  <si>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</si>
  <si>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</si>
  <si>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</si>
  <si>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</si>
  <si>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</si>
  <si>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</si>
  <si>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</si>
  <si>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</si>
  <si>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</si>
  <si>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</si>
  <si>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</si>
  <si>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</si>
  <si>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</si>
  <si>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</si>
  <si>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</si>
  <si>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</si>
  <si>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</si>
  <si>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</si>
  <si>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</si>
  <si>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</si>
  <si>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</si>
  <si>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</si>
  <si>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</si>
  <si>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</si>
  <si>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</si>
  <si>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</si>
  <si>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</si>
  <si>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</si>
  <si>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</si>
  <si>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</si>
  <si>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</si>
  <si>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</si>
  <si>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</si>
  <si>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</si>
  <si>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</si>
  <si>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</si>
  <si>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</si>
  <si>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</si>
  <si>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</si>
  <si>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</si>
  <si>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</si>
  <si>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</si>
  <si>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</si>
  <si>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</si>
  <si>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</si>
  <si>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</si>
  <si>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</si>
  <si>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</si>
  <si>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</si>
  <si>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</si>
  <si>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</si>
  <si>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</si>
  <si>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</si>
  <si>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</si>
  <si>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</si>
  <si>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</si>
  <si>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</si>
  <si>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</si>
  <si>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</si>
  <si>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</si>
  <si>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</si>
  <si>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</si>
  <si>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</si>
  <si>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</si>
  <si>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</si>
  <si>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</si>
  <si>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</si>
  <si>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</si>
  <si>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</si>
  <si>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</si>
  <si>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</si>
  <si>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</si>
  <si>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</si>
  <si>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</si>
  <si>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</si>
  <si>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</si>
  <si>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</si>
  <si>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</si>
  <si>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</si>
  <si>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</si>
  <si>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</si>
  <si>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</si>
  <si>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</si>
  <si>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</si>
  <si>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</si>
  <si>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</si>
  <si>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</si>
  <si>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</si>
  <si>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</si>
  <si>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</si>
  <si>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</si>
  <si>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</si>
  <si>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</si>
  <si>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</si>
  <si>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</si>
  <si>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</si>
  <si>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</si>
  <si>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</si>
  <si>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</si>
  <si>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</si>
  <si>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</si>
  <si>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</si>
  <si>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</si>
  <si>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</si>
  <si>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</si>
  <si>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</si>
  <si>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</si>
  <si>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</si>
  <si>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</si>
  <si>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</si>
  <si>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</si>
  <si>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</si>
  <si>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</si>
  <si>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</si>
  <si>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</si>
  <si>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</si>
  <si>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</si>
  <si>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</si>
  <si>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</si>
  <si>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</si>
  <si>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</si>
  <si>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</si>
  <si>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</si>
  <si>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</si>
  <si>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</si>
  <si>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</si>
  <si>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</si>
  <si>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</si>
  <si>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</si>
  <si>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</si>
  <si>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</si>
  <si>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</si>
  <si>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</si>
  <si>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</si>
  <si>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</si>
  <si>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</si>
  <si>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</si>
  <si>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</si>
  <si>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</si>
  <si>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For the 12 months ended 12/31/2016</t>
  </si>
  <si>
    <t>MUSCATINE POWER AND WATER</t>
  </si>
  <si>
    <t>Muscatine Power and Water</t>
  </si>
  <si>
    <t>Attachment O divisor</t>
  </si>
  <si>
    <t>Report the CP of your load in the Pricing Zone by Pricing Zone for Each Month in KWs</t>
  </si>
  <si>
    <t>Jan</t>
  </si>
  <si>
    <t>Feb</t>
  </si>
  <si>
    <t>Mar</t>
  </si>
  <si>
    <t>Apr</t>
  </si>
  <si>
    <t>May</t>
  </si>
  <si>
    <t>Jun</t>
  </si>
  <si>
    <t>Jul</t>
  </si>
  <si>
    <t>Aug</t>
  </si>
  <si>
    <t>Sep</t>
  </si>
  <si>
    <t>Oct</t>
  </si>
  <si>
    <t>Nov</t>
  </si>
  <si>
    <t>Dec</t>
  </si>
  <si>
    <t>Sub total</t>
  </si>
  <si>
    <t>Average</t>
  </si>
  <si>
    <t>should be reported on Attachment O, page 1, line 8</t>
  </si>
  <si>
    <r>
      <t xml:space="preserve">Do the above numbers include any GFA related load?  </t>
    </r>
    <r>
      <rPr>
        <sz val="12"/>
        <color rgb="FFFF0000"/>
        <rFont val="Arial MT"/>
      </rPr>
      <t>No</t>
    </r>
    <r>
      <rPr>
        <sz val="12"/>
        <rFont val="Arial MT"/>
      </rPr>
      <t xml:space="preserve">  If yes, provide the following by month for each GFA:</t>
    </r>
  </si>
  <si>
    <t xml:space="preserve"> the GFA #, the GFA load, and the GFA transmission revenues.</t>
  </si>
  <si>
    <t>Not Applicable</t>
  </si>
  <si>
    <t>June</t>
  </si>
  <si>
    <t>GFA #</t>
  </si>
  <si>
    <t>GFA Load</t>
  </si>
  <si>
    <t>GFA Trans Rev</t>
  </si>
  <si>
    <t>For the Year ended 12/31/16</t>
  </si>
  <si>
    <t>Plant Summary</t>
  </si>
  <si>
    <t>Reserve for</t>
  </si>
  <si>
    <t>Balance</t>
  </si>
  <si>
    <t>Direct</t>
  </si>
  <si>
    <t>Depreciation</t>
  </si>
  <si>
    <t>Net Retirements</t>
  </si>
  <si>
    <t>Acct #</t>
  </si>
  <si>
    <t>Account Title</t>
  </si>
  <si>
    <t>Additions</t>
  </si>
  <si>
    <t>Transfers</t>
  </si>
  <si>
    <t>Retirements</t>
  </si>
  <si>
    <t>12/31/15</t>
  </si>
  <si>
    <t>Expense</t>
  </si>
  <si>
    <t>and Direct Additions</t>
  </si>
  <si>
    <t>Proceeds</t>
  </si>
  <si>
    <t>GENERATION</t>
  </si>
  <si>
    <t>Useful life</t>
  </si>
  <si>
    <t>Land &amp; Land Rights</t>
  </si>
  <si>
    <t>Structures &amp; Improvements</t>
  </si>
  <si>
    <t>311-925</t>
  </si>
  <si>
    <t>Structures &amp; Improvements-Landfill</t>
  </si>
  <si>
    <t>311-STM</t>
  </si>
  <si>
    <t>Structures &amp; Improvements-Steam Sales</t>
  </si>
  <si>
    <t>Boiler Plant Equipment</t>
  </si>
  <si>
    <t>312-7RP</t>
  </si>
  <si>
    <t>Boiler Plant Equipment-7 Upgrade</t>
  </si>
  <si>
    <t>312-FCP</t>
  </si>
  <si>
    <t>Boiler Plant Equipment-8 Fuel Conversion</t>
  </si>
  <si>
    <t>312-STM</t>
  </si>
  <si>
    <t>Boiler Plant Equipment-Steam Sales</t>
  </si>
  <si>
    <t>50/6</t>
  </si>
  <si>
    <t>Turbo Generator Units</t>
  </si>
  <si>
    <t>314-PVA</t>
  </si>
  <si>
    <t>Turbo Generator Units-Solar Panels/Wind Turbine</t>
  </si>
  <si>
    <t>314-STM</t>
  </si>
  <si>
    <t>Turbo Generator Units-Steam Sales</t>
  </si>
  <si>
    <t>Accessory Electric Equipment</t>
  </si>
  <si>
    <t>315-SCA</t>
  </si>
  <si>
    <t>Accessory Electric Equipment-Scada System</t>
  </si>
  <si>
    <t>315-STM</t>
  </si>
  <si>
    <t>Accessory Electric Equipment-Steam Sales</t>
  </si>
  <si>
    <t>Misc Power Plant Equipment</t>
  </si>
  <si>
    <t>Misc Coal Handling Equipment</t>
  </si>
  <si>
    <t>Rail Cars</t>
  </si>
  <si>
    <t>Generation Totals</t>
  </si>
  <si>
    <t>108-251</t>
  </si>
  <si>
    <t>TRANSMISSION</t>
  </si>
  <si>
    <t>Station Equipment</t>
  </si>
  <si>
    <t>30/40</t>
  </si>
  <si>
    <t>Towers &amp; Fixtures</t>
  </si>
  <si>
    <t>Poles &amp; Fixtures</t>
  </si>
  <si>
    <t>Overhead Conductors &amp; Devices</t>
  </si>
  <si>
    <t>Transmission Totals</t>
  </si>
  <si>
    <t>108-252</t>
  </si>
  <si>
    <t>DISTRIBUTION</t>
  </si>
  <si>
    <t>Storage Battery Equipment</t>
  </si>
  <si>
    <t>Poles, Towers &amp; Fixtures</t>
  </si>
  <si>
    <t>Underground Conduit</t>
  </si>
  <si>
    <t>Underground Conductors &amp; Devices</t>
  </si>
  <si>
    <t>Line Transformers</t>
  </si>
  <si>
    <t>Meters</t>
  </si>
  <si>
    <t>Installations-Customer Premises</t>
  </si>
  <si>
    <t>Surge Arrestors</t>
  </si>
  <si>
    <t>Street Lighting &amp; Signals</t>
  </si>
  <si>
    <t>Installations-Security Lights</t>
  </si>
  <si>
    <t>Distribution Totals</t>
  </si>
  <si>
    <t>108-253</t>
  </si>
  <si>
    <t>GENERAL &amp; ADMINISTRATIVE</t>
  </si>
  <si>
    <t>Calculated Depr</t>
  </si>
  <si>
    <t xml:space="preserve">Adjusted Depreciation </t>
  </si>
  <si>
    <t>390-432</t>
  </si>
  <si>
    <t>Structures &amp; Improvements-Pine Street</t>
  </si>
  <si>
    <t>390-440</t>
  </si>
  <si>
    <t>Structures &amp; Improvements-A/O Center</t>
  </si>
  <si>
    <t>Office Furniture &amp; Equipment</t>
  </si>
  <si>
    <t>391-24</t>
  </si>
  <si>
    <t>Office Furniture &amp; Equipment-Computer Hardware</t>
  </si>
  <si>
    <t>391-25</t>
  </si>
  <si>
    <t>Office Furniture &amp; Equipment-Computer Software</t>
  </si>
  <si>
    <t>Transportation Equipment</t>
  </si>
  <si>
    <t>Stores Equipment</t>
  </si>
  <si>
    <t>Tools, Shop &amp; Garage Equipment</t>
  </si>
  <si>
    <t>Laboratory Equipment</t>
  </si>
  <si>
    <t>Power Operated Equipment</t>
  </si>
  <si>
    <t>Communication Equipment</t>
  </si>
  <si>
    <t>Misc Equipment</t>
  </si>
  <si>
    <t>Training Equipment</t>
  </si>
  <si>
    <t>General &amp; Administrative Totals</t>
  </si>
  <si>
    <t>108-254</t>
  </si>
  <si>
    <t>Subtotal Utility Plant</t>
  </si>
  <si>
    <t>Unall Contr</t>
  </si>
  <si>
    <t>Construction Work in Progress</t>
  </si>
  <si>
    <t>Aid for Const</t>
  </si>
  <si>
    <t>Total Utility Plant</t>
  </si>
  <si>
    <t>Totals</t>
  </si>
  <si>
    <t>005</t>
  </si>
  <si>
    <t>GL BALANCE</t>
  </si>
  <si>
    <t>Net Plant in Service</t>
  </si>
  <si>
    <t>12/31/16</t>
  </si>
  <si>
    <t>Services</t>
  </si>
  <si>
    <t xml:space="preserve">Attachment O, page 2, line 25 </t>
  </si>
  <si>
    <t>Land Held For Future Use</t>
  </si>
  <si>
    <t>Production</t>
  </si>
  <si>
    <t>should be reported on Attachment O, page 2, line 25</t>
  </si>
  <si>
    <t xml:space="preserve">Distribution </t>
  </si>
  <si>
    <t>Other</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</si>
  <si>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</si>
  <si>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</si>
  <si>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</si>
  <si>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</si>
  <si>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r>
      <rPr>
        <b/>
        <sz val="11"/>
        <color theme="1"/>
        <rFont val="Calibri"/>
        <family val="2"/>
        <scheme val="minor"/>
      </rPr>
      <t>Below -</t>
    </r>
    <r>
      <rPr>
        <sz val="12"/>
        <rFont val="Arial MT"/>
      </rPr>
      <t xml:space="preserve"> Provide a brief but descriptive list of the Transmission land held for future use</t>
    </r>
  </si>
  <si>
    <t>and the amounts related to each item of Transmission land held for future use</t>
  </si>
  <si>
    <t>As of 12/31/16</t>
  </si>
  <si>
    <t>Attachment O, page 2, line 28</t>
  </si>
  <si>
    <t>Prepayment Description</t>
  </si>
  <si>
    <t>FERC Account</t>
  </si>
  <si>
    <t>Insurance</t>
  </si>
  <si>
    <t>Maintenance Contracts</t>
  </si>
  <si>
    <t>Miscellaneous dues/assessments</t>
  </si>
  <si>
    <t>Travel/training</t>
  </si>
  <si>
    <t>Safety equipment-to be reimbursed by employee</t>
  </si>
  <si>
    <t>Total Prepayments</t>
  </si>
  <si>
    <t>Attachment O, page 2, line 28 and EIA 412, Schedule 2, line 20</t>
  </si>
  <si>
    <t>indicate what line of the audited financials reflectes Pre Payments</t>
  </si>
  <si>
    <t>Credit card payment to be refunded</t>
  </si>
  <si>
    <t>Employee portion of LTD premium</t>
  </si>
  <si>
    <t>Attachment O, page 2, line 27</t>
  </si>
  <si>
    <t>Materials and Supplies</t>
  </si>
  <si>
    <t>PP stores parts</t>
  </si>
  <si>
    <t>should be reported on Attachment O, page 2, line 27</t>
  </si>
  <si>
    <t>TD stores parts less Transmission list</t>
  </si>
  <si>
    <t>Limestone</t>
  </si>
  <si>
    <t>154-LIM</t>
  </si>
  <si>
    <t>Gasoline/diesel fuel</t>
  </si>
  <si>
    <t>154-GAS</t>
  </si>
  <si>
    <t>CS, SS, TS, VM type stores parts</t>
  </si>
  <si>
    <t>Less allowance for obsolescence</t>
  </si>
  <si>
    <t>indicate what line of the audited financials reflectes M&amp;S</t>
  </si>
  <si>
    <r>
      <rPr>
        <b/>
        <sz val="11"/>
        <color theme="1"/>
        <rFont val="Calibri"/>
        <family val="2"/>
        <scheme val="minor"/>
      </rPr>
      <t xml:space="preserve">Below </t>
    </r>
    <r>
      <rPr>
        <sz val="12"/>
        <rFont val="Arial MT"/>
      </rPr>
      <t xml:space="preserve">- Provide a brief but descriptive list of the Transmission related Materials and Supplies </t>
    </r>
  </si>
  <si>
    <t>and the amounts related to each item of Transmission related Materials and Supplies</t>
  </si>
  <si>
    <t>SKU Code</t>
  </si>
  <si>
    <t>LOCN</t>
  </si>
  <si>
    <t>Inv Status</t>
  </si>
  <si>
    <t>On Hand</t>
  </si>
  <si>
    <t xml:space="preserve">On order </t>
  </si>
  <si>
    <t>Committed</t>
  </si>
  <si>
    <t>Reordre Pt</t>
  </si>
  <si>
    <t>Total Cost</t>
  </si>
  <si>
    <t>Last Cost</t>
  </si>
  <si>
    <t>UM</t>
  </si>
  <si>
    <t>Standard Cost</t>
  </si>
  <si>
    <t>invn_cycle_cd</t>
  </si>
  <si>
    <t>sku_desc</t>
  </si>
  <si>
    <t>Staged</t>
  </si>
  <si>
    <t>invn_default_bin</t>
  </si>
  <si>
    <t>sku_exp_gl_cd</t>
  </si>
  <si>
    <t>invn_max</t>
  </si>
  <si>
    <t>112406</t>
  </si>
  <si>
    <t>CS</t>
  </si>
  <si>
    <t>EA</t>
  </si>
  <si>
    <t>RELAY, RECLOSING, TYPE BE1-79 (REPAIRABLE PART CONTACT TECH SERVICE A/O)</t>
  </si>
  <si>
    <t>C1-5-2-5</t>
  </si>
  <si>
    <t>PP</t>
  </si>
  <si>
    <t>112821</t>
  </si>
  <si>
    <t>RELAY, DUAL OVERCURRENT, SEL-501</t>
  </si>
  <si>
    <t>C1-11-15</t>
  </si>
  <si>
    <t>112822</t>
  </si>
  <si>
    <t>RELAY, PHASE &amp; GROUND DISTANCE, DIRECTIONAL OVERCURRENT, SEL-321-1</t>
  </si>
  <si>
    <t>C1-11-10</t>
  </si>
  <si>
    <t>112823</t>
  </si>
  <si>
    <t>RELAY, PHASE &amp; GROUND DISTANCE, DIRECTIONAL OVERCURRENT, SYNCHRONISM CHECK, RECLOSING, SEL-221F-2 (ORDER UPON REQUEST PER TECHNICAL SERVICES SUPERVISOR ONLY)</t>
  </si>
  <si>
    <t>C1-11-9</t>
  </si>
  <si>
    <t>115317</t>
  </si>
  <si>
    <t>ARM - DAVIT,STEEL- FOR WOOD POLE TANGENT STRUCTURES, ITT MEYER (ORDER UPON REQUEST)</t>
  </si>
  <si>
    <t>CY-YD-1-1</t>
  </si>
  <si>
    <t>TD</t>
  </si>
  <si>
    <t>115340</t>
  </si>
  <si>
    <t>AO</t>
  </si>
  <si>
    <t>BAND - POLE, 2 WAY, HUGHES BROS. #3107.5, (SHEAR BLOCK) (ORDER UPON REQUEST)</t>
  </si>
  <si>
    <t>A2-AVAIL</t>
  </si>
  <si>
    <t>115341</t>
  </si>
  <si>
    <t>BAND - POLE, 2 WAY, HEAVY DUTY_16,000# 10-12" HUGHES BROS. 3107.6, (SHEAR BLOCK) (ORDER UPON REQUEST)</t>
  </si>
  <si>
    <t>A1-8-2-2</t>
  </si>
  <si>
    <t>115342</t>
  </si>
  <si>
    <t>BAND - POLE, 2 WAY, HEAVY DUTY_16,000# 12-14" HUGHES BROS. 3107.7 (SHEAR BLOCK) (ORDER UPON REQUEST)</t>
  </si>
  <si>
    <t>115343</t>
  </si>
  <si>
    <t>SET</t>
  </si>
  <si>
    <t>BAND - POLE, 2 WAY, HEAVY DUTY_16,000# 14-16" HUGHES BROS. 3107.8 (SHEAR BLOCK) (ORDER UPON REQUEST)</t>
  </si>
  <si>
    <t>115366</t>
  </si>
  <si>
    <t>BOLT - D.A., 1 X 14 BB1014 HUGHES BROTHERS (ORDER UPON REQUEST)(15/BOX)</t>
  </si>
  <si>
    <t>C5-4-3-1</t>
  </si>
  <si>
    <t>115367</t>
  </si>
  <si>
    <t>BOLT - D.A., 1 X 16, BB1016 HUGHES BROTHERS (ORDER UPON REQUEST)(15/BOX)</t>
  </si>
  <si>
    <t>C5-AVAIL</t>
  </si>
  <si>
    <t>115368</t>
  </si>
  <si>
    <t>BOLT - D.A., 1 X 20, BB1020 HUGHES BROTHERS (ORDER UPON REQUEST)(10/BOX)</t>
  </si>
  <si>
    <t>A1-AVAIL</t>
  </si>
  <si>
    <t>115369</t>
  </si>
  <si>
    <t>BOLT - D.A., 1 X 22, BB1022 HUGHES BROTHERS (ORDER UPON REQUEST)(10/BOX)</t>
  </si>
  <si>
    <t>115370</t>
  </si>
  <si>
    <t>BOLT - D.A., 1 X 24, BB1024 HUGHES BROTHERS (ORDER UPON REQUEST)(10/BOX)</t>
  </si>
  <si>
    <t>C5-4-3-2</t>
  </si>
  <si>
    <t>115371</t>
  </si>
  <si>
    <t>BOLT - D.A., 1 X 26, BB1026 HUGHES BROTHERS (ORDER UPON REQUEST)(10/BOX)</t>
  </si>
  <si>
    <t>115394</t>
  </si>
  <si>
    <t>BOLT - MACHINE, 1 X 12 B1012 HUGHES BROTHERS (ORDER UPON REQUEST)(15/BOX)</t>
  </si>
  <si>
    <t>C5-3-6-4</t>
  </si>
  <si>
    <t>115395</t>
  </si>
  <si>
    <t>BOLT - MACHINE, 1 X 14 B1014 HUGHES BROTHERS (ORDER UPON REQUEST)(15/BOX)</t>
  </si>
  <si>
    <t>115396</t>
  </si>
  <si>
    <t>BOLT - MACHINE, 1 X 16 B1016-6HUGHES BROTHERS (ORDER UPON REQUEST)(10/BOX)</t>
  </si>
  <si>
    <t>115397</t>
  </si>
  <si>
    <t>BOLT - MACHINE, 1 X 18 B1018 HUGHES BROTHERS (ORDER UPON REQUEST)(10/BOX)</t>
  </si>
  <si>
    <t>115398</t>
  </si>
  <si>
    <t>BOLT - MACHINE, 1 X 20 B1020 HUGHES BROTHERS (ORDER UPON REQUEST)(10/BOX)</t>
  </si>
  <si>
    <t>115399</t>
  </si>
  <si>
    <t>BOLT - MACHINE, 1 X 22 B1022 HUGHES BROTHERS (ORDER UPON REQUEST)(10/BOX)</t>
  </si>
  <si>
    <t>C5-3-7-3</t>
  </si>
  <si>
    <t>115401</t>
  </si>
  <si>
    <t>BOLT - STUD BOLT W/4 SQ. NUTS,3/4" X 7" JOSLYN JIMS-523-4273, FOR USE ON POLE BAND ASSEMBLIES, OLD MPW 97-151 &amp; 152</t>
  </si>
  <si>
    <t>115410</t>
  </si>
  <si>
    <t>TUBE, POLYGLASS ROUND 5/8"X20', FOR GROUNDWIRE INSULATION ON TRANSMISSION POLES</t>
  </si>
  <si>
    <t>A2-7-END</t>
  </si>
  <si>
    <t>115454</t>
  </si>
  <si>
    <t>CLAMP, 3-BOLT, RANGE 5/16 - 1/2 STR.</t>
  </si>
  <si>
    <t>A1-10-1-3</t>
  </si>
  <si>
    <t>115472</t>
  </si>
  <si>
    <t>CLAMP, STRAIGHT STRAIN - DEADEND BETHEA HSD-58-S FOR 636.4 MCM ACSR 26/7</t>
  </si>
  <si>
    <t>A1-9-4-4</t>
  </si>
  <si>
    <t>115477</t>
  </si>
  <si>
    <t>CLAMP, SUSPENSION, FOR BARE 954MCM BETHEA LS3-S</t>
  </si>
  <si>
    <t>A1-10-2-2</t>
  </si>
  <si>
    <t>115631</t>
  </si>
  <si>
    <t>DEAD END, COMPRESSION DEAD END_WITH JUMPER TERMINAL FARGO #82A79 FOR 7 NO. 9 ALUMOWELD</t>
  </si>
  <si>
    <t>A1-9-2-2</t>
  </si>
  <si>
    <t>115632</t>
  </si>
  <si>
    <t>DEAD END, COMPRESSION DEAD END_FOR 636 MCM ACSR CONSISTING OF FARGO 12105, 130739 AND 30105</t>
  </si>
  <si>
    <t>115633</t>
  </si>
  <si>
    <t>DEAD END, COMPRESSION, FOR 954_KCMIL 45/7 ACSR CONSISTING OF FARGO 12123 ALUMINUM BODY, 131431 STEEL BODY AND 30123 JUMPER TERMINAL</t>
  </si>
  <si>
    <t>115634</t>
  </si>
  <si>
    <t>DEAD END, COMPRESSION, FOR 1590 KCMIL 45/7 ACSR, CONSISTING OF FARGO 12157 ALUMINUM BODY, 132140 STEEL BODY AND 30157 JUMPER TERMINAL</t>
  </si>
  <si>
    <t>115737</t>
  </si>
  <si>
    <t>INSULATOR - STAND OFF 69KV - SILICON -  HORIZ. LINE POST, OHIO BRASS #80S069-0100, HI-LITE SERIES 175, COMPLETE WITH #TSC200 ALUMINUM CLAMP TOP CLAMP</t>
  </si>
  <si>
    <t>A2-4-2-4</t>
  </si>
  <si>
    <t>115738</t>
  </si>
  <si>
    <t>INSULATOR - STAND OFF - 69 KV - PORCLEIN- HORIZONTAL MOUNTING, CLAMP TYPE WITH INTEGRAL BASE &amp; GAIN LAPP 4766-70 (MIN ORDER OF 4)</t>
  </si>
  <si>
    <t>A2-4-2-3</t>
  </si>
  <si>
    <t>115739</t>
  </si>
  <si>
    <t>INSULATOR - STAND OFF - 161 KV_LINE POST JUMPER ASSEMBLY WOOD POLE, USE WITH #47114 CLAMP LAPP 76073A</t>
  </si>
  <si>
    <t>115740</t>
  </si>
  <si>
    <t>INSULATOR - STAND OFF - 161 KV_LINE POST JUMPER ASSEMBLY STEEL POLE, USE WITH #47114 CLAMP LAPP 76094</t>
  </si>
  <si>
    <t>A1-9-4-3</t>
  </si>
  <si>
    <t>115745</t>
  </si>
  <si>
    <t>INSULATOR - SUSPENSION BELL - 69 KV AND SOCKET 10", 20000# PORCELAIN DISC, LAPP 8200-70, FOR USE ON DEAD ENDS ON 161KV</t>
  </si>
  <si>
    <t>115761</t>
  </si>
  <si>
    <t>LINKS - DOUBLE EYE, JOSLYN BT3085, TWISTED 90 DEGREE 3-3/8 X 7/8 X 9/16 X 1-1/8, 30,000# STRENGTH</t>
  </si>
  <si>
    <t>115764</t>
  </si>
  <si>
    <t>LINKS - POLE BAND, CONNECTING,PAIRS HUGHES BROTHERS 3155, 3/8 X 3 X 9-1/2, (2) 1-1/16" HOLES USED ON HUGHES 2-WAY POLE BANDS (ORDER UPON REQUEST)</t>
  </si>
  <si>
    <t>115768</t>
  </si>
  <si>
    <t>LUG - COMPRESSION, 7,#9 ALUMOWELD, 2-HOLE BURNDY YNA7M9T (ORDER UPON REQUEST)</t>
  </si>
  <si>
    <t>A1-4-3-1</t>
  </si>
  <si>
    <t>115788</t>
  </si>
  <si>
    <t>LUG, COMPRESSION, 636 MCM, 26/7 ALUM., 2-HOLE HY-LUG</t>
  </si>
  <si>
    <t>A1-4-3-5</t>
  </si>
  <si>
    <t>115789</t>
  </si>
  <si>
    <t>LUG, COMPRESSION, 636 MCM, 26/7 ALUM., 4-HOLE</t>
  </si>
  <si>
    <t>A1-4-3-4</t>
  </si>
  <si>
    <t>115794</t>
  </si>
  <si>
    <t>LUG, COMPRESSION, 954 MCM, 45/7, 4-HOLE</t>
  </si>
  <si>
    <t>A1-4-3-6</t>
  </si>
  <si>
    <t>115835</t>
  </si>
  <si>
    <t>POLE - WOOD - 60 FT. CLASS 2 (INVENTORY COLOR CODE-ORANGE CIRCLE) (delete when zero)</t>
  </si>
  <si>
    <t>CY-YD 4-3</t>
  </si>
  <si>
    <t>115836</t>
  </si>
  <si>
    <t>POLE - WOOD - 60 FT. CLASS 1 (INVENTORY COLOR CODE-ORANGE CIRCLE) (AS NOTED IN SPECIFICATION DRAWING #ACS0001A DATED 02/13/06)</t>
  </si>
  <si>
    <t>CY-YD 1-1</t>
  </si>
  <si>
    <t>115837</t>
  </si>
  <si>
    <t>POLE, WOOD, 65', CLASS 2, (INVENTORY COLOR CODE-YELLOW CIRCLE) (delete when zero)</t>
  </si>
  <si>
    <t>115838</t>
  </si>
  <si>
    <t>POLE - WOOD - 65 FT. CLASS 1 (INVENTORY COLOR CODE-YELLOW CIRCLE) (AS NOTED IN SPECIFICATION DRAWING #ACS0001A DATED 02/13/06)</t>
  </si>
  <si>
    <t>115839</t>
  </si>
  <si>
    <t>POLE, WOOD, 70 FT CLASS 1 (INVENTORY COLOR CODE-GREEN CIRCLE)</t>
  </si>
  <si>
    <t>115840</t>
  </si>
  <si>
    <t>POLE - WOOD - 70 FT. CLASS H1 (INVENTORY COLOR CODE-GREEN CIRCLE) ORDER UPON REQUEST ONLY</t>
  </si>
  <si>
    <t>CY-AVAIL</t>
  </si>
  <si>
    <t>115841</t>
  </si>
  <si>
    <t>POLE, WOOD, 75 FT. CLASS 1 (INVENTORY COLOR CODE-WHITE CIRCLE)</t>
  </si>
  <si>
    <t>115842</t>
  </si>
  <si>
    <t>POLE - WOOD - 75 FT. CLASS H1 (INVENTORY COLOR CODE-WHITE CIRCLE) (ORDER UPON REQUEST)</t>
  </si>
  <si>
    <t>115843</t>
  </si>
  <si>
    <t>POLE - WOOD - 80 FT. CLASS 2 (INVENTORY COLOR CODE-BLUE CIRCLE) (delete when zero)</t>
  </si>
  <si>
    <t>115844</t>
  </si>
  <si>
    <t>POLE - WOOD - 80 FT. CLASS 1 (INVENTORY COLOR CODE-BLUE CIRCLE)</t>
  </si>
  <si>
    <t>115845</t>
  </si>
  <si>
    <t>POLE - WOOD - 85 FT. CLASS 1 (INVENTORY COLOR CODE-RED CIRCLE) (ORDER UPON REQUEST)</t>
  </si>
  <si>
    <t>115846</t>
  </si>
  <si>
    <t>POLE, WOOD, 85 FT., CLASS H1, (ORDER UPON REQUEST)</t>
  </si>
  <si>
    <t>115847</t>
  </si>
  <si>
    <t>POLE, WOOD, 90 FT, CLASS 1 (ORDER UPON REQUEST)</t>
  </si>
  <si>
    <t>CY-Y 1-1</t>
  </si>
  <si>
    <t>115848</t>
  </si>
  <si>
    <t>POLE, WOOD, 90 FT., CLASS H1, (ORDER UPON REQUEST)</t>
  </si>
  <si>
    <t>115849</t>
  </si>
  <si>
    <t>POLE, WOOD, 95 FT. CLASS H1, (ORDER UPON REQUEST)</t>
  </si>
  <si>
    <t>115850</t>
  </si>
  <si>
    <t>POLE, WOOD, 100 FT CLASS 0 (ORDER UPON REQUEST)</t>
  </si>
  <si>
    <t>115854</t>
  </si>
  <si>
    <t>ROD, ARMOR, PREFORMED 7 #9 ALUMOWELD AR2126</t>
  </si>
  <si>
    <t>A2-2-1-4K</t>
  </si>
  <si>
    <t>115859</t>
  </si>
  <si>
    <t>ROD, ARMOR, PREFORMED 636, MCM_26/7 ACSR AL AR0137, STANDARD PK 9 EA</t>
  </si>
  <si>
    <t>A2-2-1-4U</t>
  </si>
  <si>
    <t>115860</t>
  </si>
  <si>
    <t>ROD, ARMOR, PREFORMED 954 MCM ACSR, AR0143</t>
  </si>
  <si>
    <t>A2-2-1-4V</t>
  </si>
  <si>
    <t>115899</t>
  </si>
  <si>
    <t>SLEEVE, FULL TENSION, FOR 7 #9_ALUMOWELD, HYSPLICE</t>
  </si>
  <si>
    <t>A1-4-2-1</t>
  </si>
  <si>
    <t>115913</t>
  </si>
  <si>
    <t>SLEEVE, FULL TENSION, FOR 636.0 ACSR GROSBEAK, HYSPLICE (ALUMINUM OUTER SLEEVE)</t>
  </si>
  <si>
    <t>A1-4-2-5</t>
  </si>
  <si>
    <t>115914</t>
  </si>
  <si>
    <t>SLEEVE, FULL TENSION, FOR 636.0 ACSR GROSBEAK (STEEL INNERSLEEVE)</t>
  </si>
  <si>
    <t>A1-4-2-2</t>
  </si>
  <si>
    <t>115915</t>
  </si>
  <si>
    <t>SLEEVE, FULL TENSION, FOR 954 KCMIL 45/7 ACSR FARGO 10123 ALUMINUM SLEEVE &amp; FARGO 11313 STEEL SLEEVE</t>
  </si>
  <si>
    <t>A1-1-9-5</t>
  </si>
  <si>
    <t>115916</t>
  </si>
  <si>
    <t>SLEEVE, FULL TENSION, FOR 1590_KCMIL 45/7 ACSR FARGO 10157 ALUMINUM SLEEVE &amp; FARGO 11405 STEEL SLEEVE</t>
  </si>
  <si>
    <t>A1-1-9-4</t>
  </si>
  <si>
    <t>115936</t>
  </si>
  <si>
    <t>SLEEVE, JUMPER, FOR 636.0-26/7_ALUMINUM ACSR, HYSPLICE</t>
  </si>
  <si>
    <t>A1-3-8-4</t>
  </si>
  <si>
    <t>115941</t>
  </si>
  <si>
    <t>SLEEVE - REPAIR-FOR 636 MCM, PREFORMED LS-0148</t>
  </si>
  <si>
    <t>A2-2-1-4W</t>
  </si>
  <si>
    <t>115942</t>
  </si>
  <si>
    <t>SLEEVE, REPAIR, FOR 636.0-26/7_ACSR, HYSPLICE</t>
  </si>
  <si>
    <t>115943</t>
  </si>
  <si>
    <t>SLEEVE, REPAIR, FOR 954 MCM, PREFORMED LS-0152 OVERHEAD WIRE STRANDING 45/7</t>
  </si>
  <si>
    <t>A1-14-FL-A</t>
  </si>
  <si>
    <t>116034</t>
  </si>
  <si>
    <t>FT</t>
  </si>
  <si>
    <t>WIRE, ALUMINUM, 636 MCM, 26/7 STRAND, ACSR, GROSBEAK (CONTACT T&amp;D SUPERVISOR BEFORE REORDER)</t>
  </si>
  <si>
    <t>C5-18 17-3</t>
  </si>
  <si>
    <t>116037</t>
  </si>
  <si>
    <t>WIRE, ALUMINUM, 954 MCM, 45/7 STRAND, ACSR, RAIL</t>
  </si>
  <si>
    <t>C5-10 16-3</t>
  </si>
  <si>
    <t>116038</t>
  </si>
  <si>
    <t>WIRE, ALUMINUM, 1590 MCM, 45/7STRAND ACSR, LAPWING</t>
  </si>
  <si>
    <t>C5-4-9-3</t>
  </si>
  <si>
    <t>116054</t>
  </si>
  <si>
    <t>WIRE, MISC., ALUMOWELD, 7, NO.9 (FOOTAGE ON ONE CONTINUOUS REEL)</t>
  </si>
  <si>
    <t>AY-YD 6</t>
  </si>
  <si>
    <t>116057</t>
  </si>
  <si>
    <t>WIRE, MISC., GUY STRAND, 7/16", EXTRA STRENGTH, A COATING SPECIFICATION 363</t>
  </si>
  <si>
    <t>A2-3-1-3</t>
  </si>
  <si>
    <t>116064</t>
  </si>
  <si>
    <t>CABLE, 750 KCMIL, KV, 69 KV, UNDERGROUND OKONITE, OKOGUARD SHIELDED POWER, WITH 140 MIL JACKET, EPR, COPPER (CONTACT T &amp; D SUPV.)</t>
  </si>
  <si>
    <t>A1-13-1-EN</t>
  </si>
  <si>
    <t>116065</t>
  </si>
  <si>
    <t>SPL</t>
  </si>
  <si>
    <t>CABLE, 1000 KCMIL, 69 KV, COPPER, FOR LINE 97 OR LINE 96 BUSTIE (CONTACT T&amp;D SUPERVISOR BEFORE REORDER)</t>
  </si>
  <si>
    <t>C5-R2 20-3</t>
  </si>
  <si>
    <t>116506</t>
  </si>
  <si>
    <t>SWITCH, LIVE PARTS FOR 1 PHASETYPE EV 115-161 KV 1200 AMP DWG #D-20080108 (ASSEMBLED)HORIZONTAL MOUNTING (LOCATED INSIDE SUBSTATION)</t>
  </si>
  <si>
    <t>A6-#9 SUB</t>
  </si>
  <si>
    <t>TS</t>
  </si>
  <si>
    <t>116515</t>
  </si>
  <si>
    <t>RELAY, AUXILLIARY GENERAL ELECTRIC STDP FOR G.E. BREAKER</t>
  </si>
  <si>
    <t>A4-V1-11</t>
  </si>
  <si>
    <t>116703</t>
  </si>
  <si>
    <t>COVER AND SPRING ASSEMBLY, FOR_VARIOUS SEAL-IN UNITS OF WESTINGHOUSE PROTECTIVE RELAYS</t>
  </si>
  <si>
    <t>A4-V1-4</t>
  </si>
  <si>
    <t>116712</t>
  </si>
  <si>
    <t>SCREW, UPPER BEARING, FOR CV2 PROTECTIVE RELAY</t>
  </si>
  <si>
    <t>116713</t>
  </si>
  <si>
    <t>SCREW, LOWER BEARING, FOR CV-2_RELAY</t>
  </si>
  <si>
    <t>116714</t>
  </si>
  <si>
    <t>BEARING, LOWER, FOR CV-2 RELAY</t>
  </si>
  <si>
    <t>116794</t>
  </si>
  <si>
    <t>INTERFACE, PROTECTIVE RELAYING, TRANMIT DTT XMT UNIT E/W 2 CODE A&amp;Q</t>
  </si>
  <si>
    <t>A4-V9-6</t>
  </si>
  <si>
    <t>116795</t>
  </si>
  <si>
    <t>INTERFACE, PROTECTIVE RELAY, RECEIVE, DTT RCV UNIT E/W 2 CODE A&amp;Q</t>
  </si>
  <si>
    <t>116800</t>
  </si>
  <si>
    <t>SPRING, SPIRAL, FOR IRQ-8 RELAY</t>
  </si>
  <si>
    <t>116801</t>
  </si>
  <si>
    <t>COVER, WITH GASKET, FOR KRQ RELAY</t>
  </si>
  <si>
    <t>A4-V1-1</t>
  </si>
  <si>
    <t>116804</t>
  </si>
  <si>
    <t>COVER, WITH GASKET, FOR KD-10 RELAY (ALTERNATE MFGER P/N 1877786)</t>
  </si>
  <si>
    <t>116805</t>
  </si>
  <si>
    <t>CONTACT, MOVING, SPRING AND ADJUSTER FOR CVE-1 RELAY</t>
  </si>
  <si>
    <t>116809</t>
  </si>
  <si>
    <t>CHASSIS, FOCUS (PART OF HCB PILOT RELAYING SYSTEM) (ORDER UPON REQUEST)</t>
  </si>
  <si>
    <t>A4-V7-1</t>
  </si>
  <si>
    <t>116814</t>
  </si>
  <si>
    <t>RESISTOR, 6000 OHM, 25W, WIRE WOUND, ADJUSTABLE FOR KD-10 RELAY</t>
  </si>
  <si>
    <t>A4-V2-4</t>
  </si>
  <si>
    <t>116817</t>
  </si>
  <si>
    <t>RELAY, PHASE &amp; GROUND DISTANCE, DIRECTIONAL OVERCURRENT, SEL-321-1, CONNECTORIZED CONNECTIONS WITH HARNESSES</t>
  </si>
  <si>
    <t>A4-V9-2</t>
  </si>
  <si>
    <t>116819</t>
  </si>
  <si>
    <t>CONTACT, STATIONARY, FOR ALARMUNIT OF KA-4 CARRIER AUX. RELAY</t>
  </si>
  <si>
    <t>A4-V1-3</t>
  </si>
  <si>
    <t>122194</t>
  </si>
  <si>
    <t>WASHER, SQUARE, 4" X 4" X 1/2", WITH 1" HOLE, GALVANIZED, CHANCE P/N 6820</t>
  </si>
  <si>
    <t>A1-10-3-3</t>
  </si>
  <si>
    <t>122238</t>
  </si>
  <si>
    <t>NUT, M-F No. 1 LOCKNUT 1" SQUARE</t>
  </si>
  <si>
    <t>124569</t>
  </si>
  <si>
    <t>INSULATOR - STAND OFF - 161 KV_LINE POST JUMPER ASSEMBLY - INTERMEDIATE SECTION, USE INTERCHANGEABLY WITH 115739 (WOOD POLE BASE), 115740 (STEEL POLE BASE), AND 124570 (INTERCHANGEABLE TOP SECTION)</t>
  </si>
  <si>
    <t>A1-9-5-2</t>
  </si>
  <si>
    <t>116402</t>
  </si>
  <si>
    <t>COIL, CLOSE, 125VDC CONTROL VALVE FOR G.E. 161KV OCB</t>
  </si>
  <si>
    <t>A4-V2-11</t>
  </si>
  <si>
    <t>116403</t>
  </si>
  <si>
    <t>COIL, TRIP, 125VDC FOR G.E. 161KV OCB</t>
  </si>
  <si>
    <t>116438</t>
  </si>
  <si>
    <t>SEAL, O-RING, PILOT VALVE SEATON G.E. 161KV OCB PNEUMATIC CONTROL VALVE</t>
  </si>
  <si>
    <t>116439</t>
  </si>
  <si>
    <t>RING, SHIM, FOR G.E. PNEUMATICCONTROL VALVE ON G.E. 161KV OCB</t>
  </si>
  <si>
    <t>116441</t>
  </si>
  <si>
    <t>QUADRING, FOR G.E. MA-13-4A PNEUMATIC CONTROL VALVE ON 161KVOCB</t>
  </si>
  <si>
    <t>116442</t>
  </si>
  <si>
    <t>SEAL, O-RING, MAIN CONTROL VALVE FLANGE FOR G.E. 161KV OCB PNEUMATIC OPERATING CONTROL VALVE</t>
  </si>
  <si>
    <t>116507</t>
  </si>
  <si>
    <t>BUSHING, VER.1 TYPEO PLUS C"_YEAR 1988, STYLE 1611620UR L DIM. 50.25 KV 161 BIL KV 750 MAX L-G KV 146 AMPS 1600/2000 SERIAL 01-90040 161 BREAKERS (REPAIRABLE ORDER UPON REQUEST)</t>
  </si>
  <si>
    <t>A6-9SUB 2</t>
  </si>
  <si>
    <t>116602</t>
  </si>
  <si>
    <t>SEAL, O-RING, PILOT ARMATURE ADAPTER INSERT, FOR G.E. 161KV OCB MA-13-4A PNEUMATIC OPER. CONTROL VALVE</t>
  </si>
  <si>
    <t>116647</t>
  </si>
  <si>
    <t>BUSHING, MCGRAW-EDISON, CLASS KV 161 MAX KV TO GND 102 BIL KV 750 L. 50.25 IN. YEAR 1980 S/N PA G63431 (AUTO TRANSFOR- MERS HIGH VOLTAGE) (OLD #502-NN-701)</t>
  </si>
  <si>
    <t>A6-9SUB15</t>
  </si>
  <si>
    <t>116672</t>
  </si>
  <si>
    <t>BUSHING, OHIO BRASS CONDENSER GK 50 CLASS 161KV BIL 750 MAX KV TO GND 146 YEAR 1980 TRANSF. 800/1600 OCB 2000 AMPS L. 50.25" SER.#229481-07653, GENERAL SERVICE #9</t>
  </si>
  <si>
    <t>A6-9SUB16</t>
  </si>
  <si>
    <t>116681</t>
  </si>
  <si>
    <t>BELT, V.2450 GATES, FOR G.E. FK-439-14.4-1000, G.E. FK-439-14.4-1500-2, G.E. FK-161-5000-1, WESTINGHOUSE G0-4-A,10 BREAKERS</t>
  </si>
  <si>
    <t>A4-V4-3</t>
  </si>
  <si>
    <t>116697</t>
  </si>
  <si>
    <t>VALVE, CHECK, FOR 161KV BREAKER, G.E. REQ 397-12856, FIG #3, REF #4</t>
  </si>
  <si>
    <t>A4-V3-5</t>
  </si>
  <si>
    <t>116698</t>
  </si>
  <si>
    <t>RINGS, SET OF BACKUP FOR CHECK_VALVE 161KV, G.E. REQ #397- 12856, FIG #3, REF #0</t>
  </si>
  <si>
    <t>116699</t>
  </si>
  <si>
    <t>SPRING, PISTON FOR UNIT #9 161KV BREAKERS, FIG #25, REF #19</t>
  </si>
  <si>
    <t>116700</t>
  </si>
  <si>
    <t>VALVE, PISTON AND EXHAUST FOR UNIT #9 161KV BREAKERS FIG #25, REF #22</t>
  </si>
  <si>
    <t>115476</t>
  </si>
  <si>
    <t>CLAMP, SUSPENSION, WITH SOCKET, RANGE 1.4-2.04</t>
  </si>
  <si>
    <t>115742</t>
  </si>
  <si>
    <t>INSULATOR - STATION POST - 161KV, 750 BIL, 5" BC, NEMA STANDARD TR291, ANSI #70 GRAY LAPP 51161</t>
  </si>
  <si>
    <t>115749</t>
  </si>
  <si>
    <t>INSULATOR, PEDESTAL POST SWITCH AND BUS, 69KV STACKING TYPE-LAPP #315016-70 GRAY</t>
  </si>
  <si>
    <t>A2-4-1-3</t>
  </si>
  <si>
    <t>116063</t>
  </si>
  <si>
    <t>CABLE, 750 KCMIL, AL, 69KV, UNDERGROUND, KERITE PERMASHIELD WITH 125 MIL JACKET (CONTACT T &amp; D SUPV.)</t>
  </si>
  <si>
    <t>A2-2-1-2</t>
  </si>
  <si>
    <t>116198</t>
  </si>
  <si>
    <t>TRANSFORMER, POTENTIAL 69KV PRIMARY 115/67 V, SECONDARY, DUAL WINDING WITH 350/600:1:1 RATIO</t>
  </si>
  <si>
    <t>AY-YD 12</t>
  </si>
  <si>
    <t>116372</t>
  </si>
  <si>
    <t>RING, PISTON FOR ALLIS-CHALMERS 69KV OCBS</t>
  </si>
  <si>
    <t>A4-V2-9</t>
  </si>
  <si>
    <t>116608</t>
  </si>
  <si>
    <t>SWITCH, PRESSURE, 3 UNIT ASSY,_MCGRAW EDISON 69KV BREAKERS</t>
  </si>
  <si>
    <t>A4-V2-10</t>
  </si>
  <si>
    <t>116609</t>
  </si>
  <si>
    <t>COIL, TRIP, 125VDC, FOR MCGRAW-EDISON 69KV BREAKER</t>
  </si>
  <si>
    <t>116610</t>
  </si>
  <si>
    <t>COIL, 52-X OR Y RELAY, 230VAC,FOR 69KV MCGRAW EDISON BREAKERS</t>
  </si>
  <si>
    <t>116611</t>
  </si>
  <si>
    <t>COIL, CLOSING, SOLENOID FOR MCGRAW-EDISON 69KV OCB</t>
  </si>
  <si>
    <t>116612</t>
  </si>
  <si>
    <t>HOSE, PRESSURE LINE, 3/8" X 24-1/4" FROM VALVE BLOCK TO PRESSURE SWITCHES FOR MCGRAW-EDISON 69KV OCB</t>
  </si>
  <si>
    <t>116646</t>
  </si>
  <si>
    <t>BUSHING, LAPP INSULATOR 69KV BIL 350 400/1200 AMP, SERIAL 70-358 70-337 70-393 (69KV BREAKER) (OLD #B-88580) (ORDER UPON REQUEST)</t>
  </si>
  <si>
    <t>A7-AVAIL</t>
  </si>
  <si>
    <t>116648</t>
  </si>
  <si>
    <t>BUSHING, MCGRAW-EDISON 69KV MAX KV TO GRN 44 YEAR 1981 BIL 350 L.IN 37.5 AMPS 1200 S/N PA A65772 (L.V. AUTO TRANS- FORMERS)</t>
  </si>
  <si>
    <t>A7-PINESUB</t>
  </si>
  <si>
    <t>116649</t>
  </si>
  <si>
    <t>TERMINATOR, CABLE PSC MODEL F MAX CONDUCTOR SIZE 1000 MCM RATED 69KV 1000 AMPS BIL 350 (69KV UNDERGROUND CABLE) (LOCATED INSIDE SUBSTATION)</t>
  </si>
  <si>
    <t>116660</t>
  </si>
  <si>
    <t>BUSHING, GENERAL ELECTRIC, TYPE U CLASS BT 69 YEAR 1980 AMPS 1200 L 33.5", MAX KV TO GRN 44 BIL 350, SERIAL 2126829 69KV PP4 AND WEST.</t>
  </si>
  <si>
    <t>A6-9SUB 8</t>
  </si>
  <si>
    <t>116673</t>
  </si>
  <si>
    <t>BUSHING, 69KV CLASS BTY 69 TYPE U AMPS, 2000 L. 31", YEAR 1980 BIL 350 MAX KV TO GRD 44, SER 2127968, 69KV PP4 AND WEST.</t>
  </si>
  <si>
    <t>A6-9SUB11</t>
  </si>
  <si>
    <t>116692</t>
  </si>
  <si>
    <t>GASKET, TANK TYPE TD0-69 1200 AMPER 69KV, REF #29 FIGURE 2 INSTRUCTION BOOK BWX 6676-1, FOR ALLIS-CHALMERS BREAKERS</t>
  </si>
  <si>
    <t>A4-V4-6</t>
  </si>
  <si>
    <t>116693</t>
  </si>
  <si>
    <t>GASKET, MANHOLE COVER TYPE LB069 1200 AMPERS 69KV, REF #41 FIGURE 2 INSTRUCTION BOOK BWX 6728, FOR ALLIS-CHALMERS BREAKERS</t>
  </si>
  <si>
    <t>116715</t>
  </si>
  <si>
    <t>RECTIFIER, 16A, 1000V, COM. CATH., DO-4 USED FOR SUBSTATION CLOSE CONTROL (BLOCKING)</t>
  </si>
  <si>
    <t>A4-V1-6</t>
  </si>
  <si>
    <t>116728</t>
  </si>
  <si>
    <t>COUNTER, RATCHET DRIVE, 5 FIGURES FLANGE CASE, VEEDER-ROOT MODEL NO. 746045-001 FOR 69KV ALLIS-CHALMERS BREAKERS</t>
  </si>
  <si>
    <t>A4-V2-3</t>
  </si>
  <si>
    <t>116750</t>
  </si>
  <si>
    <t>VALVE, SOLENOID OPERATED CONTROL, VOLTS 125 VDC, P/N 72-212-429-801, FOR ALLIS-CHALMERS 69KV OCB</t>
  </si>
  <si>
    <t>116761</t>
  </si>
  <si>
    <t>BUSHING, WESTINGHOUSE, AMPS 400/1200, SN DM-7381, CAT #6912C37, KEY 592, 69KV, YEAR 1970, ASAI", DIM 37.5, TYPE O, SOUTH SUB AUTO 69KV LOW VOLTAGE</t>
  </si>
  <si>
    <t>116784</t>
  </si>
  <si>
    <t>ARRESTER, 69KV STATION CLASS, NEMA SPACED 4-HOLE PAD ON TOP, 10 IN BOLT CIRCLE ON BOTTOM, 48KV MCOV</t>
  </si>
  <si>
    <t>A2-4-2-2</t>
  </si>
  <si>
    <t>Transmission O&amp;M Expenses</t>
  </si>
  <si>
    <t>Operation</t>
  </si>
  <si>
    <t>560 – Operation Supervision and Engineering</t>
  </si>
  <si>
    <t xml:space="preserve">561 – Load Dispatching </t>
  </si>
  <si>
    <t>561.1 – Load Dispatch – Reliability</t>
  </si>
  <si>
    <t>Attachment O, page 4, line 7</t>
  </si>
  <si>
    <t>561.LBA  - Load Dispatch - Reliability labor</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</si>
  <si>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</si>
  <si>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</si>
  <si>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</si>
  <si>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</si>
  <si>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</si>
  <si>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</si>
  <si>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</si>
  <si>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</si>
  <si>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</si>
  <si>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</si>
  <si>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</si>
  <si>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</si>
  <si>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</si>
  <si>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</si>
  <si>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</si>
  <si>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MPW Internal Acct 575 - Vacation, holiday, and sick leave</t>
  </si>
  <si>
    <t>MPW Internal Acct 577 - Property tax</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</si>
  <si>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</si>
  <si>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</si>
  <si>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</si>
  <si>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</si>
  <si>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</si>
  <si>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</si>
  <si>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</si>
  <si>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</si>
  <si>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</si>
  <si>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</si>
  <si>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</si>
  <si>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Transmission O&amp;M Expense</t>
  </si>
  <si>
    <t>Attachment O, page 3, line 1 and EIA 412, Schd 7, line 8</t>
  </si>
  <si>
    <t>Please provide the following information:</t>
  </si>
  <si>
    <r>
      <t xml:space="preserve">What line of the audited financial statements includes the Transmission O&amp;M Expense?  </t>
    </r>
    <r>
      <rPr>
        <sz val="11"/>
        <color rgb="FFFF0000"/>
        <rFont val="Calibri"/>
        <family val="2"/>
        <scheme val="minor"/>
      </rPr>
      <t>Transmission O&amp;M expenses are included in the lines "Other operating expenses" and "Maintenance" in the Statement of Revenues, Expenses, and Changes in Net Position.</t>
    </r>
  </si>
  <si>
    <r>
      <t xml:space="preserve">Provide a brief but descriptive list of the items and associated amounts reflected in that line of the financial statements  </t>
    </r>
    <r>
      <rPr>
        <sz val="11"/>
        <color rgb="FFFF0000"/>
        <rFont val="Calibri"/>
        <family val="2"/>
        <scheme val="minor"/>
      </rPr>
      <t>Labor, materials, MPW portion of MISO's MVP's are in FERC 565 (See Summary of O&amp;M Expenses tab)</t>
    </r>
  </si>
  <si>
    <t>If you report zero for accounts 561.4 &amp; 561.8 - please provide a brief written statement indicating that you do not have</t>
  </si>
  <si>
    <r>
      <t xml:space="preserve">any of these expenses.  </t>
    </r>
    <r>
      <rPr>
        <sz val="11"/>
        <color rgb="FFFF0000"/>
        <rFont val="Calibri"/>
        <family val="2"/>
        <scheme val="minor"/>
      </rPr>
      <t>We do not have any charges for account 561.8.</t>
    </r>
  </si>
  <si>
    <t>If you report zero for account 565 - please provide a brief written statement indicating that you do not have</t>
  </si>
  <si>
    <t>any of these expenses.</t>
  </si>
  <si>
    <r>
      <t xml:space="preserve">If you have account 565 expenses - provide brief but descriptive detail of the 565 expenses  </t>
    </r>
    <r>
      <rPr>
        <sz val="11"/>
        <color rgb="FFFF0000"/>
        <rFont val="Calibri"/>
        <family val="2"/>
        <scheme val="minor"/>
      </rPr>
      <t>MISO Schedule 26 &amp; 26A charges for MVP's are the only expense included in FERC 565.</t>
    </r>
  </si>
  <si>
    <t>Customer Accts &amp; Admin and General Expenses</t>
  </si>
  <si>
    <t>Customer Accounts Expenses</t>
  </si>
  <si>
    <t>901 – Supervision</t>
  </si>
  <si>
    <t>902 – Meter Reading Expenses</t>
  </si>
  <si>
    <t>903 – Customer Records and Collection Expenses</t>
  </si>
  <si>
    <t>904 – Uncollectible Accounts</t>
  </si>
  <si>
    <t xml:space="preserve">905 – Miscellaneous Customer Accounts Expenses </t>
  </si>
  <si>
    <t>MPW Internal Acct 906 Vacation, holiday, sick leave</t>
  </si>
  <si>
    <t>Total Customer Accounts Expense</t>
  </si>
  <si>
    <t>EIA 412, Sch 7, line 10</t>
  </si>
  <si>
    <t>Customer Service and Informational Expenses</t>
  </si>
  <si>
    <t>907 – Supervision</t>
  </si>
  <si>
    <t>908 – Customer Assistance Expenses</t>
  </si>
  <si>
    <t>909 – Informational and Instructional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</si>
  <si>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</si>
  <si>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</si>
  <si>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</si>
  <si>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</si>
  <si>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</si>
  <si>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</si>
  <si>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</si>
  <si>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12</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</si>
  <si>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</si>
  <si>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</si>
  <si>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</si>
  <si>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</si>
  <si>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</si>
  <si>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</si>
  <si>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</si>
  <si>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927 – Franchise Requirements</t>
  </si>
  <si>
    <t>928 – Regulatory Commission Expenses</t>
  </si>
  <si>
    <t>930.1 – General Advertising Expenses</t>
  </si>
  <si>
    <t>930.2 – Miscellaneous General Expenses</t>
  </si>
  <si>
    <t>931 – Rents</t>
  </si>
  <si>
    <t xml:space="preserve">MPW Internal Acct 932 - Maint of General Plant </t>
  </si>
  <si>
    <t>MPW Internal Acct 934 - Maint of A/O Center</t>
  </si>
  <si>
    <t>MPW Internal Acct 936 - Vacation, holiday, and sick leave</t>
  </si>
  <si>
    <t>910 – Miscellaneous Customer Service and Informational Expenses - Includes Customer Rebates</t>
  </si>
  <si>
    <t>929 – Duplicate Charges Credit - Fringe Benefits Charged to Construction</t>
  </si>
  <si>
    <t>What line of the audited financial statements includes the A&amp;G Expense?  A&amp;G expenses are included in the lines "Other operating expenses" and "Maintenance" in the Statement of Revenues, Expenses, and Changes in Net Position.</t>
  </si>
  <si>
    <t>Provide a brief but descriptive list of the items and associated amounts reflected in that line of the financial statements  Labor, materials expenses.  (See Summary of O&amp;M Expenses tab)</t>
  </si>
  <si>
    <t>What line of the audited financial statements includes the Customer Account, Customer Service, and Sales Expense?  "Other operating expenses" in the Statement of Revenues, Expenses, and Changes in Net Position.</t>
  </si>
  <si>
    <t>Provide a brief but descriptive list of the items and associated amounts reflected in that line of the financial statements  See account descriptions above</t>
  </si>
  <si>
    <t>LBA</t>
  </si>
  <si>
    <t>T01</t>
  </si>
  <si>
    <t>T02</t>
  </si>
  <si>
    <t>T03</t>
  </si>
  <si>
    <t>T04</t>
  </si>
  <si>
    <t>T05</t>
  </si>
  <si>
    <t>T06</t>
  </si>
  <si>
    <t>T07</t>
  </si>
  <si>
    <t>T08</t>
  </si>
  <si>
    <t>926 – Employee Pension and Benefits, excluding payroll FICA tax of $1,226,510</t>
  </si>
  <si>
    <t>Summary of Expenses</t>
  </si>
  <si>
    <t>Generation</t>
  </si>
  <si>
    <r>
      <t>Operation Supervision</t>
    </r>
    <r>
      <rPr>
        <sz val="8"/>
        <color indexed="8"/>
        <rFont val="Times New Roman"/>
        <family val="1"/>
      </rPr>
      <t xml:space="preserve"> (500)</t>
    </r>
  </si>
  <si>
    <t>Steam Expense:</t>
  </si>
  <si>
    <r>
      <t xml:space="preserve">    Boiler </t>
    </r>
    <r>
      <rPr>
        <sz val="8"/>
        <color indexed="8"/>
        <rFont val="Times New Roman"/>
        <family val="1"/>
      </rPr>
      <t>(502-004)</t>
    </r>
  </si>
  <si>
    <r>
      <t xml:space="preserve">    Pollution Control </t>
    </r>
    <r>
      <rPr>
        <sz val="8"/>
        <color indexed="8"/>
        <rFont val="Times New Roman"/>
        <family val="1"/>
      </rPr>
      <t>(502-005)</t>
    </r>
  </si>
  <si>
    <r>
      <t xml:space="preserve">Electric Expense </t>
    </r>
    <r>
      <rPr>
        <sz val="8"/>
        <color indexed="8"/>
        <rFont val="Times New Roman"/>
        <family val="1"/>
      </rPr>
      <t>(505)</t>
    </r>
  </si>
  <si>
    <r>
      <t xml:space="preserve">Miscellaneous Steam Power Expense </t>
    </r>
    <r>
      <rPr>
        <sz val="8"/>
        <color indexed="8"/>
        <rFont val="Times New Roman"/>
        <family val="1"/>
      </rPr>
      <t>(506)</t>
    </r>
  </si>
  <si>
    <t>Maintenance:</t>
  </si>
  <si>
    <r>
      <t xml:space="preserve">    Supervision </t>
    </r>
    <r>
      <rPr>
        <sz val="8"/>
        <color indexed="8"/>
        <rFont val="Times New Roman"/>
        <family val="1"/>
      </rPr>
      <t>(510)</t>
    </r>
  </si>
  <si>
    <r>
      <t xml:space="preserve">    Structures </t>
    </r>
    <r>
      <rPr>
        <sz val="8"/>
        <color indexed="8"/>
        <rFont val="Times New Roman"/>
        <family val="1"/>
      </rPr>
      <t>(511)</t>
    </r>
  </si>
  <si>
    <t xml:space="preserve">    Boiler Plant:</t>
  </si>
  <si>
    <r>
      <t xml:space="preserve">      Boiler </t>
    </r>
    <r>
      <rPr>
        <sz val="8"/>
        <color indexed="8"/>
        <rFont val="Times New Roman"/>
        <family val="1"/>
      </rPr>
      <t>(512-006)</t>
    </r>
  </si>
  <si>
    <r>
      <t xml:space="preserve">      Pollution Control </t>
    </r>
    <r>
      <rPr>
        <sz val="8"/>
        <color indexed="8"/>
        <rFont val="Times New Roman"/>
        <family val="1"/>
      </rPr>
      <t>(512-007)</t>
    </r>
  </si>
  <si>
    <r>
      <t xml:space="preserve">    Electric Plant </t>
    </r>
    <r>
      <rPr>
        <sz val="8"/>
        <color indexed="8"/>
        <rFont val="Times New Roman"/>
        <family val="1"/>
      </rPr>
      <t>(513-008)</t>
    </r>
  </si>
  <si>
    <r>
      <t xml:space="preserve">    System Control </t>
    </r>
    <r>
      <rPr>
        <sz val="8"/>
        <color indexed="8"/>
        <rFont val="Times New Roman"/>
        <family val="1"/>
      </rPr>
      <t>(513-009)</t>
    </r>
  </si>
  <si>
    <r>
      <t xml:space="preserve">    Miscellaneous Steam Plant </t>
    </r>
    <r>
      <rPr>
        <sz val="8"/>
        <color indexed="8"/>
        <rFont val="Times New Roman"/>
        <family val="1"/>
      </rPr>
      <t>(514)</t>
    </r>
  </si>
  <si>
    <r>
      <t xml:space="preserve">    Coal Handling Equipment </t>
    </r>
    <r>
      <rPr>
        <sz val="8"/>
        <color indexed="8"/>
        <rFont val="Times New Roman"/>
        <family val="1"/>
      </rPr>
      <t>(516)</t>
    </r>
  </si>
  <si>
    <r>
      <t xml:space="preserve">System Control and Load Dispatch </t>
    </r>
    <r>
      <rPr>
        <sz val="8"/>
        <color indexed="8"/>
        <rFont val="Times New Roman"/>
        <family val="1"/>
      </rPr>
      <t>(556)</t>
    </r>
  </si>
  <si>
    <r>
      <t xml:space="preserve">Vacation, Holiday, Sick Leave </t>
    </r>
    <r>
      <rPr>
        <sz val="8"/>
        <color indexed="8"/>
        <rFont val="Times New Roman"/>
        <family val="1"/>
      </rPr>
      <t>(557)</t>
    </r>
  </si>
  <si>
    <t>Muscatine Power and Water - Electric Utility</t>
  </si>
  <si>
    <r>
      <t xml:space="preserve">Operation Supervision </t>
    </r>
    <r>
      <rPr>
        <sz val="8"/>
        <color indexed="8"/>
        <rFont val="Times New Roman"/>
        <family val="1"/>
      </rPr>
      <t>(560)</t>
    </r>
  </si>
  <si>
    <r>
      <t xml:space="preserve">Load Dispatching </t>
    </r>
    <r>
      <rPr>
        <sz val="8"/>
        <color indexed="8"/>
        <rFont val="Times New Roman"/>
        <family val="1"/>
      </rPr>
      <t>(561)</t>
    </r>
  </si>
  <si>
    <r>
      <t xml:space="preserve">Station Expense </t>
    </r>
    <r>
      <rPr>
        <sz val="8"/>
        <color indexed="8"/>
        <rFont val="Times New Roman"/>
        <family val="1"/>
      </rPr>
      <t>(562)</t>
    </r>
  </si>
  <si>
    <r>
      <t xml:space="preserve">Overhead Line Expense </t>
    </r>
    <r>
      <rPr>
        <sz val="8"/>
        <color indexed="8"/>
        <rFont val="Times New Roman"/>
        <family val="1"/>
      </rPr>
      <t>(563)</t>
    </r>
  </si>
  <si>
    <r>
      <t xml:space="preserve">Transmission of Electricity by Others </t>
    </r>
    <r>
      <rPr>
        <sz val="8"/>
        <color indexed="8"/>
        <rFont val="Times New Roman"/>
        <family val="1"/>
      </rPr>
      <t>(565)</t>
    </r>
  </si>
  <si>
    <r>
      <t xml:space="preserve">Miscellaneous Transmission Expense </t>
    </r>
    <r>
      <rPr>
        <sz val="8"/>
        <color indexed="8"/>
        <rFont val="Times New Roman"/>
        <family val="1"/>
      </rPr>
      <t>(566)</t>
    </r>
  </si>
  <si>
    <r>
      <t xml:space="preserve">    Supervision </t>
    </r>
    <r>
      <rPr>
        <sz val="8"/>
        <color indexed="8"/>
        <rFont val="Times New Roman"/>
        <family val="1"/>
      </rPr>
      <t>(568)</t>
    </r>
  </si>
  <si>
    <r>
      <t xml:space="preserve">    Station Equipment </t>
    </r>
    <r>
      <rPr>
        <sz val="8"/>
        <color indexed="8"/>
        <rFont val="Times New Roman"/>
        <family val="1"/>
      </rPr>
      <t>(570)</t>
    </r>
  </si>
  <si>
    <r>
      <t xml:space="preserve">    Overhead Lines </t>
    </r>
    <r>
      <rPr>
        <sz val="8"/>
        <color indexed="8"/>
        <rFont val="Times New Roman"/>
        <family val="1"/>
      </rPr>
      <t>(571)</t>
    </r>
  </si>
  <si>
    <r>
      <t xml:space="preserve">Vacation, Holiday, Sick Leave </t>
    </r>
    <r>
      <rPr>
        <sz val="8"/>
        <color indexed="8"/>
        <rFont val="Times New Roman"/>
        <family val="1"/>
      </rPr>
      <t>(575)</t>
    </r>
  </si>
  <si>
    <r>
      <t xml:space="preserve">Tax on Rural Property </t>
    </r>
    <r>
      <rPr>
        <sz val="8"/>
        <color indexed="8"/>
        <rFont val="Times New Roman"/>
        <family val="1"/>
      </rPr>
      <t>(577)</t>
    </r>
  </si>
  <si>
    <t>Distribution</t>
  </si>
  <si>
    <r>
      <t xml:space="preserve">Operation Supervision </t>
    </r>
    <r>
      <rPr>
        <sz val="8"/>
        <color indexed="8"/>
        <rFont val="Times New Roman"/>
        <family val="1"/>
      </rPr>
      <t>(580)</t>
    </r>
  </si>
  <si>
    <r>
      <t xml:space="preserve">Load Dispatching </t>
    </r>
    <r>
      <rPr>
        <sz val="8"/>
        <color indexed="8"/>
        <rFont val="Times New Roman"/>
        <family val="1"/>
      </rPr>
      <t>(581)</t>
    </r>
  </si>
  <si>
    <r>
      <t xml:space="preserve">Station Expense </t>
    </r>
    <r>
      <rPr>
        <sz val="9"/>
        <color indexed="8"/>
        <rFont val="Times New Roman"/>
        <family val="1"/>
      </rPr>
      <t>(582)</t>
    </r>
  </si>
  <si>
    <r>
      <t xml:space="preserve">Overhead Line Expense </t>
    </r>
    <r>
      <rPr>
        <sz val="8"/>
        <color indexed="8"/>
        <rFont val="Times New Roman"/>
        <family val="1"/>
      </rPr>
      <t>(583)</t>
    </r>
  </si>
  <si>
    <r>
      <t xml:space="preserve">Vehicle Expense </t>
    </r>
    <r>
      <rPr>
        <sz val="8"/>
        <color indexed="8"/>
        <rFont val="Times New Roman"/>
        <family val="1"/>
      </rPr>
      <t>(589)</t>
    </r>
  </si>
  <si>
    <r>
      <t xml:space="preserve">Underground Line Expense </t>
    </r>
    <r>
      <rPr>
        <sz val="8"/>
        <color indexed="8"/>
        <rFont val="Times New Roman"/>
        <family val="1"/>
      </rPr>
      <t>(584)</t>
    </r>
  </si>
  <si>
    <r>
      <t xml:space="preserve">Street Lighting </t>
    </r>
    <r>
      <rPr>
        <sz val="8"/>
        <color indexed="8"/>
        <rFont val="Times New Roman"/>
        <family val="1"/>
      </rPr>
      <t>(585-418)</t>
    </r>
  </si>
  <si>
    <r>
      <t xml:space="preserve">Signal Expense </t>
    </r>
    <r>
      <rPr>
        <sz val="8"/>
        <color indexed="8"/>
        <rFont val="Times New Roman"/>
        <family val="1"/>
      </rPr>
      <t>(585-419)</t>
    </r>
  </si>
  <si>
    <r>
      <t xml:space="preserve">Meter Expense </t>
    </r>
    <r>
      <rPr>
        <sz val="8"/>
        <color indexed="8"/>
        <rFont val="Times New Roman"/>
        <family val="1"/>
      </rPr>
      <t>(586)</t>
    </r>
  </si>
  <si>
    <r>
      <t xml:space="preserve">Consumer Installation Expense </t>
    </r>
    <r>
      <rPr>
        <sz val="8"/>
        <color indexed="8"/>
        <rFont val="Times New Roman"/>
        <family val="1"/>
      </rPr>
      <t>(587)</t>
    </r>
  </si>
  <si>
    <r>
      <t xml:space="preserve">Miscellaneous Distribution Expense </t>
    </r>
    <r>
      <rPr>
        <sz val="8"/>
        <color indexed="8"/>
        <rFont val="Times New Roman"/>
        <family val="1"/>
      </rPr>
      <t>(588)</t>
    </r>
  </si>
  <si>
    <r>
      <t xml:space="preserve">    Supervision </t>
    </r>
    <r>
      <rPr>
        <sz val="8"/>
        <color indexed="8"/>
        <rFont val="Times New Roman"/>
        <family val="1"/>
      </rPr>
      <t>(590)</t>
    </r>
  </si>
  <si>
    <r>
      <t xml:space="preserve">    Structures </t>
    </r>
    <r>
      <rPr>
        <sz val="8"/>
        <color indexed="8"/>
        <rFont val="Times New Roman"/>
        <family val="1"/>
      </rPr>
      <t>(591)</t>
    </r>
  </si>
  <si>
    <r>
      <t xml:space="preserve">    Station Equipment </t>
    </r>
    <r>
      <rPr>
        <sz val="8"/>
        <color indexed="8"/>
        <rFont val="Times New Roman"/>
        <family val="1"/>
      </rPr>
      <t>(592)</t>
    </r>
  </si>
  <si>
    <r>
      <t xml:space="preserve">    Overhead Lines</t>
    </r>
    <r>
      <rPr>
        <sz val="8"/>
        <color indexed="8"/>
        <rFont val="Times New Roman"/>
        <family val="1"/>
      </rPr>
      <t xml:space="preserve"> (593)</t>
    </r>
  </si>
  <si>
    <r>
      <t xml:space="preserve">    Underground Lines </t>
    </r>
    <r>
      <rPr>
        <sz val="8"/>
        <color indexed="8"/>
        <rFont val="Times New Roman"/>
        <family val="1"/>
      </rPr>
      <t>(594)</t>
    </r>
  </si>
  <si>
    <r>
      <t xml:space="preserve">    Line Transformers </t>
    </r>
    <r>
      <rPr>
        <sz val="8"/>
        <color indexed="8"/>
        <rFont val="Times New Roman"/>
        <family val="1"/>
      </rPr>
      <t>(595)</t>
    </r>
  </si>
  <si>
    <r>
      <t xml:space="preserve">    Street Lighting </t>
    </r>
    <r>
      <rPr>
        <sz val="8"/>
        <color indexed="8"/>
        <rFont val="Times New Roman"/>
        <family val="1"/>
      </rPr>
      <t>(596-418)</t>
    </r>
  </si>
  <si>
    <r>
      <t xml:space="preserve">    Signal System </t>
    </r>
    <r>
      <rPr>
        <sz val="8"/>
        <color indexed="8"/>
        <rFont val="Times New Roman"/>
        <family val="1"/>
      </rPr>
      <t>(596-419)</t>
    </r>
  </si>
  <si>
    <r>
      <t xml:space="preserve">    Meters </t>
    </r>
    <r>
      <rPr>
        <sz val="8"/>
        <color indexed="8"/>
        <rFont val="Times New Roman"/>
        <family val="1"/>
      </rPr>
      <t>(597)</t>
    </r>
  </si>
  <si>
    <r>
      <t xml:space="preserve">    Miscellaneous Distribution Plant </t>
    </r>
    <r>
      <rPr>
        <sz val="8"/>
        <color indexed="8"/>
        <rFont val="Times New Roman"/>
        <family val="1"/>
      </rPr>
      <t>(598)</t>
    </r>
  </si>
  <si>
    <r>
      <t xml:space="preserve">Vacation, Holiday, Sick Leave </t>
    </r>
    <r>
      <rPr>
        <sz val="8"/>
        <color indexed="8"/>
        <rFont val="Times New Roman"/>
        <family val="1"/>
      </rPr>
      <t>(599)</t>
    </r>
  </si>
  <si>
    <r>
      <t xml:space="preserve">Tax on Rural Property </t>
    </r>
    <r>
      <rPr>
        <sz val="8"/>
        <color indexed="8"/>
        <rFont val="Times New Roman"/>
        <family val="1"/>
      </rPr>
      <t>(579)</t>
    </r>
  </si>
  <si>
    <t>Customer Service Expense</t>
  </si>
  <si>
    <r>
      <t>Customer Information Expense</t>
    </r>
    <r>
      <rPr>
        <sz val="8"/>
        <color indexed="8"/>
        <rFont val="Times New Roman"/>
        <family val="1"/>
      </rPr>
      <t xml:space="preserve"> (909)</t>
    </r>
  </si>
  <si>
    <r>
      <t xml:space="preserve">Energy Efficiency Rebates </t>
    </r>
    <r>
      <rPr>
        <sz val="8"/>
        <color indexed="8"/>
        <rFont val="Times New Roman"/>
        <family val="1"/>
      </rPr>
      <t>(910)</t>
    </r>
  </si>
  <si>
    <r>
      <t xml:space="preserve">Electric Ranges/Dryers Maintenance </t>
    </r>
    <r>
      <rPr>
        <sz val="8"/>
        <color indexed="8"/>
        <rFont val="Times New Roman"/>
        <family val="1"/>
      </rPr>
      <t>(911)</t>
    </r>
  </si>
  <si>
    <r>
      <t xml:space="preserve">Electric Water Heaters Maintenance </t>
    </r>
    <r>
      <rPr>
        <sz val="8"/>
        <color indexed="8"/>
        <rFont val="Times New Roman"/>
        <family val="1"/>
      </rPr>
      <t>(912)</t>
    </r>
  </si>
  <si>
    <t>Consumer Accounts</t>
  </si>
  <si>
    <r>
      <t xml:space="preserve">Supervision </t>
    </r>
    <r>
      <rPr>
        <sz val="8"/>
        <color indexed="8"/>
        <rFont val="Times New Roman"/>
        <family val="1"/>
      </rPr>
      <t>(901)</t>
    </r>
  </si>
  <si>
    <r>
      <t xml:space="preserve">Meter Reading Expense </t>
    </r>
    <r>
      <rPr>
        <sz val="8"/>
        <color indexed="8"/>
        <rFont val="Times New Roman"/>
        <family val="1"/>
      </rPr>
      <t>(902)</t>
    </r>
  </si>
  <si>
    <r>
      <t xml:space="preserve">Consumer Records and Collection </t>
    </r>
    <r>
      <rPr>
        <sz val="8"/>
        <color indexed="8"/>
        <rFont val="Times New Roman"/>
        <family val="1"/>
      </rPr>
      <t>(903)</t>
    </r>
  </si>
  <si>
    <r>
      <t xml:space="preserve">Uncollectible Accounts Expense </t>
    </r>
    <r>
      <rPr>
        <sz val="8"/>
        <color indexed="8"/>
        <rFont val="Times New Roman"/>
        <family val="1"/>
      </rPr>
      <t>(904)</t>
    </r>
  </si>
  <si>
    <r>
      <t xml:space="preserve">Vacation, Holiday, Sick Leave </t>
    </r>
    <r>
      <rPr>
        <sz val="8"/>
        <color indexed="8"/>
        <rFont val="Times New Roman"/>
        <family val="1"/>
      </rPr>
      <t>(906)</t>
    </r>
  </si>
  <si>
    <t>Administrative and General</t>
  </si>
  <si>
    <r>
      <t>Administrative and General Salaries</t>
    </r>
    <r>
      <rPr>
        <sz val="8"/>
        <color indexed="8"/>
        <rFont val="Times New Roman"/>
        <family val="1"/>
      </rPr>
      <t xml:space="preserve"> (920)</t>
    </r>
  </si>
  <si>
    <r>
      <t xml:space="preserve">Office Supplies and Expenses </t>
    </r>
    <r>
      <rPr>
        <sz val="8"/>
        <color indexed="8"/>
        <rFont val="Times New Roman"/>
        <family val="1"/>
      </rPr>
      <t>(921)</t>
    </r>
  </si>
  <si>
    <r>
      <t>Outside Services Employed</t>
    </r>
    <r>
      <rPr>
        <sz val="8"/>
        <color indexed="8"/>
        <rFont val="Times New Roman"/>
        <family val="1"/>
      </rPr>
      <t xml:space="preserve"> (923)</t>
    </r>
  </si>
  <si>
    <r>
      <t xml:space="preserve">Property Insurance </t>
    </r>
    <r>
      <rPr>
        <sz val="8"/>
        <color indexed="8"/>
        <rFont val="Times New Roman"/>
        <family val="1"/>
      </rPr>
      <t>(924)</t>
    </r>
  </si>
  <si>
    <r>
      <t xml:space="preserve">Casualty Ins, Injuries &amp; Damages </t>
    </r>
    <r>
      <rPr>
        <sz val="8"/>
        <color indexed="8"/>
        <rFont val="Times New Roman"/>
        <family val="1"/>
      </rPr>
      <t>(925)</t>
    </r>
  </si>
  <si>
    <r>
      <t>Employee Pensions and Benefits</t>
    </r>
    <r>
      <rPr>
        <sz val="8"/>
        <color indexed="8"/>
        <rFont val="Times New Roman"/>
        <family val="1"/>
      </rPr>
      <t xml:space="preserve"> (926)</t>
    </r>
  </si>
  <si>
    <r>
      <t xml:space="preserve">Fringe Benefits Charged to Constr. </t>
    </r>
    <r>
      <rPr>
        <sz val="8"/>
        <color indexed="8"/>
        <rFont val="Times New Roman"/>
        <family val="1"/>
      </rPr>
      <t>(927)</t>
    </r>
  </si>
  <si>
    <r>
      <t xml:space="preserve">Regulatory Commission </t>
    </r>
    <r>
      <rPr>
        <sz val="8"/>
        <color indexed="8"/>
        <rFont val="Times New Roman"/>
        <family val="1"/>
      </rPr>
      <t>(928)</t>
    </r>
  </si>
  <si>
    <r>
      <t>Miscellaneous General Expense</t>
    </r>
    <r>
      <rPr>
        <sz val="8"/>
        <color indexed="8"/>
        <rFont val="Times New Roman"/>
        <family val="1"/>
      </rPr>
      <t xml:space="preserve"> (930)</t>
    </r>
  </si>
  <si>
    <r>
      <t xml:space="preserve">Maintenance of General Plant </t>
    </r>
    <r>
      <rPr>
        <sz val="8"/>
        <color indexed="8"/>
        <rFont val="Times New Roman"/>
        <family val="1"/>
      </rPr>
      <t>(932)</t>
    </r>
  </si>
  <si>
    <r>
      <t xml:space="preserve">Maintenance of A/O Center </t>
    </r>
    <r>
      <rPr>
        <sz val="8"/>
        <color indexed="8"/>
        <rFont val="Times New Roman"/>
        <family val="1"/>
      </rPr>
      <t>(934)</t>
    </r>
  </si>
  <si>
    <r>
      <t>Vacation, Holiday, Sick Leave</t>
    </r>
    <r>
      <rPr>
        <sz val="8"/>
        <color indexed="8"/>
        <rFont val="Times New Roman"/>
        <family val="1"/>
      </rPr>
      <t xml:space="preserve"> (936)</t>
    </r>
  </si>
  <si>
    <t>Other operating expenses</t>
  </si>
  <si>
    <t>TOTALS</t>
  </si>
  <si>
    <t xml:space="preserve">Less FERC fees </t>
  </si>
  <si>
    <t>Schedule 10</t>
  </si>
  <si>
    <t>Schedule 11</t>
  </si>
  <si>
    <t>in Schedule 10</t>
  </si>
  <si>
    <t>Month expensed</t>
  </si>
  <si>
    <t>January</t>
  </si>
  <si>
    <t>February</t>
  </si>
  <si>
    <t>March</t>
  </si>
  <si>
    <t>April</t>
  </si>
  <si>
    <t>July</t>
  </si>
  <si>
    <t>August</t>
  </si>
  <si>
    <t>September</t>
  </si>
  <si>
    <t>October</t>
  </si>
  <si>
    <t>November</t>
  </si>
  <si>
    <t>December</t>
  </si>
  <si>
    <t>Attach O pg 3 line 1a</t>
  </si>
  <si>
    <t>Attachment O, page 3, line 4</t>
  </si>
  <si>
    <t>Account</t>
  </si>
  <si>
    <t>FERC fees recorded to expense during the year</t>
  </si>
  <si>
    <t>Charged</t>
  </si>
  <si>
    <t>FERC fees payable to FERC</t>
  </si>
  <si>
    <t>FERC fees paid to MISO via Schedule 10-FERC</t>
  </si>
  <si>
    <t>Other FERC fees paid</t>
  </si>
  <si>
    <t xml:space="preserve">Muscatine Power and Water is not a FERC regulated company </t>
  </si>
  <si>
    <t xml:space="preserve"> and therefore only recorded FERC Fees paid to MISO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</si>
  <si>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</si>
  <si>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</si>
  <si>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</si>
  <si>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</si>
  <si>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Rate case - docket XX</t>
  </si>
  <si>
    <t>recorded in UsofA account ________, relfected in I/S in ________ exp</t>
  </si>
  <si>
    <t>Fuel adjustment clause docket XX</t>
  </si>
  <si>
    <t>recorded in USofA account ________, relfected in I/S in _________ exp</t>
  </si>
  <si>
    <t>Non Safety Advertising (provide a brief but descriptive list of charges</t>
  </si>
  <si>
    <t>Xxxxxxxx</t>
  </si>
  <si>
    <t>recorded in USofA account ________, relfected in I/S in ________ exp</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</si>
  <si>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</si>
  <si>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Taxes Other Than Income Taxes</t>
  </si>
  <si>
    <t>Payroll</t>
  </si>
  <si>
    <t>Attachment O, page 3, line 13</t>
  </si>
  <si>
    <t>Highway &amp; Vehicle</t>
  </si>
  <si>
    <t>Attachment O, page 3, line 14</t>
  </si>
  <si>
    <r>
      <t xml:space="preserve">Property </t>
    </r>
    <r>
      <rPr>
        <sz val="11"/>
        <color rgb="FFFF0000"/>
        <rFont val="Calibri"/>
        <family val="2"/>
        <scheme val="minor"/>
      </rPr>
      <t>*</t>
    </r>
  </si>
  <si>
    <t>Attachment O, page 3, line 16</t>
  </si>
  <si>
    <t>Gross</t>
  </si>
  <si>
    <t>Attachment O, page 3, line 17</t>
  </si>
  <si>
    <t>Other - please explain</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</si>
  <si>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</si>
  <si>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</si>
  <si>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</si>
  <si>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</si>
  <si>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</si>
  <si>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</si>
  <si>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</si>
  <si>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FICA payroll taxes are included in "Other operating expenses" in the Statement of Revenues, Expenses, and Changes in Net Position.</t>
  </si>
  <si>
    <t>*Transmission property taxes are included in Transmission on Attach O, page 3, line 1, and are allocated based on the transmission</t>
  </si>
  <si>
    <t>expense allocation instead of included here where expenses are allocated based on the gross plant allocation.</t>
  </si>
  <si>
    <t xml:space="preserve">TRANSMISSION PLANT </t>
  </si>
  <si>
    <t>69 kV Lines</t>
  </si>
  <si>
    <t>Account 350</t>
  </si>
  <si>
    <t>Account 354</t>
  </si>
  <si>
    <t>Account 355</t>
  </si>
  <si>
    <t>Account 356</t>
  </si>
  <si>
    <t>Total Miles of 69 kV Lines</t>
  </si>
  <si>
    <t>Radial 69 kV Lines</t>
  </si>
  <si>
    <t>Per Paul Reising's 7-factor test</t>
  </si>
  <si>
    <t>Grandview Tap</t>
  </si>
  <si>
    <t>Line 94</t>
  </si>
  <si>
    <t>Line 96</t>
  </si>
  <si>
    <t>Total Miles Radial Lines</t>
  </si>
  <si>
    <t>Ratio Radial Mile to Total Miles</t>
  </si>
  <si>
    <t>Allocation of Total 69 kV Line Plant in Service to Radial Lines</t>
  </si>
  <si>
    <t>Used on Page 4 line 2</t>
  </si>
  <si>
    <t>Attachment O, page 4, line 12 - 15</t>
  </si>
  <si>
    <t>Report on Attachment O, page 4, line 12</t>
  </si>
  <si>
    <t>Transmisssion</t>
  </si>
  <si>
    <t>Report on Attachment O, page 4, line 13</t>
  </si>
  <si>
    <t>Report on Attachment O, page 4, line 14</t>
  </si>
  <si>
    <t>Other _1/</t>
  </si>
  <si>
    <t>Report on Attachment O, page 4, line 15</t>
  </si>
  <si>
    <r>
      <t xml:space="preserve">Does this tie to a line item on the audited f/s?  </t>
    </r>
    <r>
      <rPr>
        <sz val="11"/>
        <color rgb="FFFF0000"/>
        <rFont val="Calibri"/>
        <family val="2"/>
        <scheme val="minor"/>
      </rPr>
      <t>No; labor expense is not separated from other operation and maintenance account expenses.</t>
    </r>
  </si>
  <si>
    <t xml:space="preserve">If not, please provide an explantion and a  work paper </t>
  </si>
  <si>
    <r>
      <t xml:space="preserve">reconciling to the audited financial statements  </t>
    </r>
    <r>
      <rPr>
        <sz val="11"/>
        <color rgb="FFFF0000"/>
        <rFont val="Calibri"/>
        <family val="2"/>
        <scheme val="minor"/>
      </rPr>
      <t>See below</t>
    </r>
  </si>
  <si>
    <r>
      <t xml:space="preserve">Confirm that the above does not contain any capitalized wages.  </t>
    </r>
    <r>
      <rPr>
        <sz val="11"/>
        <color rgb="FFFF0000"/>
        <rFont val="Calibri"/>
        <family val="2"/>
        <scheme val="minor"/>
      </rPr>
      <t>Confirmed</t>
    </r>
  </si>
  <si>
    <r>
      <t xml:space="preserve">Confirm that the above does not contain any any A&amp;G related wages.  </t>
    </r>
    <r>
      <rPr>
        <sz val="11"/>
        <color rgb="FFFF0000"/>
        <rFont val="Calibri"/>
        <family val="2"/>
        <scheme val="minor"/>
      </rPr>
      <t>Confirmed (see below)</t>
    </r>
  </si>
  <si>
    <t>_1/  Other is to include salaries charged to administer customer accounts 901 - 916 as defined by the</t>
  </si>
  <si>
    <t>USofA</t>
  </si>
  <si>
    <t>Inquiry 1-023-000-000-01-0, all below FERC of 023</t>
  </si>
  <si>
    <t>FERC</t>
  </si>
  <si>
    <t xml:space="preserve">Desc      </t>
  </si>
  <si>
    <t xml:space="preserve">   </t>
  </si>
  <si>
    <t xml:space="preserve">          </t>
  </si>
  <si>
    <t>OPER SUPRV</t>
  </si>
  <si>
    <t xml:space="preserve">FUEL      </t>
  </si>
  <si>
    <t xml:space="preserve">STEAM EXP </t>
  </si>
  <si>
    <t xml:space="preserve">ELEC EXP  </t>
  </si>
  <si>
    <t>MISC STEAM</t>
  </si>
  <si>
    <t>MAINT SUPV</t>
  </si>
  <si>
    <t>MAIN STRUC</t>
  </si>
  <si>
    <t>MAINT BOIL</t>
  </si>
  <si>
    <t xml:space="preserve">MAINT PLT </t>
  </si>
  <si>
    <t>MAIN M.S.P</t>
  </si>
  <si>
    <t>MAIN C.H.E</t>
  </si>
  <si>
    <t>SYS CONTRL</t>
  </si>
  <si>
    <t>HOL,VAC-GT</t>
  </si>
  <si>
    <t xml:space="preserve">OPER-SUPV </t>
  </si>
  <si>
    <t>L DISP-TRN</t>
  </si>
  <si>
    <t>STA EXP-TR</t>
  </si>
  <si>
    <t>LINE EXP-T</t>
  </si>
  <si>
    <t>MISC TRANS</t>
  </si>
  <si>
    <t xml:space="preserve">MAIN SUPV </t>
  </si>
  <si>
    <t>STA EQ-TRN</t>
  </si>
  <si>
    <t>M LINES-TR</t>
  </si>
  <si>
    <t>HOL,VAC-TR</t>
  </si>
  <si>
    <t xml:space="preserve">OPER SUPV </t>
  </si>
  <si>
    <t>L DISP-DIS</t>
  </si>
  <si>
    <t>STA EXP-DS</t>
  </si>
  <si>
    <t>O LINE EXP</t>
  </si>
  <si>
    <t>U LINE EXP</t>
  </si>
  <si>
    <t xml:space="preserve">ST LT&amp;SIG </t>
  </si>
  <si>
    <t xml:space="preserve">METER EXP </t>
  </si>
  <si>
    <t>CUST INSTL</t>
  </si>
  <si>
    <t>MISC DISTR</t>
  </si>
  <si>
    <t>VEHICLE EX</t>
  </si>
  <si>
    <t>MAINT SUPR</t>
  </si>
  <si>
    <t>STA EQ-DIS</t>
  </si>
  <si>
    <t>MNT-OH LNS</t>
  </si>
  <si>
    <t>MNT U LINE</t>
  </si>
  <si>
    <t>MAIN TRANS</t>
  </si>
  <si>
    <t>M ST LT&amp;SG</t>
  </si>
  <si>
    <t xml:space="preserve">METER MNT </t>
  </si>
  <si>
    <t>MNT MISC-D</t>
  </si>
  <si>
    <t>HOL,VAC-DS</t>
  </si>
  <si>
    <t xml:space="preserve">SUPV      </t>
  </si>
  <si>
    <t>METER READ</t>
  </si>
  <si>
    <t xml:space="preserve">CUST REC  </t>
  </si>
  <si>
    <t>HOL,SK,VAC</t>
  </si>
  <si>
    <t>ELEC RANGE</t>
  </si>
  <si>
    <t>ELEC-WTRHE</t>
  </si>
  <si>
    <t xml:space="preserve">ADMIN&amp;GEN </t>
  </si>
  <si>
    <t xml:space="preserve">OFF SUPP  </t>
  </si>
  <si>
    <t>INJ &amp; DAMG</t>
  </si>
  <si>
    <t xml:space="preserve">MISC GEN  </t>
  </si>
  <si>
    <t xml:space="preserve">MAINT GEN </t>
  </si>
  <si>
    <t xml:space="preserve">MAINT-A/O </t>
  </si>
  <si>
    <t>2016 WAGES - Included in "Operating Expenses" on the Statement of Revenues, Expenses, and Changes in Net Assets</t>
  </si>
  <si>
    <t>Jan - Dec 2016</t>
  </si>
  <si>
    <t>Debt Detail - Electric only</t>
  </si>
  <si>
    <t>Principal Balance</t>
  </si>
  <si>
    <t>Interest</t>
  </si>
  <si>
    <t>at 12/31/</t>
  </si>
  <si>
    <t>Debt 1 - Description</t>
  </si>
  <si>
    <t>Principal &amp; Interest Grand Total</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</si>
  <si>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</si>
  <si>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</si>
  <si>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</si>
  <si>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</si>
  <si>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</si>
  <si>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</si>
  <si>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</si>
  <si>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</si>
  <si>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</si>
  <si>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</si>
  <si>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</si>
  <si>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</si>
  <si>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</si>
  <si>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 xml:space="preserve">
</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</si>
  <si>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</si>
  <si>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</si>
  <si>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</si>
  <si>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</si>
  <si>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</si>
  <si>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</si>
  <si>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</si>
  <si>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</si>
  <si>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</si>
  <si>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</si>
  <si>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 MAPPCOR</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</si>
  <si>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</si>
  <si>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</si>
  <si>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</si>
  <si>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</si>
  <si>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</si>
  <si>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</si>
  <si>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</si>
  <si>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</si>
  <si>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</si>
  <si>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MPW</t>
  </si>
  <si>
    <t>MPWM</t>
  </si>
  <si>
    <t xml:space="preserve">Schedule 26A </t>
  </si>
  <si>
    <t>Non TO Trust</t>
  </si>
  <si>
    <t>TO Trust</t>
  </si>
  <si>
    <t>Customer-Non TO Trust</t>
  </si>
  <si>
    <t>TOTAL</t>
  </si>
  <si>
    <t>MISO Transmission Revenue Monthly Detail - 2016</t>
  </si>
  <si>
    <t>Attach O, page 3, line 3 and EAI 412, Sch 7, line 13 less payroll FICA taxes of $1,226,510</t>
  </si>
  <si>
    <t>MISO expenses in account 561T04 and labor expense in 561T08.</t>
  </si>
  <si>
    <t>THIS AMOUNT INCREASED BY MORE THAN 20%; IT IS EQUAL TO THE NET BILLING FOR MISO'S MV PROJECTS.</t>
  </si>
  <si>
    <t>* A&amp;G depreciation was capped at net assets; and is subsequently less than 20% of 2015's depreciation expense.</t>
  </si>
  <si>
    <t xml:space="preserve">Accumulated </t>
  </si>
  <si>
    <t>Asset</t>
  </si>
  <si>
    <t>*MPWM credits</t>
  </si>
  <si>
    <t>Pension expense increased by $799,410 over 2015</t>
  </si>
  <si>
    <t>2016 expense includes $95,830 for a study.</t>
  </si>
  <si>
    <t>Calendar Year-to-Date - December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</si>
</sst>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General_)"/>
    <numFmt numFmtId="174" formatCode="_(* #,##0_);_(* \(#,##0\);_(* &quot;-&quot;??_);_(@_)"/>
    <numFmt numFmtId="175" formatCode="_(&quot;$&quot;* #,##0_);_(&quot;$&quot;* \(#,##0\);_(&quot;$&quot;* &quot;-&quot;??_);_(@_)"/>
    <numFmt numFmtId="176" formatCode="_(* #,##0_);_(* \(#,##0\);_(* &quot;---&quot;_);_(@_)"/>
  </numFmts>
  <fonts count="6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1"/>
      <color rgb="FFFF0000"/>
      <name val="Calibri"/>
      <family val="2"/>
      <scheme val="minor"/>
    </font>
    <font>
      <b/>
      <sz val="11"/>
      <color theme="1"/>
      <name val="Calibri"/>
      <family val="2"/>
      <scheme val="minor"/>
    </font>
    <font>
      <sz val="12"/>
      <name val="Helv"/>
    </font>
    <font>
      <b/>
      <sz val="12"/>
      <color theme="4" tint="-0.249977111117893"/>
      <name val="Helv"/>
    </font>
    <font>
      <b/>
      <sz val="12"/>
      <name val="Helv"/>
    </font>
    <font>
      <b/>
      <sz val="18"/>
      <color theme="1"/>
      <name val="Times New Roman"/>
      <family val="1"/>
    </font>
    <font>
      <sz val="12"/>
      <color rgb="FFFF0000"/>
      <name val="Arial MT"/>
    </font>
    <font>
      <b/>
      <u/>
      <sz val="11"/>
      <color theme="1"/>
      <name val="Calibri"/>
      <family val="2"/>
      <scheme val="minor"/>
    </font>
    <font>
      <sz val="10"/>
      <name val="Arial"/>
      <family val="2"/>
    </font>
    <font>
      <b/>
      <sz val="10"/>
      <name val="Arial"/>
      <family val="2"/>
    </font>
    <font>
      <b/>
      <sz val="12"/>
      <name val="Helvetica"/>
      <family val="2"/>
    </font>
    <font>
      <u/>
      <sz val="10"/>
      <name val="Arial"/>
      <family val="2"/>
    </font>
    <font>
      <sz val="10"/>
      <name val="Arial MT"/>
    </font>
    <font>
      <u val="double"/>
      <sz val="10"/>
      <name val="Arial"/>
      <family val="2"/>
    </font>
    <font>
      <u val="double"/>
      <sz val="12"/>
      <name val="Arial MT"/>
    </font>
    <font>
      <b/>
      <sz val="14"/>
      <color theme="1"/>
      <name val="Times New Roman"/>
      <family val="1"/>
    </font>
    <font>
      <u val="singleAccounting"/>
      <sz val="11"/>
      <color theme="1"/>
      <name val="Calibri"/>
      <family val="2"/>
      <scheme val="minor"/>
    </font>
    <font>
      <sz val="11"/>
      <name val="Arial MT"/>
    </font>
    <font>
      <u val="doubleAccounting"/>
      <sz val="12"/>
      <name val="Arial MT"/>
    </font>
    <font>
      <u/>
      <sz val="12"/>
      <name val="Arial MT"/>
    </font>
    <font>
      <b/>
      <u/>
      <sz val="12"/>
      <color theme="1"/>
      <name val="Times New Roman"/>
      <family val="1"/>
    </font>
    <font>
      <sz val="12"/>
      <color theme="1"/>
      <name val="Times New Roman"/>
      <family val="1"/>
    </font>
    <font>
      <u/>
      <sz val="11"/>
      <color theme="1"/>
      <name val="Calibri"/>
      <family val="2"/>
      <scheme val="minor"/>
    </font>
    <font>
      <b/>
      <sz val="12"/>
      <color theme="1"/>
      <name val="Times New Roman"/>
      <family val="1"/>
    </font>
    <font>
      <b/>
      <sz val="14"/>
      <color theme="1"/>
      <name val="Calibri"/>
      <family val="2"/>
      <scheme val="minor"/>
    </font>
    <font>
      <b/>
      <sz val="10"/>
      <color indexed="8"/>
      <name val="Times New Roman"/>
      <family val="1"/>
    </font>
    <font>
      <sz val="10"/>
      <color indexed="8"/>
      <name val="Times New Roman"/>
      <family val="1"/>
    </font>
    <font>
      <sz val="10"/>
      <color indexed="8"/>
      <name val="Arial"/>
      <family val="2"/>
    </font>
    <font>
      <b/>
      <u/>
      <sz val="10"/>
      <color indexed="8"/>
      <name val="Times New Roman"/>
      <family val="1"/>
    </font>
    <font>
      <sz val="8"/>
      <color indexed="8"/>
      <name val="Times New Roman"/>
      <family val="1"/>
    </font>
    <font>
      <sz val="10"/>
      <color indexed="8"/>
      <name val="Courier"/>
      <family val="3"/>
    </font>
    <font>
      <sz val="9"/>
      <color indexed="8"/>
      <name val="Times New Roman"/>
      <family val="1"/>
    </font>
    <font>
      <u/>
      <sz val="10"/>
      <color indexed="8"/>
      <name val="Times New Roman"/>
      <family val="1"/>
    </font>
    <font>
      <u val="double"/>
      <sz val="10"/>
      <color indexed="8"/>
      <name val="Times New Roman"/>
      <family val="1"/>
    </font>
    <font>
      <b/>
      <sz val="12"/>
      <name val="Arial MT"/>
    </font>
    <font>
      <b/>
      <sz val="16"/>
      <color theme="1"/>
      <name val="Times New Roman"/>
      <family val="1"/>
    </font>
    <font>
      <b/>
      <sz val="16"/>
      <color theme="1"/>
      <name val="Calibri"/>
      <family val="2"/>
      <scheme val="minor"/>
    </font>
    <font>
      <b/>
      <sz val="11"/>
      <name val="Arial"/>
      <family val="2"/>
    </font>
    <font>
      <sz val="10"/>
      <color theme="1"/>
      <name val="Arial"/>
      <family val="2"/>
    </font>
    <font>
      <b/>
      <sz val="12"/>
      <color indexed="8"/>
      <name val="Calibri"/>
      <family val="2"/>
    </font>
    <font>
      <sz val="10"/>
      <color rgb="FFFF0000"/>
      <name val="Arial"/>
      <family val="2"/>
    </font>
    <font>
      <b/>
      <sz val="12"/>
      <name val="Arial"/>
      <family val="2"/>
    </font>
    <font>
      <sz val="9"/>
      <name val="Arial"/>
      <family val="2"/>
    </font>
    <font>
      <sz val="10"/>
      <color indexed="12"/>
      <name val="Arial"/>
      <family val="2"/>
    </font>
    <font>
      <u val="singleAccounting"/>
      <sz val="10"/>
      <color indexed="12"/>
      <name val="Arial"/>
      <family val="2"/>
    </font>
    <font>
      <u val="singleAccounting"/>
      <sz val="10"/>
      <name val="Arial"/>
      <family val="2"/>
    </font>
    <font>
      <sz val="14"/>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13"/>
        <bgColor indexed="64"/>
      </patternFill>
    </fill>
  </fills>
  <borders count="1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5">
    <xf numFmtId="172" fontId="0" fillId="0" borderId="0" applyProtection="0"/>
    <xf numFmtId="9"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173" fontId="19" fillId="0" borderId="0"/>
    <xf numFmtId="0" fontId="25" fillId="0" borderId="0"/>
    <xf numFmtId="0" fontId="25" fillId="0" borderId="0"/>
    <xf numFmtId="3" fontId="16" fillId="0" borderId="0"/>
    <xf numFmtId="0" fontId="2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55" fillId="0" borderId="0"/>
    <xf numFmtId="43" fontId="44" fillId="0" borderId="0" applyFont="0" applyFill="0" applyBorder="0" applyAlignment="0" applyProtection="0"/>
    <xf numFmtId="9" fontId="4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5" fillId="0" borderId="0"/>
    <xf numFmtId="44" fontId="25" fillId="0" borderId="0" applyFont="0" applyFill="0" applyBorder="0" applyAlignment="0" applyProtection="0"/>
    <xf numFmtId="0" fontId="25" fillId="0" borderId="0"/>
    <xf numFmtId="43" fontId="25" fillId="0" borderId="0" applyFont="0" applyFill="0" applyBorder="0" applyAlignment="0" applyProtection="0"/>
  </cellStyleXfs>
  <cellXfs count="397">
    <xf numFmtId="172" fontId="0" fillId="0" borderId="0" xfId="0" applyAlignment="1"/>
    <xf numFmtId="172" fontId="6" fillId="0" borderId="0" xfId="0" applyFont="1" applyFill="1" applyAlignment="1" applyProtection="1"/>
    <xf numFmtId="170" fontId="6" fillId="0" borderId="0" xfId="0" applyNumberFormat="1" applyFont="1" applyFill="1" applyBorder="1" applyProtection="1"/>
    <xf numFmtId="170" fontId="6" fillId="2" borderId="0" xfId="0" applyNumberFormat="1" applyFont="1" applyFill="1" applyBorder="1" applyProtection="1"/>
    <xf numFmtId="170" fontId="6" fillId="0" borderId="0" xfId="0" applyNumberFormat="1" applyFont="1" applyFill="1" applyBorder="1" applyAlignment="1" applyProtection="1"/>
    <xf numFmtId="3" fontId="6" fillId="0" borderId="0" xfId="0" applyNumberFormat="1" applyFont="1" applyFill="1" applyAlignment="1" applyProtection="1"/>
    <xf numFmtId="172" fontId="6" fillId="0" borderId="0" xfId="0" applyFont="1" applyAlignment="1" applyProtection="1"/>
    <xf numFmtId="172" fontId="6" fillId="0" borderId="0" xfId="0" applyFont="1" applyAlignment="1" applyProtection="1">
      <alignment horizontal="right"/>
    </xf>
    <xf numFmtId="172" fontId="14" fillId="0" borderId="0" xfId="0" applyFont="1" applyBorder="1" applyAlignment="1" applyProtection="1">
      <alignment wrapText="1"/>
    </xf>
    <xf numFmtId="0" fontId="6" fillId="0" borderId="0" xfId="0" applyNumberFormat="1" applyFont="1" applyAlignment="1" applyProtection="1"/>
    <xf numFmtId="0" fontId="6" fillId="0" borderId="0" xfId="0" applyNumberFormat="1" applyFont="1" applyAlignment="1" applyProtection="1">
      <alignment horizontal="left"/>
    </xf>
    <xf numFmtId="0" fontId="6" fillId="0" borderId="0" xfId="0" applyNumberFormat="1" applyFont="1" applyProtection="1"/>
    <xf numFmtId="0" fontId="6" fillId="0" borderId="0" xfId="0" applyNumberFormat="1" applyFont="1" applyAlignment="1" applyProtection="1">
      <alignment horizontal="right"/>
    </xf>
    <xf numFmtId="0" fontId="6" fillId="0" borderId="0" xfId="0" applyNumberFormat="1" applyFont="1" applyAlignment="1" applyProtection="1">
      <alignment horizontal="center"/>
    </xf>
    <xf numFmtId="0" fontId="6" fillId="2" borderId="0" xfId="0" applyNumberFormat="1" applyFont="1" applyFill="1" applyProtection="1"/>
    <xf numFmtId="172" fontId="6" fillId="2" borderId="0" xfId="0" applyFont="1" applyFill="1" applyAlignment="1" applyProtection="1"/>
    <xf numFmtId="0" fontId="6" fillId="2" borderId="0" xfId="0" applyNumberFormat="1" applyFont="1" applyFill="1" applyAlignment="1" applyProtection="1">
      <alignment horizontal="right"/>
    </xf>
    <xf numFmtId="3" fontId="6" fillId="0" borderId="0" xfId="0" applyNumberFormat="1" applyFont="1" applyAlignment="1" applyProtection="1"/>
    <xf numFmtId="0" fontId="6" fillId="0" borderId="0" xfId="0" applyNumberFormat="1" applyFont="1" applyBorder="1" applyProtection="1"/>
    <xf numFmtId="172" fontId="6" fillId="0" borderId="0" xfId="0" applyFont="1" applyBorder="1" applyAlignment="1" applyProtection="1"/>
    <xf numFmtId="172" fontId="15" fillId="0" borderId="0" xfId="0" applyFont="1" applyBorder="1" applyAlignment="1" applyProtection="1">
      <alignment wrapText="1"/>
    </xf>
    <xf numFmtId="49" fontId="6" fillId="2" borderId="0" xfId="0" applyNumberFormat="1" applyFont="1" applyFill="1" applyProtection="1"/>
    <xf numFmtId="49" fontId="6" fillId="0" borderId="0" xfId="0" applyNumberFormat="1" applyFont="1" applyProtection="1"/>
    <xf numFmtId="0" fontId="6" fillId="0" borderId="1" xfId="0" applyNumberFormat="1" applyFont="1" applyBorder="1" applyAlignment="1" applyProtection="1">
      <alignment horizontal="center"/>
    </xf>
    <xf numFmtId="3" fontId="6" fillId="0" borderId="0" xfId="0" applyNumberFormat="1" applyFont="1" applyProtection="1"/>
    <xf numFmtId="42" fontId="6" fillId="0" borderId="0" xfId="0" applyNumberFormat="1" applyFont="1" applyProtection="1"/>
    <xf numFmtId="0" fontId="6" fillId="0" borderId="1" xfId="0" applyNumberFormat="1" applyFont="1" applyBorder="1" applyAlignment="1" applyProtection="1">
      <alignment horizontal="centerContinuous"/>
    </xf>
    <xf numFmtId="166" fontId="6" fillId="0" borderId="0" xfId="0" applyNumberFormat="1" applyFont="1" applyAlignment="1" applyProtection="1"/>
    <xf numFmtId="3" fontId="6" fillId="2" borderId="0" xfId="0" applyNumberFormat="1" applyFont="1" applyFill="1" applyProtection="1"/>
    <xf numFmtId="0" fontId="8" fillId="0" borderId="0" xfId="0" applyNumberFormat="1" applyFont="1" applyProtection="1"/>
    <xf numFmtId="3" fontId="6" fillId="0" borderId="1" xfId="0" applyNumberFormat="1" applyFont="1" applyBorder="1" applyAlignment="1" applyProtection="1"/>
    <xf numFmtId="3" fontId="6" fillId="0" borderId="0" xfId="0" applyNumberFormat="1" applyFont="1" applyAlignment="1" applyProtection="1">
      <alignment horizontal="fill"/>
    </xf>
    <xf numFmtId="3" fontId="6" fillId="3" borderId="0" xfId="0" applyNumberFormat="1" applyFont="1" applyFill="1" applyAlignment="1" applyProtection="1"/>
    <xf numFmtId="3" fontId="6" fillId="0" borderId="3" xfId="0" applyNumberFormat="1" applyFont="1" applyBorder="1" applyAlignment="1" applyProtection="1"/>
    <xf numFmtId="42" fontId="6" fillId="0" borderId="2" xfId="0" applyNumberFormat="1" applyFont="1" applyBorder="1" applyAlignment="1" applyProtection="1">
      <alignment horizontal="right"/>
    </xf>
    <xf numFmtId="172" fontId="8" fillId="0" borderId="0" xfId="0" applyFont="1" applyAlignment="1" applyProtection="1"/>
    <xf numFmtId="3" fontId="6" fillId="0" borderId="0" xfId="0" applyNumberFormat="1" applyFont="1" applyFill="1" applyBorder="1" applyProtection="1"/>
    <xf numFmtId="3" fontId="6" fillId="2" borderId="0" xfId="0" applyNumberFormat="1" applyFont="1" applyFill="1" applyBorder="1" applyProtection="1"/>
    <xf numFmtId="3" fontId="6" fillId="2" borderId="1" xfId="0" applyNumberFormat="1" applyFont="1" applyFill="1" applyBorder="1" applyProtection="1"/>
    <xf numFmtId="168" fontId="6" fillId="0" borderId="0" xfId="0" applyNumberFormat="1" applyFont="1" applyProtection="1"/>
    <xf numFmtId="168" fontId="6" fillId="0" borderId="0" xfId="0" applyNumberFormat="1" applyFont="1" applyAlignment="1" applyProtection="1">
      <alignment horizontal="center"/>
    </xf>
    <xf numFmtId="172" fontId="6" fillId="0" borderId="0" xfId="0" applyFont="1" applyAlignment="1" applyProtection="1">
      <alignment horizontal="center"/>
    </xf>
    <xf numFmtId="171" fontId="6" fillId="0" borderId="0" xfId="0" applyNumberFormat="1" applyFont="1" applyAlignment="1" applyProtection="1"/>
    <xf numFmtId="171" fontId="6" fillId="2" borderId="0" xfId="0" applyNumberFormat="1" applyFont="1" applyFill="1" applyProtection="1"/>
    <xf numFmtId="171" fontId="6" fillId="0" borderId="0" xfId="0" applyNumberFormat="1" applyFont="1" applyProtection="1"/>
    <xf numFmtId="49" fontId="6" fillId="0" borderId="0" xfId="0" applyNumberFormat="1" applyFont="1" applyAlignment="1" applyProtection="1">
      <alignment horizontal="left"/>
    </xf>
    <xf numFmtId="49" fontId="6" fillId="0" borderId="0" xfId="0" applyNumberFormat="1" applyFont="1" applyAlignment="1" applyProtection="1">
      <alignment horizontal="center"/>
    </xf>
    <xf numFmtId="3" fontId="9" fillId="0" borderId="0" xfId="0" applyNumberFormat="1" applyFont="1" applyAlignment="1" applyProtection="1">
      <alignment horizontal="center"/>
    </xf>
    <xf numFmtId="0" fontId="9" fillId="0" borderId="0" xfId="0" applyNumberFormat="1" applyFont="1" applyAlignment="1" applyProtection="1">
      <alignment horizontal="center"/>
    </xf>
    <xf numFmtId="0" fontId="9" fillId="0" borderId="0" xfId="0" applyNumberFormat="1" applyFont="1" applyAlignment="1" applyProtection="1"/>
    <xf numFmtId="172" fontId="9" fillId="0" borderId="0" xfId="0" applyFont="1" applyAlignment="1" applyProtection="1">
      <alignment horizontal="center"/>
    </xf>
    <xf numFmtId="3" fontId="9" fillId="0" borderId="0" xfId="0" applyNumberFormat="1" applyFont="1" applyAlignment="1" applyProtection="1"/>
    <xf numFmtId="3" fontId="6" fillId="2" borderId="0" xfId="0" applyNumberFormat="1" applyFont="1" applyFill="1" applyBorder="1" applyAlignment="1" applyProtection="1"/>
    <xf numFmtId="165" fontId="6" fillId="0" borderId="0" xfId="0" applyNumberFormat="1" applyFont="1" applyAlignment="1" applyProtection="1"/>
    <xf numFmtId="3" fontId="6" fillId="2" borderId="1" xfId="0" applyNumberFormat="1" applyFont="1" applyFill="1" applyBorder="1" applyAlignment="1" applyProtection="1"/>
    <xf numFmtId="164" fontId="6" fillId="0" borderId="0" xfId="0" applyNumberFormat="1" applyFont="1" applyAlignment="1" applyProtection="1">
      <alignment horizontal="center"/>
    </xf>
    <xf numFmtId="3" fontId="6" fillId="2" borderId="0" xfId="0" applyNumberFormat="1" applyFont="1" applyFill="1" applyAlignment="1" applyProtection="1"/>
    <xf numFmtId="0" fontId="6" fillId="0" borderId="0" xfId="0" applyNumberFormat="1" applyFont="1" applyAlignment="1" applyProtection="1">
      <alignment horizontal="fill"/>
    </xf>
    <xf numFmtId="165" fontId="6" fillId="0" borderId="0" xfId="0" applyNumberFormat="1" applyFont="1" applyAlignment="1" applyProtection="1">
      <alignment horizontal="right"/>
    </xf>
    <xf numFmtId="3" fontId="6" fillId="0" borderId="0" xfId="0" applyNumberFormat="1" applyFont="1" applyAlignment="1" applyProtection="1">
      <alignment horizontal="center"/>
    </xf>
    <xf numFmtId="172" fontId="6" fillId="0" borderId="1" xfId="0" applyFont="1" applyBorder="1" applyAlignment="1" applyProtection="1"/>
    <xf numFmtId="3" fontId="6" fillId="0" borderId="2" xfId="0" applyNumberFormat="1" applyFont="1" applyBorder="1" applyAlignment="1" applyProtection="1"/>
    <xf numFmtId="3" fontId="6" fillId="0" borderId="0" xfId="0" applyNumberFormat="1" applyFont="1" applyAlignment="1" applyProtection="1">
      <alignment horizontal="right"/>
    </xf>
    <xf numFmtId="0" fontId="6" fillId="0" borderId="0" xfId="0" applyNumberFormat="1" applyFont="1" applyFill="1" applyAlignment="1" applyProtection="1">
      <alignment horizontal="center"/>
    </xf>
    <xf numFmtId="0" fontId="6" fillId="0" borderId="0" xfId="0" applyNumberFormat="1" applyFont="1" applyFill="1" applyAlignment="1" applyProtection="1"/>
    <xf numFmtId="3" fontId="13" fillId="0" borderId="0" xfId="0" applyNumberFormat="1" applyFont="1" applyAlignment="1" applyProtection="1"/>
    <xf numFmtId="0" fontId="6" fillId="0" borderId="0" xfId="0" applyNumberFormat="1" applyFont="1" applyFill="1" applyAlignment="1" applyProtection="1">
      <alignment horizontal="fill"/>
    </xf>
    <xf numFmtId="3" fontId="6" fillId="0" borderId="0" xfId="0" applyNumberFormat="1" applyFont="1" applyAlignment="1" applyProtection="1">
      <alignment horizontal="left"/>
    </xf>
    <xf numFmtId="166" fontId="6" fillId="0" borderId="0" xfId="0" applyNumberFormat="1" applyFont="1" applyAlignment="1" applyProtection="1">
      <alignment horizontal="right"/>
    </xf>
    <xf numFmtId="10" fontId="6" fillId="0" borderId="0" xfId="0" applyNumberFormat="1" applyFont="1" applyAlignment="1" applyProtection="1">
      <alignment horizontal="left"/>
    </xf>
    <xf numFmtId="166" fontId="6" fillId="0" borderId="0" xfId="0" applyNumberFormat="1" applyFont="1" applyAlignment="1" applyProtection="1">
      <alignment horizontal="center"/>
    </xf>
    <xf numFmtId="164" fontId="6" fillId="0" borderId="0" xfId="0" applyNumberFormat="1" applyFont="1" applyAlignment="1" applyProtection="1">
      <alignment horizontal="left"/>
    </xf>
    <xf numFmtId="10" fontId="6" fillId="0" borderId="0" xfId="0" applyNumberFormat="1" applyFont="1" applyFill="1" applyAlignment="1" applyProtection="1">
      <alignment horizontal="right"/>
    </xf>
    <xf numFmtId="169" fontId="6" fillId="0" borderId="0" xfId="0" applyNumberFormat="1" applyFont="1" applyFill="1" applyAlignment="1" applyProtection="1">
      <alignment horizontal="right"/>
    </xf>
    <xf numFmtId="3" fontId="6" fillId="0" borderId="0" xfId="0" applyNumberFormat="1" applyFont="1" applyFill="1" applyAlignment="1" applyProtection="1">
      <alignment horizontal="right"/>
    </xf>
    <xf numFmtId="167" fontId="6" fillId="0" borderId="0" xfId="0" applyNumberFormat="1" applyFont="1" applyAlignment="1" applyProtection="1"/>
    <xf numFmtId="3" fontId="6" fillId="0" borderId="0" xfId="0" applyNumberFormat="1" applyFont="1" applyBorder="1" applyAlignment="1" applyProtection="1"/>
    <xf numFmtId="0" fontId="6" fillId="2" borderId="0" xfId="0" applyNumberFormat="1" applyFont="1" applyFill="1" applyBorder="1" applyAlignment="1" applyProtection="1"/>
    <xf numFmtId="0" fontId="6" fillId="2" borderId="1" xfId="0" applyNumberFormat="1" applyFont="1" applyFill="1" applyBorder="1" applyAlignment="1" applyProtection="1"/>
    <xf numFmtId="3" fontId="6" fillId="0" borderId="2" xfId="0" applyNumberFormat="1" applyFont="1" applyFill="1" applyBorder="1" applyAlignment="1" applyProtection="1"/>
    <xf numFmtId="0" fontId="6" fillId="0" borderId="0" xfId="0" applyNumberFormat="1" applyFont="1" applyFill="1" applyProtection="1"/>
    <xf numFmtId="0" fontId="7" fillId="0" borderId="0" xfId="0" applyNumberFormat="1" applyFont="1" applyAlignment="1" applyProtection="1">
      <alignment horizontal="center"/>
    </xf>
    <xf numFmtId="172" fontId="7" fillId="0" borderId="0" xfId="0" applyFont="1" applyAlignment="1" applyProtection="1"/>
    <xf numFmtId="3" fontId="7" fillId="0" borderId="0" xfId="0" applyNumberFormat="1" applyFont="1" applyAlignment="1" applyProtection="1"/>
    <xf numFmtId="0" fontId="7" fillId="0" borderId="0" xfId="0" applyNumberFormat="1" applyFont="1" applyProtection="1"/>
    <xf numFmtId="0" fontId="10" fillId="0" borderId="0" xfId="0" applyNumberFormat="1" applyFont="1" applyProtection="1"/>
    <xf numFmtId="0" fontId="6" fillId="0" borderId="1" xfId="0" applyNumberFormat="1" applyFont="1" applyBorder="1" applyProtection="1"/>
    <xf numFmtId="49" fontId="6" fillId="0" borderId="0" xfId="0" applyNumberFormat="1" applyFont="1" applyAlignment="1" applyProtection="1"/>
    <xf numFmtId="172" fontId="6" fillId="0" borderId="0" xfId="0" applyFont="1" applyFill="1" applyBorder="1" applyAlignment="1" applyProtection="1"/>
    <xf numFmtId="172" fontId="12" fillId="0" borderId="0" xfId="0" applyFont="1" applyFill="1" applyBorder="1" applyAlignment="1" applyProtection="1"/>
    <xf numFmtId="3" fontId="8" fillId="0" borderId="0" xfId="0" applyNumberFormat="1" applyFont="1" applyFill="1" applyBorder="1" applyAlignment="1" applyProtection="1"/>
    <xf numFmtId="0" fontId="6" fillId="0" borderId="0" xfId="0" applyNumberFormat="1" applyFont="1" applyFill="1" applyBorder="1" applyProtection="1"/>
    <xf numFmtId="3" fontId="6" fillId="0" borderId="0" xfId="0" applyNumberFormat="1" applyFont="1" applyFill="1" applyBorder="1" applyAlignment="1" applyProtection="1"/>
    <xf numFmtId="0" fontId="6" fillId="0" borderId="0" xfId="0" applyNumberFormat="1" applyFont="1" applyFill="1" applyBorder="1" applyAlignment="1" applyProtection="1"/>
    <xf numFmtId="172" fontId="8" fillId="0" borderId="0" xfId="0" applyFont="1" applyFill="1" applyBorder="1" applyAlignment="1" applyProtection="1"/>
    <xf numFmtId="0" fontId="6" fillId="0" borderId="0" xfId="0" applyNumberFormat="1" applyFont="1" applyFill="1" applyBorder="1" applyAlignment="1" applyProtection="1">
      <alignment horizontal="center"/>
    </xf>
    <xf numFmtId="172" fontId="11" fillId="0" borderId="0" xfId="0" applyFont="1" applyFill="1" applyBorder="1" applyProtection="1"/>
    <xf numFmtId="165" fontId="6" fillId="0" borderId="0" xfId="0" applyNumberFormat="1" applyFont="1" applyProtection="1"/>
    <xf numFmtId="172" fontId="8" fillId="0" borderId="0" xfId="0" applyFont="1" applyFill="1" applyBorder="1" applyProtection="1"/>
    <xf numFmtId="166" fontId="6" fillId="0" borderId="0" xfId="0" applyNumberFormat="1" applyFont="1" applyProtection="1"/>
    <xf numFmtId="3" fontId="6" fillId="0" borderId="1" xfId="0" applyNumberFormat="1" applyFont="1" applyBorder="1" applyAlignment="1" applyProtection="1">
      <alignment horizontal="center"/>
    </xf>
    <xf numFmtId="4" fontId="6" fillId="0" borderId="0" xfId="0" applyNumberFormat="1" applyFont="1" applyAlignment="1" applyProtection="1"/>
    <xf numFmtId="3" fontId="6" fillId="0" borderId="0" xfId="0" applyNumberFormat="1" applyFont="1" applyBorder="1" applyAlignment="1" applyProtection="1">
      <alignment horizontal="center"/>
    </xf>
    <xf numFmtId="0" fontId="6" fillId="0" borderId="1" xfId="0" applyNumberFormat="1" applyFont="1" applyBorder="1" applyAlignment="1" applyProtection="1"/>
    <xf numFmtId="170" fontId="6" fillId="2" borderId="0" xfId="0" applyNumberFormat="1" applyFont="1" applyFill="1" applyAlignment="1" applyProtection="1"/>
    <xf numFmtId="9" fontId="6" fillId="0" borderId="0" xfId="0" applyNumberFormat="1" applyFont="1" applyAlignment="1" applyProtection="1"/>
    <xf numFmtId="169" fontId="6" fillId="0" borderId="0" xfId="0" applyNumberFormat="1" applyFont="1" applyAlignment="1" applyProtection="1"/>
    <xf numFmtId="10" fontId="6" fillId="0" borderId="0" xfId="0" applyNumberFormat="1" applyFont="1" applyAlignment="1" applyProtection="1"/>
    <xf numFmtId="3" fontId="6" fillId="0" borderId="0" xfId="0" quotePrefix="1" applyNumberFormat="1" applyFont="1" applyAlignment="1" applyProtection="1"/>
    <xf numFmtId="9" fontId="6" fillId="0" borderId="1" xfId="0" applyNumberFormat="1" applyFont="1" applyBorder="1" applyAlignment="1" applyProtection="1"/>
    <xf numFmtId="169" fontId="6" fillId="0" borderId="1" xfId="0" applyNumberFormat="1" applyFont="1" applyBorder="1" applyAlignment="1" applyProtection="1"/>
    <xf numFmtId="9" fontId="6" fillId="0" borderId="0" xfId="0" applyNumberFormat="1" applyFont="1" applyFill="1" applyAlignment="1" applyProtection="1"/>
    <xf numFmtId="172" fontId="6" fillId="0" borderId="4" xfId="0" applyFont="1" applyBorder="1" applyAlignment="1" applyProtection="1"/>
    <xf numFmtId="172" fontId="6" fillId="0" borderId="5" xfId="0" applyFont="1" applyBorder="1" applyAlignment="1" applyProtection="1"/>
    <xf numFmtId="172" fontId="6" fillId="0" borderId="6" xfId="0" applyFont="1" applyBorder="1" applyAlignment="1" applyProtection="1"/>
    <xf numFmtId="10" fontId="6" fillId="2" borderId="0" xfId="0" applyNumberFormat="1" applyFont="1" applyFill="1" applyAlignment="1" applyProtection="1"/>
    <xf numFmtId="172" fontId="6" fillId="0" borderId="7" xfId="0" applyFont="1" applyBorder="1" applyAlignment="1" applyProtection="1"/>
    <xf numFmtId="172" fontId="6" fillId="0" borderId="8" xfId="0" applyFont="1" applyBorder="1" applyAlignment="1" applyProtection="1"/>
    <xf numFmtId="10" fontId="15" fillId="4" borderId="8" xfId="1" applyNumberFormat="1" applyFont="1" applyFill="1" applyBorder="1" applyAlignment="1" applyProtection="1"/>
    <xf numFmtId="172" fontId="6" fillId="0" borderId="9" xfId="0" applyFont="1" applyBorder="1" applyAlignment="1" applyProtection="1"/>
    <xf numFmtId="172" fontId="6" fillId="0" borderId="10" xfId="0" applyFont="1" applyBorder="1" applyAlignment="1" applyProtection="1"/>
    <xf numFmtId="172" fontId="6" fillId="0" borderId="11" xfId="0" applyFont="1" applyBorder="1" applyAlignment="1" applyProtection="1"/>
    <xf numFmtId="171" fontId="6" fillId="0" borderId="0" xfId="0" applyNumberFormat="1" applyFont="1" applyBorder="1" applyProtection="1"/>
    <xf numFmtId="170" fontId="6" fillId="2" borderId="0" xfId="0" applyNumberFormat="1" applyFont="1" applyFill="1" applyBorder="1" applyAlignment="1" applyProtection="1"/>
    <xf numFmtId="3" fontId="8" fillId="0" borderId="0" xfId="0" applyNumberFormat="1" applyFont="1" applyAlignment="1" applyProtection="1">
      <alignment horizontal="left"/>
    </xf>
    <xf numFmtId="0" fontId="6" fillId="0" borderId="0" xfId="0" applyNumberFormat="1" applyFont="1" applyBorder="1" applyAlignment="1" applyProtection="1"/>
    <xf numFmtId="0" fontId="6" fillId="0" borderId="1" xfId="0" applyNumberFormat="1" applyFont="1" applyFill="1" applyBorder="1" applyAlignment="1" applyProtection="1"/>
    <xf numFmtId="0" fontId="6" fillId="0" borderId="1" xfId="0" applyNumberFormat="1" applyFont="1" applyFill="1" applyBorder="1" applyProtection="1"/>
    <xf numFmtId="170" fontId="6" fillId="2" borderId="1" xfId="0" applyNumberFormat="1" applyFont="1" applyFill="1" applyBorder="1" applyAlignment="1" applyProtection="1"/>
    <xf numFmtId="172" fontId="6" fillId="0" borderId="0" xfId="0" applyNumberFormat="1" applyFont="1" applyAlignment="1" applyProtection="1"/>
    <xf numFmtId="0" fontId="7" fillId="0" borderId="0" xfId="0" applyNumberFormat="1" applyFont="1" applyAlignment="1" applyProtection="1"/>
    <xf numFmtId="170" fontId="6" fillId="0" borderId="0" xfId="0" applyNumberFormat="1" applyFont="1" applyAlignment="1" applyProtection="1">
      <alignment horizontal="right"/>
    </xf>
    <xf numFmtId="170" fontId="6" fillId="0" borderId="0" xfId="0" applyNumberFormat="1" applyFont="1" applyProtection="1"/>
    <xf numFmtId="0" fontId="6" fillId="0" borderId="0" xfId="0" applyNumberFormat="1" applyFont="1" applyAlignment="1" applyProtection="1">
      <alignment horizontal="left" indent="8"/>
    </xf>
    <xf numFmtId="0" fontId="6" fillId="0" borderId="0" xfId="0" applyNumberFormat="1" applyFont="1" applyAlignment="1" applyProtection="1">
      <alignment horizontal="center" vertical="top" wrapText="1"/>
    </xf>
    <xf numFmtId="0" fontId="6" fillId="0" borderId="0" xfId="0" applyNumberFormat="1" applyFont="1" applyFill="1" applyAlignment="1" applyProtection="1">
      <alignment horizontal="left" vertical="top" wrapText="1" indent="8"/>
    </xf>
    <xf numFmtId="0" fontId="6" fillId="0" borderId="0" xfId="0" applyNumberFormat="1" applyFont="1" applyFill="1" applyAlignment="1" applyProtection="1">
      <alignment vertical="top" wrapText="1"/>
    </xf>
    <xf numFmtId="10" fontId="6" fillId="2" borderId="0" xfId="0" applyNumberFormat="1" applyFont="1" applyFill="1" applyAlignment="1" applyProtection="1">
      <alignment vertical="top" wrapText="1"/>
    </xf>
    <xf numFmtId="3" fontId="6" fillId="0" borderId="0" xfId="0" applyNumberFormat="1" applyFont="1" applyAlignment="1" applyProtection="1">
      <alignment vertical="top" wrapText="1"/>
    </xf>
    <xf numFmtId="0" fontId="6" fillId="0" borderId="0" xfId="0" applyNumberFormat="1" applyFont="1" applyAlignment="1" applyProtection="1">
      <alignment vertical="top" wrapText="1"/>
    </xf>
    <xf numFmtId="0" fontId="8" fillId="0" borderId="0" xfId="0" applyNumberFormat="1" applyFont="1" applyFill="1" applyAlignment="1" applyProtection="1">
      <alignment horizontal="left"/>
    </xf>
    <xf numFmtId="172" fontId="6" fillId="0" borderId="0" xfId="0" applyFont="1" applyAlignment="1" applyProtection="1">
      <alignment horizontal="center" vertical="top" wrapText="1"/>
    </xf>
    <xf numFmtId="172" fontId="6" fillId="0" borderId="0" xfId="0" applyFont="1" applyFill="1" applyAlignment="1" applyProtection="1">
      <alignment horizontal="center" vertical="top" wrapText="1"/>
    </xf>
    <xf numFmtId="0" fontId="6" fillId="0" borderId="0" xfId="0" applyNumberFormat="1" applyFont="1" applyFill="1" applyAlignment="1" applyProtection="1">
      <alignment horizontal="left" vertical="top"/>
    </xf>
    <xf numFmtId="0" fontId="7" fillId="0" borderId="0" xfId="0" applyNumberFormat="1" applyFont="1" applyAlignment="1" applyProtection="1">
      <alignment vertical="top" wrapText="1"/>
    </xf>
    <xf numFmtId="0" fontId="6" fillId="0" borderId="0" xfId="0" applyNumberFormat="1" applyFont="1" applyFill="1" applyAlignment="1" applyProtection="1">
      <alignment vertical="top"/>
    </xf>
    <xf numFmtId="172" fontId="0" fillId="0" borderId="0" xfId="0" applyFont="1" applyAlignment="1" applyProtection="1">
      <alignment horizontal="center"/>
    </xf>
    <xf numFmtId="0" fontId="6" fillId="0" borderId="0" xfId="0" applyNumberFormat="1" applyFont="1" applyAlignment="1" applyProtection="1">
      <alignment horizontal="center" wrapText="1"/>
    </xf>
    <xf numFmtId="173" fontId="21" fillId="0" borderId="0" xfId="4" applyFont="1" applyAlignment="1">
      <alignment horizontal="center"/>
    </xf>
    <xf numFmtId="172" fontId="22" fillId="0" borderId="0" xfId="0" applyFont="1"/>
    <xf numFmtId="172" fontId="18" fillId="0" borderId="0" xfId="0" applyFont="1"/>
    <xf numFmtId="172" fontId="0" fillId="0" borderId="0" xfId="0"/>
    <xf numFmtId="174" fontId="0" fillId="0" borderId="0" xfId="2" applyNumberFormat="1" applyFont="1"/>
    <xf numFmtId="172" fontId="0" fillId="0" borderId="0" xfId="0" applyAlignment="1">
      <alignment horizontal="left" indent="1"/>
    </xf>
    <xf numFmtId="174" fontId="0" fillId="4" borderId="12" xfId="2" applyNumberFormat="1" applyFont="1" applyFill="1" applyBorder="1"/>
    <xf numFmtId="172" fontId="23" fillId="0" borderId="0" xfId="0" applyFont="1"/>
    <xf numFmtId="172" fontId="24" fillId="0" borderId="0" xfId="0" applyFont="1" applyAlignment="1">
      <alignment horizontal="center"/>
    </xf>
    <xf numFmtId="0" fontId="26" fillId="0" borderId="0" xfId="5" applyFont="1" applyAlignment="1">
      <alignment horizontal="center"/>
    </xf>
    <xf numFmtId="39" fontId="26" fillId="0" borderId="0" xfId="5" applyNumberFormat="1" applyFont="1"/>
    <xf numFmtId="0" fontId="27" fillId="0" borderId="0" xfId="6" applyFont="1" applyBorder="1" applyAlignment="1">
      <alignment vertical="center"/>
    </xf>
    <xf numFmtId="172" fontId="26" fillId="0" borderId="0" xfId="0" applyFont="1"/>
    <xf numFmtId="39" fontId="26" fillId="0" borderId="0" xfId="0" applyNumberFormat="1" applyFont="1"/>
    <xf numFmtId="39" fontId="26" fillId="0" borderId="0" xfId="0" applyNumberFormat="1" applyFont="1" applyFill="1"/>
    <xf numFmtId="3" fontId="16" fillId="0" borderId="0" xfId="7" applyNumberFormat="1" applyFont="1" applyAlignment="1" applyProtection="1">
      <protection locked="0"/>
    </xf>
    <xf numFmtId="0" fontId="25" fillId="0" borderId="0" xfId="5" applyAlignment="1">
      <alignment horizontal="center"/>
    </xf>
    <xf numFmtId="39" fontId="25" fillId="0" borderId="0" xfId="5" applyNumberFormat="1" applyAlignment="1">
      <alignment horizontal="right"/>
    </xf>
    <xf numFmtId="39" fontId="25" fillId="0" borderId="0" xfId="5" applyNumberFormat="1" applyFill="1" applyAlignment="1">
      <alignment horizontal="right"/>
    </xf>
    <xf numFmtId="0" fontId="28" fillId="0" borderId="0" xfId="5" applyFont="1" applyAlignment="1">
      <alignment horizontal="left"/>
    </xf>
    <xf numFmtId="0" fontId="28" fillId="0" borderId="0" xfId="5" applyFont="1"/>
    <xf numFmtId="39" fontId="28" fillId="0" borderId="0" xfId="5" quotePrefix="1" applyNumberFormat="1" applyFont="1" applyAlignment="1">
      <alignment horizontal="right"/>
    </xf>
    <xf numFmtId="39" fontId="28" fillId="0" borderId="0" xfId="5" applyNumberFormat="1" applyFont="1" applyFill="1" applyAlignment="1">
      <alignment horizontal="right"/>
    </xf>
    <xf numFmtId="39" fontId="28" fillId="0" borderId="0" xfId="5" quotePrefix="1" applyNumberFormat="1" applyFont="1" applyFill="1" applyAlignment="1">
      <alignment horizontal="right"/>
    </xf>
    <xf numFmtId="0" fontId="28" fillId="0" borderId="0" xfId="5" applyFont="1" applyAlignment="1">
      <alignment horizontal="center"/>
    </xf>
    <xf numFmtId="39" fontId="28" fillId="0" borderId="0" xfId="5" applyNumberFormat="1" applyFont="1" applyAlignment="1">
      <alignment horizontal="right"/>
    </xf>
    <xf numFmtId="0" fontId="26" fillId="0" borderId="0" xfId="5" applyFont="1" applyAlignment="1">
      <alignment horizontal="left"/>
    </xf>
    <xf numFmtId="0" fontId="25" fillId="0" borderId="0" xfId="5"/>
    <xf numFmtId="39" fontId="25" fillId="0" borderId="0" xfId="5" applyNumberFormat="1"/>
    <xf numFmtId="39" fontId="25" fillId="0" borderId="0" xfId="5" applyNumberFormat="1" applyFill="1"/>
    <xf numFmtId="37" fontId="25" fillId="0" borderId="0" xfId="5" applyNumberFormat="1"/>
    <xf numFmtId="0" fontId="25" fillId="0" borderId="0" xfId="5" applyAlignment="1">
      <alignment horizontal="right"/>
    </xf>
    <xf numFmtId="10" fontId="25" fillId="0" borderId="0" xfId="5" applyNumberFormat="1"/>
    <xf numFmtId="2" fontId="25" fillId="0" borderId="0" xfId="5" applyNumberFormat="1"/>
    <xf numFmtId="0" fontId="25" fillId="0" borderId="0" xfId="5" applyAlignment="1">
      <alignment horizontal="left"/>
    </xf>
    <xf numFmtId="3" fontId="29" fillId="0" borderId="0" xfId="7" applyNumberFormat="1" applyFont="1" applyAlignment="1" applyProtection="1">
      <protection locked="0"/>
    </xf>
    <xf numFmtId="39" fontId="28" fillId="0" borderId="0" xfId="5" applyNumberFormat="1" applyFont="1"/>
    <xf numFmtId="39" fontId="28" fillId="0" borderId="0" xfId="5" applyNumberFormat="1" applyFont="1" applyFill="1"/>
    <xf numFmtId="172" fontId="30" fillId="0" borderId="0" xfId="5" applyNumberFormat="1" applyFont="1" applyFill="1"/>
    <xf numFmtId="172" fontId="31" fillId="0" borderId="0" xfId="0" applyNumberFormat="1" applyFont="1" applyAlignment="1"/>
    <xf numFmtId="0" fontId="25" fillId="0" borderId="0" xfId="5" quotePrefix="1" applyFont="1" applyAlignment="1">
      <alignment horizontal="left"/>
    </xf>
    <xf numFmtId="172" fontId="30" fillId="0" borderId="0" xfId="5" applyNumberFormat="1" applyFont="1"/>
    <xf numFmtId="172" fontId="31" fillId="0" borderId="0" xfId="7" applyNumberFormat="1" applyFont="1" applyAlignment="1" applyProtection="1">
      <protection locked="0"/>
    </xf>
    <xf numFmtId="172" fontId="25" fillId="0" borderId="0" xfId="0" applyFont="1" applyAlignment="1"/>
    <xf numFmtId="39" fontId="25" fillId="0" borderId="0" xfId="0" applyNumberFormat="1" applyFont="1" applyAlignment="1">
      <alignment horizontal="right"/>
    </xf>
    <xf numFmtId="7" fontId="30" fillId="0" borderId="0" xfId="8" applyNumberFormat="1" applyFont="1" applyFill="1"/>
    <xf numFmtId="4" fontId="16" fillId="0" borderId="0" xfId="7" applyNumberFormat="1" applyFont="1" applyAlignment="1" applyProtection="1">
      <protection locked="0"/>
    </xf>
    <xf numFmtId="173" fontId="20" fillId="0" borderId="0" xfId="4" applyFont="1" applyFill="1" applyAlignment="1">
      <alignment horizontal="centerContinuous"/>
    </xf>
    <xf numFmtId="173" fontId="21" fillId="0" borderId="0" xfId="4" applyFont="1" applyAlignment="1">
      <alignment horizontal="centerContinuous"/>
    </xf>
    <xf numFmtId="172" fontId="32" fillId="0" borderId="0" xfId="0" applyFont="1"/>
    <xf numFmtId="175" fontId="0" fillId="0" borderId="0" xfId="3" applyNumberFormat="1" applyFont="1"/>
    <xf numFmtId="174" fontId="33" fillId="0" borderId="0" xfId="2" applyNumberFormat="1" applyFont="1"/>
    <xf numFmtId="175" fontId="0" fillId="0" borderId="0" xfId="0" applyNumberFormat="1"/>
    <xf numFmtId="172" fontId="34" fillId="0" borderId="0" xfId="0" applyFont="1"/>
    <xf numFmtId="3" fontId="0" fillId="0" borderId="0" xfId="0" applyNumberFormat="1"/>
    <xf numFmtId="174" fontId="0" fillId="0" borderId="0" xfId="2" applyNumberFormat="1" applyFont="1" applyFill="1" applyBorder="1"/>
    <xf numFmtId="175" fontId="0" fillId="4" borderId="12" xfId="0" applyNumberFormat="1" applyFill="1" applyBorder="1"/>
    <xf numFmtId="174" fontId="0" fillId="0" borderId="0" xfId="2" applyNumberFormat="1" applyFont="1" applyFill="1" applyBorder="1" applyAlignment="1"/>
    <xf numFmtId="172" fontId="0" fillId="0" borderId="0" xfId="0" applyAlignment="1">
      <alignment horizontal="center"/>
    </xf>
    <xf numFmtId="174" fontId="0" fillId="0" borderId="10" xfId="2" applyNumberFormat="1" applyFont="1" applyBorder="1"/>
    <xf numFmtId="175" fontId="35" fillId="0" borderId="10" xfId="3" applyNumberFormat="1" applyFont="1" applyBorder="1"/>
    <xf numFmtId="172" fontId="0" fillId="4" borderId="0" xfId="0" applyFill="1"/>
    <xf numFmtId="172" fontId="36" fillId="4" borderId="0" xfId="0" applyFont="1" applyFill="1"/>
    <xf numFmtId="172" fontId="31" fillId="4" borderId="0" xfId="0" applyFont="1" applyFill="1"/>
    <xf numFmtId="0" fontId="5" fillId="0" borderId="0" xfId="9"/>
    <xf numFmtId="0" fontId="37" fillId="0" borderId="0" xfId="9" applyFont="1" applyAlignment="1">
      <alignment horizontal="left"/>
    </xf>
    <xf numFmtId="170" fontId="24" fillId="0" borderId="0" xfId="9" applyNumberFormat="1" applyFont="1" applyAlignment="1">
      <alignment horizontal="center"/>
    </xf>
    <xf numFmtId="0" fontId="38" fillId="0" borderId="0" xfId="9" applyFont="1" applyAlignment="1">
      <alignment horizontal="left" indent="1"/>
    </xf>
    <xf numFmtId="0" fontId="5" fillId="0" borderId="0" xfId="9" applyAlignment="1"/>
    <xf numFmtId="170" fontId="5" fillId="0" borderId="0" xfId="9" applyNumberFormat="1"/>
    <xf numFmtId="0" fontId="38" fillId="0" borderId="0" xfId="9" applyFont="1" applyAlignment="1">
      <alignment horizontal="left" indent="2"/>
    </xf>
    <xf numFmtId="44" fontId="5" fillId="0" borderId="0" xfId="10" applyFont="1"/>
    <xf numFmtId="3" fontId="5" fillId="0" borderId="0" xfId="11" applyNumberFormat="1" applyFont="1" applyFill="1"/>
    <xf numFmtId="3" fontId="5" fillId="4" borderId="0" xfId="11" applyNumberFormat="1" applyFont="1" applyFill="1"/>
    <xf numFmtId="0" fontId="5" fillId="0" borderId="0" xfId="9" applyFont="1"/>
    <xf numFmtId="3" fontId="5" fillId="0" borderId="0" xfId="11" applyNumberFormat="1" applyFont="1"/>
    <xf numFmtId="4" fontId="5" fillId="0" borderId="0" xfId="9" applyNumberFormat="1"/>
    <xf numFmtId="3" fontId="5" fillId="4" borderId="0" xfId="11" applyNumberFormat="1" applyFont="1" applyFill="1" applyBorder="1"/>
    <xf numFmtId="3" fontId="33" fillId="0" borderId="0" xfId="11" applyNumberFormat="1" applyFont="1"/>
    <xf numFmtId="3" fontId="39" fillId="0" borderId="0" xfId="11" applyNumberFormat="1" applyFont="1"/>
    <xf numFmtId="170" fontId="5" fillId="4" borderId="12" xfId="9" applyNumberFormat="1" applyFill="1" applyBorder="1"/>
    <xf numFmtId="0" fontId="38" fillId="0" borderId="0" xfId="9" applyFont="1" applyAlignment="1"/>
    <xf numFmtId="0" fontId="18" fillId="0" borderId="0" xfId="9" applyFont="1"/>
    <xf numFmtId="0" fontId="5" fillId="0" borderId="0" xfId="9" applyAlignment="1">
      <alignment horizontal="left" indent="1"/>
    </xf>
    <xf numFmtId="0" fontId="5" fillId="0" borderId="0" xfId="9" applyFont="1" applyAlignment="1">
      <alignment horizontal="left" indent="1"/>
    </xf>
    <xf numFmtId="0" fontId="5" fillId="0" borderId="0" xfId="9" applyFont="1" applyAlignment="1">
      <alignment horizontal="left" indent="2"/>
    </xf>
    <xf numFmtId="0" fontId="40" fillId="0" borderId="0" xfId="9" applyFont="1"/>
    <xf numFmtId="0" fontId="41" fillId="0" borderId="0" xfId="9" applyFont="1"/>
    <xf numFmtId="0" fontId="37" fillId="0" borderId="0" xfId="9" applyFont="1" applyAlignment="1">
      <alignment horizontal="center"/>
    </xf>
    <xf numFmtId="0" fontId="24" fillId="0" borderId="0" xfId="9" applyFont="1" applyAlignment="1">
      <alignment horizontal="center"/>
    </xf>
    <xf numFmtId="175" fontId="5" fillId="0" borderId="0" xfId="10" applyNumberFormat="1" applyFont="1"/>
    <xf numFmtId="37" fontId="5" fillId="0" borderId="0" xfId="11" applyNumberFormat="1" applyFont="1"/>
    <xf numFmtId="174" fontId="33" fillId="0" borderId="0" xfId="11" applyNumberFormat="1" applyFont="1"/>
    <xf numFmtId="0" fontId="40" fillId="0" borderId="0" xfId="9" applyFont="1" applyAlignment="1">
      <alignment horizontal="left" indent="1"/>
    </xf>
    <xf numFmtId="175" fontId="5" fillId="0" borderId="0" xfId="11" applyNumberFormat="1" applyFont="1"/>
    <xf numFmtId="43" fontId="5" fillId="0" borderId="0" xfId="11" applyFont="1"/>
    <xf numFmtId="43" fontId="33" fillId="0" borderId="0" xfId="11" applyFont="1"/>
    <xf numFmtId="37" fontId="5" fillId="0" borderId="10" xfId="11" applyNumberFormat="1" applyFont="1" applyBorder="1"/>
    <xf numFmtId="175" fontId="5" fillId="4" borderId="12" xfId="10" applyNumberFormat="1" applyFont="1" applyFill="1" applyBorder="1"/>
    <xf numFmtId="0" fontId="4" fillId="0" borderId="0" xfId="9" applyFont="1"/>
    <xf numFmtId="0" fontId="42" fillId="0" borderId="0" xfId="0" applyNumberFormat="1" applyFont="1" applyFill="1" applyBorder="1" applyAlignment="1" applyProtection="1">
      <alignment horizontal="centerContinuous"/>
    </xf>
    <xf numFmtId="0" fontId="42" fillId="0" borderId="0" xfId="0" applyNumberFormat="1" applyFont="1" applyFill="1" applyBorder="1" applyAlignment="1" applyProtection="1">
      <alignment horizontal="centerContinuous"/>
      <protection locked="0"/>
    </xf>
    <xf numFmtId="0" fontId="42" fillId="0" borderId="0" xfId="0" applyNumberFormat="1" applyFont="1" applyFill="1" applyBorder="1" applyAlignment="1" applyProtection="1"/>
    <xf numFmtId="0" fontId="43" fillId="0" borderId="0" xfId="0" applyNumberFormat="1" applyFont="1" applyFill="1" applyBorder="1" applyAlignment="1" applyProtection="1"/>
    <xf numFmtId="0" fontId="45" fillId="0" borderId="0" xfId="0" applyNumberFormat="1" applyFont="1" applyFill="1" applyBorder="1" applyAlignment="1" applyProtection="1">
      <alignment horizontal="center"/>
    </xf>
    <xf numFmtId="0" fontId="45" fillId="0" borderId="0" xfId="0" applyNumberFormat="1" applyFont="1" applyFill="1" applyBorder="1" applyAlignment="1" applyProtection="1">
      <alignment horizontal="left"/>
    </xf>
    <xf numFmtId="172" fontId="0" fillId="0" borderId="0" xfId="0" applyFill="1"/>
    <xf numFmtId="0" fontId="43" fillId="0" borderId="0" xfId="0" applyNumberFormat="1" applyFont="1" applyFill="1" applyBorder="1" applyAlignment="1" applyProtection="1">
      <alignment horizontal="left"/>
    </xf>
    <xf numFmtId="37" fontId="43" fillId="0" borderId="0" xfId="0" applyNumberFormat="1" applyFont="1" applyFill="1" applyBorder="1" applyAlignment="1" applyProtection="1">
      <protection locked="0"/>
    </xf>
    <xf numFmtId="37" fontId="43" fillId="0" borderId="0" xfId="0" applyNumberFormat="1" applyFont="1" applyFill="1" applyBorder="1" applyAlignment="1" applyProtection="1"/>
    <xf numFmtId="37" fontId="43" fillId="0" borderId="0" xfId="0" applyNumberFormat="1" applyFont="1" applyFill="1" applyBorder="1" applyAlignment="1" applyProtection="1">
      <alignment horizontal="right"/>
      <protection locked="0"/>
    </xf>
    <xf numFmtId="5" fontId="44" fillId="0" borderId="0" xfId="0" applyNumberFormat="1" applyFont="1"/>
    <xf numFmtId="37" fontId="47" fillId="0" borderId="0" xfId="0" applyNumberFormat="1" applyFont="1" applyFill="1" applyBorder="1" applyAlignment="1" applyProtection="1"/>
    <xf numFmtId="0" fontId="47" fillId="0" borderId="0" xfId="0" applyNumberFormat="1" applyFont="1" applyFill="1" applyBorder="1" applyAlignment="1" applyProtection="1"/>
    <xf numFmtId="0" fontId="43" fillId="0" borderId="0" xfId="0" applyNumberFormat="1" applyFont="1" applyFill="1" applyBorder="1" applyAlignment="1" applyProtection="1">
      <alignment horizontal="center"/>
    </xf>
    <xf numFmtId="3" fontId="42" fillId="0" borderId="0" xfId="0" applyNumberFormat="1" applyFont="1" applyFill="1" applyBorder="1" applyAlignment="1" applyProtection="1">
      <protection locked="0"/>
    </xf>
    <xf numFmtId="3" fontId="45" fillId="0" borderId="0" xfId="0" applyNumberFormat="1" applyFont="1" applyFill="1" applyBorder="1" applyAlignment="1" applyProtection="1">
      <alignment horizontal="center"/>
      <protection locked="0"/>
    </xf>
    <xf numFmtId="5" fontId="43" fillId="0" borderId="0" xfId="0" applyNumberFormat="1" applyFont="1" applyFill="1" applyBorder="1" applyAlignment="1" applyProtection="1">
      <protection locked="0"/>
    </xf>
    <xf numFmtId="176" fontId="43" fillId="0" borderId="0" xfId="0" quotePrefix="1" applyNumberFormat="1" applyFont="1" applyFill="1" applyBorder="1" applyAlignment="1" applyProtection="1">
      <alignment horizontal="right"/>
      <protection locked="0"/>
    </xf>
    <xf numFmtId="172" fontId="43" fillId="0" borderId="0" xfId="0" applyFont="1" applyAlignment="1">
      <alignment horizontal="left"/>
    </xf>
    <xf numFmtId="172" fontId="0" fillId="0" borderId="0" xfId="0" applyAlignment="1">
      <alignment horizontal="centerContinuous"/>
    </xf>
    <xf numFmtId="37" fontId="49" fillId="0" borderId="0" xfId="0" applyNumberFormat="1" applyFont="1" applyFill="1" applyBorder="1" applyAlignment="1" applyProtection="1">
      <protection locked="0"/>
    </xf>
    <xf numFmtId="5" fontId="50" fillId="0" borderId="0" xfId="3" applyNumberFormat="1" applyFont="1" applyFill="1" applyBorder="1" applyAlignment="1" applyProtection="1">
      <protection locked="0"/>
    </xf>
    <xf numFmtId="49" fontId="51" fillId="0" borderId="0" xfId="0" applyNumberFormat="1" applyFont="1" applyAlignment="1"/>
    <xf numFmtId="172" fontId="0" fillId="0" borderId="0" xfId="0" applyFont="1" applyAlignment="1">
      <alignment horizontal="center"/>
    </xf>
    <xf numFmtId="172" fontId="36" fillId="0" borderId="0" xfId="0" applyFont="1" applyAlignment="1"/>
    <xf numFmtId="172" fontId="36" fillId="0" borderId="0" xfId="0" applyFont="1" applyAlignment="1">
      <alignment horizontal="center"/>
    </xf>
    <xf numFmtId="0" fontId="52" fillId="0" borderId="0" xfId="12" applyFont="1"/>
    <xf numFmtId="0" fontId="18" fillId="0" borderId="0" xfId="12" applyFont="1"/>
    <xf numFmtId="0" fontId="4" fillId="0" borderId="0" xfId="12"/>
    <xf numFmtId="0" fontId="18" fillId="0" borderId="0" xfId="12" applyFont="1" applyAlignment="1">
      <alignment horizontal="center"/>
    </xf>
    <xf numFmtId="0" fontId="24" fillId="0" borderId="0" xfId="12" applyFont="1" applyAlignment="1">
      <alignment horizontal="center"/>
    </xf>
    <xf numFmtId="0" fontId="4" fillId="0" borderId="0" xfId="12" applyAlignment="1">
      <alignment horizontal="left" indent="1"/>
    </xf>
    <xf numFmtId="175" fontId="4" fillId="0" borderId="0" xfId="13" applyNumberFormat="1" applyFont="1"/>
    <xf numFmtId="174" fontId="4" fillId="0" borderId="0" xfId="14" applyNumberFormat="1" applyFont="1"/>
    <xf numFmtId="174" fontId="33" fillId="0" borderId="0" xfId="14" applyNumberFormat="1" applyFont="1"/>
    <xf numFmtId="175" fontId="4" fillId="0" borderId="0" xfId="12" applyNumberFormat="1"/>
    <xf numFmtId="0" fontId="4" fillId="0" borderId="0" xfId="12" applyFont="1"/>
    <xf numFmtId="0" fontId="4" fillId="0" borderId="0" xfId="12" applyFont="1" applyAlignment="1">
      <alignment horizontal="left" indent="1"/>
    </xf>
    <xf numFmtId="172" fontId="23" fillId="0" borderId="0" xfId="0" applyFont="1" applyAlignment="1"/>
    <xf numFmtId="174" fontId="4" fillId="0" borderId="10" xfId="14" applyNumberFormat="1" applyFont="1" applyBorder="1"/>
    <xf numFmtId="174" fontId="4" fillId="0" borderId="0" xfId="12" applyNumberFormat="1"/>
    <xf numFmtId="0" fontId="53" fillId="0" borderId="0" xfId="12" applyFont="1"/>
    <xf numFmtId="175" fontId="4" fillId="4" borderId="0" xfId="13" applyNumberFormat="1" applyFont="1" applyFill="1"/>
    <xf numFmtId="174" fontId="4" fillId="4" borderId="0" xfId="14" applyNumberFormat="1" applyFont="1" applyFill="1"/>
    <xf numFmtId="174" fontId="4" fillId="4" borderId="0" xfId="14" applyNumberFormat="1" applyFont="1" applyFill="1" applyBorder="1"/>
    <xf numFmtId="0" fontId="17" fillId="0" borderId="0" xfId="12" applyFont="1" applyFill="1"/>
    <xf numFmtId="0" fontId="54" fillId="0" borderId="0" xfId="6" applyFont="1"/>
    <xf numFmtId="0" fontId="55" fillId="0" borderId="0" xfId="15"/>
    <xf numFmtId="174" fontId="44" fillId="0" borderId="0" xfId="16" applyNumberFormat="1" applyFont="1"/>
    <xf numFmtId="174" fontId="44" fillId="0" borderId="5" xfId="16" applyNumberFormat="1" applyFont="1" applyBorder="1"/>
    <xf numFmtId="0" fontId="55" fillId="5" borderId="0" xfId="15" applyFill="1"/>
    <xf numFmtId="172" fontId="0" fillId="5" borderId="0" xfId="0" applyFill="1" applyAlignment="1"/>
    <xf numFmtId="0" fontId="55" fillId="5" borderId="5" xfId="15" applyFill="1" applyBorder="1"/>
    <xf numFmtId="10" fontId="44" fillId="0" borderId="0" xfId="17" applyNumberFormat="1" applyFont="1"/>
    <xf numFmtId="0" fontId="55" fillId="0" borderId="0" xfId="15" applyAlignment="1">
      <alignment wrapText="1"/>
    </xf>
    <xf numFmtId="0" fontId="53" fillId="0" borderId="0" xfId="18" applyFont="1"/>
    <xf numFmtId="0" fontId="4" fillId="0" borderId="0" xfId="18"/>
    <xf numFmtId="0" fontId="0" fillId="0" borderId="0" xfId="0" applyNumberFormat="1"/>
    <xf numFmtId="175" fontId="4" fillId="0" borderId="0" xfId="19" applyNumberFormat="1" applyFont="1" applyFill="1" applyBorder="1"/>
    <xf numFmtId="174" fontId="4" fillId="0" borderId="0" xfId="20" applyNumberFormat="1" applyFont="1" applyFill="1" applyBorder="1"/>
    <xf numFmtId="174" fontId="33" fillId="0" borderId="0" xfId="20" applyNumberFormat="1" applyFont="1" applyFill="1" applyBorder="1"/>
    <xf numFmtId="175" fontId="4" fillId="0" borderId="0" xfId="19" applyNumberFormat="1" applyFont="1"/>
    <xf numFmtId="0" fontId="4" fillId="0" borderId="0" xfId="18" applyAlignment="1">
      <alignment horizontal="left" indent="1"/>
    </xf>
    <xf numFmtId="0" fontId="4" fillId="0" borderId="0" xfId="18" applyFont="1"/>
    <xf numFmtId="0" fontId="4" fillId="0" borderId="0" xfId="18" applyFont="1" applyFill="1"/>
    <xf numFmtId="0" fontId="4" fillId="0" borderId="0" xfId="18" applyAlignment="1">
      <alignment horizontal="left" indent="2"/>
    </xf>
    <xf numFmtId="1" fontId="56" fillId="0" borderId="0" xfId="0" applyNumberFormat="1" applyFont="1" applyAlignment="1">
      <alignment horizontal="left"/>
    </xf>
    <xf numFmtId="0" fontId="0" fillId="0" borderId="0" xfId="0" applyNumberFormat="1" applyAlignment="1">
      <alignment horizontal="center"/>
    </xf>
    <xf numFmtId="1" fontId="0" fillId="0" borderId="0" xfId="0" applyNumberFormat="1" applyAlignment="1">
      <alignment horizontal="left"/>
    </xf>
    <xf numFmtId="172" fontId="0" fillId="6" borderId="0" xfId="0" applyFill="1" applyAlignment="1"/>
    <xf numFmtId="172" fontId="0" fillId="4" borderId="0" xfId="0" applyFill="1" applyAlignment="1"/>
    <xf numFmtId="172" fontId="0" fillId="7" borderId="0" xfId="0" applyFill="1" applyAlignment="1"/>
    <xf numFmtId="172" fontId="0" fillId="8" borderId="0" xfId="0" applyFill="1" applyAlignment="1"/>
    <xf numFmtId="0" fontId="25" fillId="0" borderId="0" xfId="21" applyNumberFormat="1"/>
    <xf numFmtId="0" fontId="57" fillId="0" borderId="0" xfId="21" applyFont="1" applyBorder="1"/>
    <xf numFmtId="0" fontId="25" fillId="0" borderId="0" xfId="21" applyBorder="1"/>
    <xf numFmtId="43" fontId="25" fillId="0" borderId="0" xfId="21" applyNumberFormat="1" applyFont="1" applyBorder="1"/>
    <xf numFmtId="0" fontId="58" fillId="0" borderId="0" xfId="21" applyFont="1" applyBorder="1" applyAlignment="1">
      <alignment vertical="center"/>
    </xf>
    <xf numFmtId="43" fontId="26" fillId="0" borderId="0" xfId="21" applyNumberFormat="1" applyFont="1" applyBorder="1" applyAlignment="1">
      <alignment horizontal="center"/>
    </xf>
    <xf numFmtId="0" fontId="26" fillId="0" borderId="0" xfId="21" applyFont="1" applyBorder="1" applyAlignment="1">
      <alignment horizontal="center"/>
    </xf>
    <xf numFmtId="0" fontId="59" fillId="9" borderId="0" xfId="21" applyFont="1" applyFill="1" applyBorder="1" applyAlignment="1">
      <alignment horizontal="left"/>
    </xf>
    <xf numFmtId="44" fontId="60" fillId="9" borderId="0" xfId="22" applyFont="1" applyFill="1" applyBorder="1"/>
    <xf numFmtId="0" fontId="60" fillId="0" borderId="0" xfId="23" applyFont="1" applyFill="1" applyBorder="1" applyAlignment="1">
      <alignment horizontal="left" vertical="center" indent="2"/>
    </xf>
    <xf numFmtId="0" fontId="25" fillId="0" borderId="0" xfId="21" applyFill="1"/>
    <xf numFmtId="0" fontId="25" fillId="0" borderId="0" xfId="21" applyBorder="1" applyAlignment="1">
      <alignment horizontal="right"/>
    </xf>
    <xf numFmtId="43" fontId="60" fillId="9" borderId="0" xfId="24" applyNumberFormat="1" applyFont="1" applyFill="1" applyBorder="1"/>
    <xf numFmtId="43" fontId="61" fillId="9" borderId="0" xfId="24" applyNumberFormat="1" applyFont="1" applyFill="1" applyBorder="1"/>
    <xf numFmtId="0" fontId="25" fillId="0" borderId="0" xfId="21" applyFont="1" applyBorder="1" applyAlignment="1">
      <alignment horizontal="right"/>
    </xf>
    <xf numFmtId="44" fontId="25" fillId="0" borderId="0" xfId="22" applyFont="1" applyBorder="1"/>
    <xf numFmtId="0" fontId="59" fillId="0" borderId="0" xfId="21" applyFont="1" applyFill="1" applyBorder="1" applyAlignment="1">
      <alignment horizontal="left"/>
    </xf>
    <xf numFmtId="44" fontId="25" fillId="9" borderId="0" xfId="22" applyFont="1" applyFill="1" applyBorder="1"/>
    <xf numFmtId="44" fontId="25" fillId="9" borderId="0" xfId="22" applyFill="1" applyBorder="1"/>
    <xf numFmtId="43" fontId="25" fillId="9" borderId="0" xfId="24" applyNumberFormat="1" applyFont="1" applyFill="1" applyBorder="1"/>
    <xf numFmtId="43" fontId="25" fillId="9" borderId="0" xfId="24" applyNumberFormat="1" applyFill="1" applyBorder="1"/>
    <xf numFmtId="43" fontId="62" fillId="9" borderId="0" xfId="24" applyNumberFormat="1" applyFont="1" applyFill="1" applyBorder="1"/>
    <xf numFmtId="0" fontId="25" fillId="0" borderId="0" xfId="21"/>
    <xf numFmtId="0" fontId="25" fillId="0" borderId="0" xfId="21" applyAlignment="1">
      <alignment horizontal="left" indent="1"/>
    </xf>
    <xf numFmtId="0" fontId="25" fillId="0" borderId="0" xfId="21" applyAlignment="1">
      <alignment horizontal="right"/>
    </xf>
    <xf numFmtId="0" fontId="4" fillId="0" borderId="0" xfId="18" applyAlignment="1">
      <alignment horizontal="centerContinuous"/>
    </xf>
    <xf numFmtId="0" fontId="32" fillId="0" borderId="0" xfId="18" applyFont="1"/>
    <xf numFmtId="0" fontId="18" fillId="0" borderId="0" xfId="18" applyFont="1"/>
    <xf numFmtId="0" fontId="24" fillId="0" borderId="0" xfId="18" applyFont="1" applyAlignment="1">
      <alignment horizontal="left"/>
    </xf>
    <xf numFmtId="0" fontId="24" fillId="0" borderId="0" xfId="18" applyFont="1" applyAlignment="1">
      <alignment horizontal="center"/>
    </xf>
    <xf numFmtId="174" fontId="4" fillId="0" borderId="0" xfId="20" applyNumberFormat="1" applyFont="1"/>
    <xf numFmtId="175" fontId="4" fillId="4" borderId="12" xfId="18" applyNumberFormat="1" applyFill="1" applyBorder="1"/>
    <xf numFmtId="0" fontId="4" fillId="0" borderId="0" xfId="18" applyAlignment="1">
      <alignment wrapText="1"/>
    </xf>
    <xf numFmtId="0" fontId="4" fillId="0" borderId="0" xfId="18" applyAlignment="1"/>
    <xf numFmtId="0" fontId="4" fillId="0" borderId="0" xfId="18" quotePrefix="1" applyAlignment="1"/>
    <xf numFmtId="0" fontId="51" fillId="0" borderId="0" xfId="18" quotePrefix="1" applyFont="1" applyAlignment="1"/>
    <xf numFmtId="0" fontId="51" fillId="0" borderId="10" xfId="18" quotePrefix="1" applyFont="1" applyBorder="1" applyAlignment="1">
      <alignment horizontal="center"/>
    </xf>
    <xf numFmtId="44" fontId="4" fillId="4" borderId="0" xfId="19" applyFont="1" applyFill="1" applyAlignment="1"/>
    <xf numFmtId="3" fontId="4" fillId="0" borderId="0" xfId="18" applyNumberFormat="1" applyAlignment="1"/>
    <xf numFmtId="44" fontId="4" fillId="0" borderId="13" xfId="19" applyFont="1" applyBorder="1" applyAlignment="1"/>
    <xf numFmtId="44" fontId="4" fillId="0" borderId="0" xfId="19" applyFont="1" applyBorder="1" applyAlignment="1"/>
    <xf numFmtId="44" fontId="4" fillId="0" borderId="0" xfId="19" applyFont="1" applyAlignment="1"/>
    <xf numFmtId="0" fontId="6" fillId="0" borderId="0" xfId="18" applyNumberFormat="1" applyFont="1" applyAlignment="1" applyProtection="1">
      <alignment horizontal="center"/>
      <protection locked="0"/>
    </xf>
    <xf numFmtId="0" fontId="6" fillId="0" borderId="0" xfId="18" applyNumberFormat="1" applyFont="1" applyAlignment="1" applyProtection="1">
      <protection locked="0"/>
    </xf>
    <xf numFmtId="0" fontId="6" fillId="0" borderId="0" xfId="18" applyNumberFormat="1" applyFont="1" applyBorder="1" applyAlignment="1" applyProtection="1">
      <protection locked="0"/>
    </xf>
    <xf numFmtId="0" fontId="6" fillId="0" borderId="0" xfId="18" applyNumberFormat="1" applyFont="1" applyFill="1" applyAlignment="1" applyProtection="1">
      <alignment horizontal="center"/>
      <protection locked="0"/>
    </xf>
    <xf numFmtId="0" fontId="6" fillId="0" borderId="0" xfId="18" applyNumberFormat="1" applyFont="1" applyFill="1" applyBorder="1" applyAlignment="1" applyProtection="1">
      <protection locked="0"/>
    </xf>
    <xf numFmtId="44" fontId="4" fillId="0" borderId="5" xfId="19" applyFont="1" applyBorder="1" applyAlignment="1"/>
    <xf numFmtId="172" fontId="63" fillId="0" borderId="0" xfId="0" applyFont="1" applyAlignment="1">
      <alignment horizontal="centerContinuous"/>
    </xf>
    <xf numFmtId="172" fontId="64" fillId="0" borderId="0" xfId="0" applyFont="1" applyAlignment="1">
      <alignment horizontal="centerContinuous"/>
    </xf>
    <xf numFmtId="172" fontId="18" fillId="0" borderId="0" xfId="0" applyFont="1" applyAlignment="1">
      <alignment horizontal="centerContinuous"/>
    </xf>
    <xf numFmtId="172" fontId="18" fillId="0" borderId="0" xfId="0" applyFont="1" applyAlignment="1">
      <alignment horizontal="center"/>
    </xf>
    <xf numFmtId="172" fontId="0" fillId="0" borderId="0" xfId="0" applyNumberFormat="1"/>
    <xf numFmtId="172" fontId="0" fillId="0" borderId="0" xfId="0" applyAlignment="1">
      <alignment horizontal="right"/>
    </xf>
    <xf numFmtId="0" fontId="4" fillId="0" borderId="0" xfId="18" applyFill="1" applyAlignment="1"/>
    <xf numFmtId="0" fontId="3" fillId="0" borderId="0" xfId="9" applyFont="1"/>
    <xf numFmtId="0" fontId="2" fillId="0" borderId="0" xfId="9" applyFont="1"/>
    <xf numFmtId="39" fontId="26" fillId="0" borderId="0" xfId="5" applyNumberFormat="1" applyFont="1" applyAlignment="1">
      <alignment horizontal="center"/>
    </xf>
    <xf numFmtId="39" fontId="25" fillId="0" borderId="0" xfId="5" applyNumberFormat="1" applyAlignment="1">
      <alignment horizontal="center"/>
    </xf>
    <xf numFmtId="39" fontId="28" fillId="0" borderId="0" xfId="5" quotePrefix="1" applyNumberFormat="1" applyFont="1" applyAlignment="1">
      <alignment horizontal="center"/>
    </xf>
    <xf numFmtId="3" fontId="0" fillId="0" borderId="0" xfId="7" applyNumberFormat="1" applyFont="1" applyAlignment="1" applyProtection="1">
      <alignment horizontal="right"/>
      <protection locked="0"/>
    </xf>
    <xf numFmtId="44" fontId="1" fillId="0" borderId="0" xfId="10" applyFont="1"/>
    <xf numFmtId="37" fontId="1" fillId="0" borderId="0" xfId="11" applyNumberFormat="1" applyFont="1"/>
    <xf numFmtId="37" fontId="1" fillId="0" borderId="10" xfId="11" applyNumberFormat="1" applyFont="1" applyBorder="1"/>
    <xf numFmtId="175" fontId="1" fillId="4" borderId="12" xfId="10" applyNumberFormat="1" applyFont="1" applyFill="1" applyBorder="1"/>
    <xf numFmtId="0" fontId="1" fillId="0" borderId="0" xfId="18" applyFont="1" applyAlignment="1"/>
    <xf numFmtId="0" fontId="1" fillId="0" borderId="0" xfId="9" applyFont="1"/>
    <xf numFmtId="0" fontId="6" fillId="0" borderId="0" xfId="0" applyNumberFormat="1" applyFont="1" applyFill="1" applyAlignment="1" applyProtection="1">
      <alignment vertical="top" wrapText="1"/>
    </xf>
    <xf numFmtId="0" fontId="6" fillId="0" borderId="0" xfId="0" applyNumberFormat="1" applyFont="1" applyAlignment="1" applyProtection="1">
      <alignment vertical="top" wrapText="1"/>
    </xf>
    <xf numFmtId="0" fontId="6" fillId="0" borderId="0" xfId="0" applyNumberFormat="1" applyFont="1" applyFill="1" applyBorder="1" applyAlignment="1" applyProtection="1">
      <alignment horizontal="center"/>
    </xf>
    <xf numFmtId="3" fontId="6" fillId="0" borderId="0" xfId="0" applyNumberFormat="1" applyFont="1" applyAlignment="1" applyProtection="1">
      <alignment horizontal="right"/>
    </xf>
    <xf numFmtId="173" fontId="20" fillId="0" borderId="0" xfId="4" applyFont="1" applyFill="1" applyAlignment="1">
      <alignment horizontal="center"/>
    </xf>
    <xf numFmtId="173" fontId="21" fillId="0" borderId="0" xfId="4" applyFont="1" applyAlignment="1">
      <alignment horizontal="center"/>
    </xf>
    <xf numFmtId="173" fontId="21" fillId="0" borderId="0" xfId="4" applyFont="1" applyFill="1" applyAlignment="1">
      <alignment horizontal="center"/>
    </xf>
    <xf numFmtId="0" fontId="4" fillId="0" borderId="0" xfId="18" applyAlignment="1">
      <alignment horizontal="left"/>
    </xf>
  </cellXfs>
  <cellStyles count="25">
    <cellStyle name="Comma" xfId="2" builtinId="3"/>
    <cellStyle name="Comma 2" xfId="16" xr:uid="{00000000-0005-0000-0000-000001000000}"/>
    <cellStyle name="Comma 2 3" xfId="24" xr:uid="{00000000-0005-0000-0000-000002000000}"/>
    <cellStyle name="Comma 4 2 2" xfId="11" xr:uid="{00000000-0005-0000-0000-000003000000}"/>
    <cellStyle name="Comma 4 3 2" xfId="14" xr:uid="{00000000-0005-0000-0000-000004000000}"/>
    <cellStyle name="Comma 4 3 3" xfId="20" xr:uid="{00000000-0005-0000-0000-000005000000}"/>
    <cellStyle name="Currency" xfId="3" builtinId="4"/>
    <cellStyle name="Currency 3" xfId="22" xr:uid="{00000000-0005-0000-0000-000007000000}"/>
    <cellStyle name="Currency 4 2 2" xfId="10" xr:uid="{00000000-0005-0000-0000-000008000000}"/>
    <cellStyle name="Currency 4 3 2" xfId="13" xr:uid="{00000000-0005-0000-0000-000009000000}"/>
    <cellStyle name="Currency 4 3 3" xfId="19" xr:uid="{00000000-0005-0000-0000-00000A000000}"/>
    <cellStyle name="Normal" xfId="0" builtinId="0"/>
    <cellStyle name="Normal 11 2 2" xfId="9" xr:uid="{00000000-0005-0000-0000-00000C000000}"/>
    <cellStyle name="Normal 11 3 2" xfId="12" xr:uid="{00000000-0005-0000-0000-00000D000000}"/>
    <cellStyle name="Normal 11 3 3" xfId="18" xr:uid="{00000000-0005-0000-0000-00000E000000}"/>
    <cellStyle name="Normal 12" xfId="8" xr:uid="{00000000-0005-0000-0000-00000F000000}"/>
    <cellStyle name="Normal 15" xfId="7" xr:uid="{00000000-0005-0000-0000-000010000000}"/>
    <cellStyle name="Normal 2" xfId="6" xr:uid="{00000000-0005-0000-0000-000011000000}"/>
    <cellStyle name="Normal 3" xfId="15" xr:uid="{00000000-0005-0000-0000-000012000000}"/>
    <cellStyle name="Normal 3 3" xfId="23" xr:uid="{00000000-0005-0000-0000-000013000000}"/>
    <cellStyle name="Normal 9 5" xfId="5" xr:uid="{00000000-0005-0000-0000-000014000000}"/>
    <cellStyle name="Normal_Debt Service" xfId="4" xr:uid="{00000000-0005-0000-0000-000015000000}"/>
    <cellStyle name="Normal_Elk River 2006 work papers 2" xfId="21" xr:uid="{00000000-0005-0000-0000-000016000000}"/>
    <cellStyle name="Percent" xfId="1" builtinId="5"/>
    <cellStyle name="Percent 2" xfId="17"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1"/>
  <sheetViews>
    <sheetView tabSelected="1" zoomScale="90" zoomScaleNormal="90" zoomScaleSheetLayoutView="85" workbookViewId="0"/>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319</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320</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2612964.6931366697</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0.99514155805390148</v>
      </c>
      <c r="H14" s="17"/>
      <c r="I14" s="17">
        <f>+G14*D14</f>
        <v>0</v>
      </c>
      <c r="J14" s="11"/>
      <c r="K14" s="11"/>
      <c r="L14" s="11"/>
      <c r="N14" s="11"/>
      <c r="O14" s="11"/>
      <c r="P14" s="11"/>
    </row>
    <row r="15" spans="1:18">
      <c r="A15" s="13">
        <v>3</v>
      </c>
      <c r="B15" s="9" t="s">
        <v>192</v>
      </c>
      <c r="C15" s="17" t="s">
        <v>169</v>
      </c>
      <c r="D15" s="17">
        <f>I268</f>
        <v>30358.79</v>
      </c>
      <c r="E15" s="17"/>
      <c r="F15" s="17" t="str">
        <f>+F14</f>
        <v>TP</v>
      </c>
      <c r="G15" s="27">
        <f>+G14</f>
        <v>0.99514155805390148</v>
      </c>
      <c r="H15" s="17"/>
      <c r="I15" s="17">
        <f>+G15*D15</f>
        <v>30211.293581231206</v>
      </c>
      <c r="J15" s="11"/>
      <c r="K15" s="11"/>
      <c r="N15" s="11"/>
      <c r="O15" s="11"/>
      <c r="P15" s="11"/>
    </row>
    <row r="16" spans="1:18">
      <c r="A16" s="13">
        <v>4</v>
      </c>
      <c r="B16" s="9" t="s">
        <v>13</v>
      </c>
      <c r="C16" s="17"/>
      <c r="D16" s="28">
        <v>0</v>
      </c>
      <c r="E16" s="17"/>
      <c r="F16" s="17" t="s">
        <v>12</v>
      </c>
      <c r="G16" s="27">
        <f>+G14</f>
        <v>0.99514155805390148</v>
      </c>
      <c r="H16" s="17"/>
      <c r="I16" s="17">
        <f>+G16*D16</f>
        <v>0</v>
      </c>
      <c r="J16" s="11"/>
      <c r="K16" s="11"/>
      <c r="L16" s="29"/>
      <c r="N16" s="11"/>
      <c r="O16" s="11"/>
      <c r="P16" s="11"/>
    </row>
    <row r="17" spans="1:16" ht="16.5" thickBot="1">
      <c r="A17" s="13">
        <v>5</v>
      </c>
      <c r="B17" s="9" t="s">
        <v>14</v>
      </c>
      <c r="C17" s="17"/>
      <c r="D17" s="28">
        <v>0</v>
      </c>
      <c r="E17" s="17"/>
      <c r="F17" s="17" t="s">
        <v>12</v>
      </c>
      <c r="G17" s="27">
        <f>+G14</f>
        <v>0.99514155805390148</v>
      </c>
      <c r="H17" s="17"/>
      <c r="I17" s="30">
        <f>+G17*D17</f>
        <v>0</v>
      </c>
      <c r="J17" s="11"/>
      <c r="K17" s="11"/>
      <c r="L17" s="29"/>
      <c r="N17" s="11"/>
      <c r="O17" s="11"/>
      <c r="P17" s="11"/>
    </row>
    <row r="18" spans="1:16">
      <c r="A18" s="13">
        <v>6</v>
      </c>
      <c r="B18" s="9" t="s">
        <v>15</v>
      </c>
      <c r="C18" s="11"/>
      <c r="D18" s="31" t="s">
        <v>2</v>
      </c>
      <c r="E18" s="17"/>
      <c r="F18" s="17"/>
      <c r="G18" s="27"/>
      <c r="H18" s="17"/>
      <c r="I18" s="17">
        <f>SUM(I14:I17)</f>
        <v>30211.293581231206</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2582753.3995554387</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+'MPW 12 CP Demand'!B23</f>
        <v>120869.16666666667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120869.16666666667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21.368174123994446</v>
      </c>
      <c r="E36" s="11"/>
      <c r="F36" s="11"/>
      <c r="G36" s="11"/>
      <c r="H36" s="11"/>
      <c r="J36" s="11"/>
      <c r="K36" s="11"/>
      <c r="L36" s="11"/>
      <c r="N36" s="11"/>
      <c r="O36" s="11"/>
      <c r="P36" s="11"/>
    </row>
    <row r="37" spans="1:16">
      <c r="A37" s="13">
        <v>17</v>
      </c>
      <c r="B37" s="9" t="s">
        <v>301</v>
      </c>
      <c r="C37" s="11"/>
      <c r="D37" s="39">
        <f>+D36/12</f>
        <v>1.7806811769995372</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0.41092642546143165</v>
      </c>
      <c r="E40" s="11"/>
      <c r="F40" s="11"/>
      <c r="G40" s="11"/>
      <c r="H40" s="11"/>
      <c r="I40" s="42">
        <f>+D36/52</f>
        <v>0.41092642546143165</v>
      </c>
      <c r="J40" s="11"/>
      <c r="K40" s="11"/>
      <c r="L40" s="11"/>
      <c r="N40" s="11"/>
      <c r="O40" s="11"/>
      <c r="P40" s="11"/>
    </row>
    <row r="41" spans="1:16">
      <c r="A41" s="13">
        <v>19</v>
      </c>
      <c r="B41" s="9" t="s">
        <v>31</v>
      </c>
      <c r="C41" s="11" t="s">
        <v>249</v>
      </c>
      <c r="D41" s="39">
        <f>+D36/260</f>
        <v>8.2185285092286328E-2</v>
      </c>
      <c r="E41" s="11" t="s">
        <v>32</v>
      </c>
      <c r="G41" s="11"/>
      <c r="H41" s="11"/>
      <c r="I41" s="42">
        <f>+D36/365</f>
        <v>5.8542942805464238E-2</v>
      </c>
      <c r="J41" s="11"/>
      <c r="K41" s="11"/>
      <c r="L41" s="11"/>
      <c r="N41" s="11"/>
      <c r="O41" s="11"/>
      <c r="P41" s="11"/>
    </row>
    <row r="42" spans="1:16">
      <c r="A42" s="13">
        <v>20</v>
      </c>
      <c r="B42" s="9" t="s">
        <v>33</v>
      </c>
      <c r="C42" s="11" t="s">
        <v>250</v>
      </c>
      <c r="D42" s="39">
        <f>+D36/4160*1000</f>
        <v>5.1365803182678951</v>
      </c>
      <c r="E42" s="11" t="s">
        <v>34</v>
      </c>
      <c r="G42" s="11"/>
      <c r="H42" s="11"/>
      <c r="I42" s="42">
        <f>+D36/8760*1000</f>
        <v>2.4392892835610098</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12/31/2016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MUSCATINE POWER AND WATER</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+'Plant &amp; Depr'!H26</f>
        <v>335729592.26000005</v>
      </c>
      <c r="E83" s="17"/>
      <c r="F83" s="17" t="s">
        <v>52</v>
      </c>
      <c r="G83" s="53" t="s">
        <v>2</v>
      </c>
      <c r="H83" s="17"/>
      <c r="I83" s="17" t="s">
        <v>2</v>
      </c>
      <c r="J83" s="17"/>
      <c r="K83" s="17"/>
      <c r="L83" s="9"/>
      <c r="O83" s="17"/>
      <c r="P83" s="9"/>
    </row>
    <row r="84" spans="1:16">
      <c r="A84" s="13">
        <v>2</v>
      </c>
      <c r="B84" s="9" t="s">
        <v>53</v>
      </c>
      <c r="C84" s="17" t="s">
        <v>252</v>
      </c>
      <c r="D84" s="52">
        <f>+'Plant &amp; Depr'!H36</f>
        <v>12220900.610000003</v>
      </c>
      <c r="E84" s="17"/>
      <c r="F84" s="17" t="s">
        <v>12</v>
      </c>
      <c r="G84" s="53">
        <f>I220</f>
        <v>0.99514155805390148</v>
      </c>
      <c r="H84" s="17"/>
      <c r="I84" s="17">
        <f>+G84*D84</f>
        <v>12161526.073857278</v>
      </c>
      <c r="J84" s="17"/>
      <c r="K84" s="17"/>
      <c r="L84" s="9"/>
      <c r="O84" s="17"/>
      <c r="P84" s="9"/>
    </row>
    <row r="85" spans="1:16">
      <c r="A85" s="13">
        <v>3</v>
      </c>
      <c r="B85" s="9" t="s">
        <v>54</v>
      </c>
      <c r="C85" s="17" t="s">
        <v>253</v>
      </c>
      <c r="D85" s="52">
        <f>+'Plant &amp; Depr'!H55</f>
        <v>51964945.759999998</v>
      </c>
      <c r="E85" s="17"/>
      <c r="F85" s="17" t="s">
        <v>52</v>
      </c>
      <c r="G85" s="53" t="s">
        <v>2</v>
      </c>
      <c r="H85" s="17"/>
      <c r="I85" s="17" t="s">
        <v>2</v>
      </c>
      <c r="J85" s="17"/>
      <c r="K85" s="17"/>
      <c r="L85" s="9"/>
      <c r="O85" s="17"/>
      <c r="P85" s="9"/>
    </row>
    <row r="86" spans="1:16">
      <c r="A86" s="13">
        <v>4</v>
      </c>
      <c r="B86" s="9" t="s">
        <v>55</v>
      </c>
      <c r="C86" s="17" t="s">
        <v>282</v>
      </c>
      <c r="D86" s="52">
        <f>+'Plant &amp; Depr'!H73</f>
        <v>20944722.709999997</v>
      </c>
      <c r="E86" s="17"/>
      <c r="F86" s="17" t="s">
        <v>56</v>
      </c>
      <c r="G86" s="53">
        <f>I236</f>
        <v>7.0677057394514187E-2</v>
      </c>
      <c r="H86" s="17"/>
      <c r="I86" s="17">
        <f>+G86*D86</f>
        <v>1480311.3690868546</v>
      </c>
      <c r="J86" s="17"/>
      <c r="K86" s="17"/>
      <c r="L86" s="9"/>
      <c r="O86" s="13"/>
      <c r="P86" s="9"/>
    </row>
    <row r="87" spans="1:16" ht="16.5" thickBot="1">
      <c r="A87" s="13">
        <v>5</v>
      </c>
      <c r="B87" s="9" t="s">
        <v>57</v>
      </c>
      <c r="C87" s="17"/>
      <c r="D87" s="54">
        <v>0</v>
      </c>
      <c r="E87" s="17"/>
      <c r="F87" s="17" t="s">
        <v>58</v>
      </c>
      <c r="G87" s="53">
        <f>K240</f>
        <v>7.0677057394514187E-2</v>
      </c>
      <c r="H87" s="17"/>
      <c r="I87" s="30">
        <f>+G87*D87</f>
        <v>0</v>
      </c>
      <c r="J87" s="17"/>
      <c r="K87" s="17"/>
      <c r="L87" s="9"/>
      <c r="O87" s="13"/>
      <c r="P87" s="9"/>
    </row>
    <row r="88" spans="1:16">
      <c r="A88" s="13">
        <v>6</v>
      </c>
      <c r="B88" s="9" t="s">
        <v>212</v>
      </c>
      <c r="C88" s="17"/>
      <c r="D88" s="17">
        <f>SUM(D83:D87)</f>
        <v>420860161.34000003</v>
      </c>
      <c r="E88" s="17"/>
      <c r="F88" s="17" t="s">
        <v>59</v>
      </c>
      <c r="G88" s="55">
        <f>IF(I88&gt;0,I88/D88,0)</f>
        <v>3.2414180994250273E-2</v>
      </c>
      <c r="H88" s="17"/>
      <c r="I88" s="17">
        <f>SUM(I83:I87)</f>
        <v>13641837.442944132</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+'Plant &amp; Depr'!Q26</f>
        <v>276339676.38</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+'Plant &amp; Depr'!Q36</f>
        <v>10711796.040000001</v>
      </c>
      <c r="E92" s="17"/>
      <c r="F92" s="17" t="str">
        <f t="shared" si="0"/>
        <v>TP</v>
      </c>
      <c r="G92" s="53">
        <f t="shared" si="0"/>
        <v>0.99514155805390148</v>
      </c>
      <c r="H92" s="17"/>
      <c r="I92" s="17">
        <f>+G92*D92</f>
        <v>10659753.400801213</v>
      </c>
      <c r="J92" s="17"/>
      <c r="K92" s="17"/>
      <c r="L92" s="9"/>
      <c r="N92" s="17"/>
      <c r="O92" s="17"/>
      <c r="P92" s="9"/>
    </row>
    <row r="93" spans="1:16">
      <c r="A93" s="13">
        <v>9</v>
      </c>
      <c r="B93" s="9" t="str">
        <f>+B85</f>
        <v xml:space="preserve">  Distribution</v>
      </c>
      <c r="D93" s="56">
        <f>+'Plant &amp; Depr'!Q55</f>
        <v>42303677.959999993</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+'Plant &amp; Depr'!Q73</f>
        <v>20371527.819999997</v>
      </c>
      <c r="E94" s="17"/>
      <c r="F94" s="17" t="str">
        <f t="shared" si="0"/>
        <v>W/S</v>
      </c>
      <c r="G94" s="53">
        <f t="shared" si="0"/>
        <v>7.0677057394514187E-2</v>
      </c>
      <c r="H94" s="17"/>
      <c r="I94" s="17">
        <f>+G94*D94</f>
        <v>1439799.6409480823</v>
      </c>
      <c r="J94" s="17"/>
      <c r="K94" s="17"/>
      <c r="L94" s="9"/>
      <c r="N94" s="17"/>
      <c r="O94" s="13"/>
      <c r="P94" s="9"/>
    </row>
    <row r="95" spans="1:16" ht="16.5" thickBot="1">
      <c r="A95" s="13">
        <v>11</v>
      </c>
      <c r="B95" s="9" t="str">
        <f>+B87</f>
        <v xml:space="preserve">  Common</v>
      </c>
      <c r="C95" s="17"/>
      <c r="D95" s="54">
        <v>0</v>
      </c>
      <c r="E95" s="17"/>
      <c r="F95" s="17" t="str">
        <f t="shared" si="0"/>
        <v>CE</v>
      </c>
      <c r="G95" s="53">
        <f t="shared" si="0"/>
        <v>7.0677057394514187E-2</v>
      </c>
      <c r="H95" s="17"/>
      <c r="I95" s="30">
        <f>+G95*D95</f>
        <v>0</v>
      </c>
      <c r="J95" s="17"/>
      <c r="K95" s="17"/>
      <c r="L95" s="9"/>
      <c r="N95" s="17"/>
      <c r="O95" s="13"/>
      <c r="P95" s="9"/>
    </row>
    <row r="96" spans="1:16">
      <c r="A96" s="13">
        <v>12</v>
      </c>
      <c r="B96" s="9" t="s">
        <v>213</v>
      </c>
      <c r="C96" s="17"/>
      <c r="D96" s="17">
        <f>SUM(D91:D95)</f>
        <v>349726678.19999999</v>
      </c>
      <c r="E96" s="17"/>
      <c r="F96" s="17"/>
      <c r="G96" s="17"/>
      <c r="H96" s="17"/>
      <c r="I96" s="17">
        <f>SUM(I91:I95)</f>
        <v>12099553.041749295</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59389915.880000055</v>
      </c>
      <c r="E99" s="17"/>
      <c r="F99" s="17"/>
      <c r="G99" s="55"/>
      <c r="H99" s="17"/>
      <c r="I99" s="17" t="s">
        <v>2</v>
      </c>
      <c r="J99" s="17"/>
      <c r="K99" s="55"/>
      <c r="L99" s="9"/>
      <c r="N99" s="17"/>
      <c r="O99" s="17"/>
      <c r="P99" s="9"/>
    </row>
    <row r="100" spans="1:16">
      <c r="A100" s="13">
        <v>14</v>
      </c>
      <c r="B100" s="9" t="str">
        <f>+B92</f>
        <v xml:space="preserve">  Transmission</v>
      </c>
      <c r="C100" s="17" t="s">
        <v>215</v>
      </c>
      <c r="D100" s="17">
        <f>D84-D92</f>
        <v>1509104.5700000022</v>
      </c>
      <c r="E100" s="17"/>
      <c r="F100" s="17"/>
      <c r="G100" s="53"/>
      <c r="H100" s="17"/>
      <c r="I100" s="17">
        <f>I84-I92</f>
        <v>1501772.6730560642</v>
      </c>
      <c r="J100" s="17"/>
      <c r="K100" s="55"/>
      <c r="L100" s="9"/>
      <c r="N100" s="17"/>
      <c r="O100" s="17"/>
      <c r="P100" s="9"/>
    </row>
    <row r="101" spans="1:16">
      <c r="A101" s="13">
        <v>15</v>
      </c>
      <c r="B101" s="9" t="str">
        <f>+B93</f>
        <v xml:space="preserve">  Distribution</v>
      </c>
      <c r="C101" s="17" t="s">
        <v>216</v>
      </c>
      <c r="D101" s="17">
        <f>D85-D93</f>
        <v>9661267.8000000045</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573194.8900000006</v>
      </c>
      <c r="E102" s="17"/>
      <c r="F102" s="17"/>
      <c r="G102" s="55"/>
      <c r="H102" s="17"/>
      <c r="I102" s="17">
        <f>I86-I94</f>
        <v>40511.728138772305</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71133483.14000006</v>
      </c>
      <c r="E104" s="17"/>
      <c r="F104" s="17" t="s">
        <v>61</v>
      </c>
      <c r="G104" s="55">
        <f>IF(I104&gt;0,I104/D104,0)</f>
        <v>2.1681553230838108E-2</v>
      </c>
      <c r="H104" s="17"/>
      <c r="I104" s="17">
        <f>SUM(I99:I103)</f>
        <v>1542284.4011948365</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2.1681553230838108E-2</v>
      </c>
      <c r="H108" s="17"/>
      <c r="I108" s="17">
        <f>D108*G108</f>
        <v>0</v>
      </c>
      <c r="J108" s="17"/>
      <c r="K108" s="55"/>
      <c r="L108" s="9"/>
      <c r="N108" s="55"/>
      <c r="O108" s="13"/>
      <c r="P108" s="9"/>
    </row>
    <row r="109" spans="1:16">
      <c r="A109" s="13">
        <v>21</v>
      </c>
      <c r="B109" s="9" t="s">
        <v>65</v>
      </c>
      <c r="C109" s="17"/>
      <c r="D109" s="52">
        <v>0</v>
      </c>
      <c r="E109" s="17"/>
      <c r="F109" s="17" t="s">
        <v>63</v>
      </c>
      <c r="G109" s="53">
        <f>+G108</f>
        <v>2.1681553230838108E-2</v>
      </c>
      <c r="H109" s="17"/>
      <c r="I109" s="17">
        <f>D109*G109</f>
        <v>0</v>
      </c>
      <c r="J109" s="17"/>
      <c r="K109" s="55"/>
      <c r="L109" s="9"/>
      <c r="N109" s="55"/>
      <c r="O109" s="13"/>
      <c r="P109" s="9"/>
    </row>
    <row r="110" spans="1:16">
      <c r="A110" s="13">
        <v>22</v>
      </c>
      <c r="B110" s="9" t="s">
        <v>66</v>
      </c>
      <c r="C110" s="17"/>
      <c r="D110" s="52">
        <v>0</v>
      </c>
      <c r="E110" s="17"/>
      <c r="F110" s="17" t="str">
        <f>+F109</f>
        <v>NP</v>
      </c>
      <c r="G110" s="53">
        <f>+G109</f>
        <v>2.1681553230838108E-2</v>
      </c>
      <c r="H110" s="17"/>
      <c r="I110" s="17">
        <f>D110*G110</f>
        <v>0</v>
      </c>
      <c r="J110" s="17"/>
      <c r="K110" s="55"/>
      <c r="L110" s="9"/>
      <c r="N110" s="55"/>
      <c r="O110" s="13"/>
      <c r="P110" s="9"/>
    </row>
    <row r="111" spans="1:16" ht="16.5" thickBot="1">
      <c r="A111" s="13">
        <v>23</v>
      </c>
      <c r="B111" s="6" t="s">
        <v>67</v>
      </c>
      <c r="D111" s="54">
        <v>0</v>
      </c>
      <c r="E111" s="17"/>
      <c r="F111" s="17" t="s">
        <v>63</v>
      </c>
      <c r="G111" s="53">
        <f>+G109</f>
        <v>2.1681553230838108E-2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0.99514155805390148</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1633896.9925000002</v>
      </c>
      <c r="E117" s="17"/>
      <c r="F117" s="17"/>
      <c r="G117" s="55"/>
      <c r="H117" s="17"/>
      <c r="I117" s="17">
        <f>I158/8</f>
        <v>243473.58855956022</v>
      </c>
      <c r="J117" s="11"/>
      <c r="K117" s="55"/>
      <c r="L117" s="9"/>
      <c r="N117" s="59"/>
      <c r="O117" s="10"/>
      <c r="P117" s="9"/>
    </row>
    <row r="118" spans="1:16">
      <c r="A118" s="13">
        <v>27</v>
      </c>
      <c r="B118" s="9" t="s">
        <v>73</v>
      </c>
      <c r="C118" s="6" t="s">
        <v>221</v>
      </c>
      <c r="D118" s="56">
        <f>+'Matl &amp; Supplies'!B10</f>
        <v>249725.04</v>
      </c>
      <c r="E118" s="17"/>
      <c r="F118" s="17" t="s">
        <v>74</v>
      </c>
      <c r="G118" s="53">
        <f>I229</f>
        <v>0.78134965603457673</v>
      </c>
      <c r="H118" s="17"/>
      <c r="I118" s="17">
        <f>G118*D118</f>
        <v>195122.57410722092</v>
      </c>
      <c r="J118" s="17" t="s">
        <v>2</v>
      </c>
      <c r="K118" s="55"/>
      <c r="L118" s="9"/>
      <c r="N118" s="59"/>
      <c r="O118" s="13"/>
      <c r="P118" s="9"/>
    </row>
    <row r="119" spans="1:16" ht="16.5" thickBot="1">
      <c r="A119" s="13">
        <v>28</v>
      </c>
      <c r="B119" s="9" t="s">
        <v>75</v>
      </c>
      <c r="C119" s="6" t="s">
        <v>255</v>
      </c>
      <c r="D119" s="54">
        <f>+Prepayments!B16</f>
        <v>848788.55</v>
      </c>
      <c r="E119" s="17"/>
      <c r="F119" s="17" t="s">
        <v>76</v>
      </c>
      <c r="G119" s="53">
        <f>+G88</f>
        <v>3.2414180994250273E-2</v>
      </c>
      <c r="H119" s="17"/>
      <c r="I119" s="30">
        <f>+G119*D119</f>
        <v>27512.785685547249</v>
      </c>
      <c r="J119" s="17"/>
      <c r="K119" s="55"/>
      <c r="L119" s="9"/>
      <c r="N119" s="59"/>
      <c r="O119" s="13"/>
      <c r="P119" s="9"/>
    </row>
    <row r="120" spans="1:16">
      <c r="A120" s="13">
        <v>29</v>
      </c>
      <c r="B120" s="9" t="s">
        <v>222</v>
      </c>
      <c r="C120" s="11"/>
      <c r="D120" s="17">
        <f>D117+D118+D119</f>
        <v>2732410.5825000005</v>
      </c>
      <c r="E120" s="11"/>
      <c r="F120" s="11"/>
      <c r="G120" s="11"/>
      <c r="H120" s="11"/>
      <c r="I120" s="17">
        <f>I117+I118+I119</f>
        <v>466108.94835232839</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73865893.722500056</v>
      </c>
      <c r="E122" s="17"/>
      <c r="F122" s="17"/>
      <c r="G122" s="55"/>
      <c r="H122" s="17"/>
      <c r="I122" s="61">
        <f>+I120+I114+I112+I104</f>
        <v>2008393.349547165</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12/31/2016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MUSCATINE POWER AND WATER</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 O&amp;M'!C37</f>
        <v>2519775.3400000008</v>
      </c>
      <c r="E149" s="17"/>
      <c r="F149" s="17" t="s">
        <v>74</v>
      </c>
      <c r="G149" s="53">
        <f>I229</f>
        <v>0.78134965603457673</v>
      </c>
      <c r="H149" s="17"/>
      <c r="I149" s="17">
        <f t="shared" ref="I149:I157" si="1">+G149*D149</f>
        <v>1968825.5951934094</v>
      </c>
      <c r="J149" s="11"/>
      <c r="K149" s="17"/>
      <c r="L149" s="9"/>
      <c r="N149" s="17"/>
      <c r="O149" s="13"/>
      <c r="P149" s="17" t="s">
        <v>2</v>
      </c>
    </row>
    <row r="150" spans="1:16">
      <c r="A150" s="63" t="s">
        <v>190</v>
      </c>
      <c r="B150" s="64" t="s">
        <v>223</v>
      </c>
      <c r="C150" s="1"/>
      <c r="D150" s="56">
        <f>+'Transmission O&amp;M'!C12+'Transmission O&amp;M'!C16</f>
        <v>151640.41</v>
      </c>
      <c r="E150" s="17"/>
      <c r="F150" s="65"/>
      <c r="G150" s="53">
        <v>1</v>
      </c>
      <c r="H150" s="17"/>
      <c r="I150" s="17">
        <f>+G150*D150</f>
        <v>151640.41</v>
      </c>
      <c r="J150" s="11"/>
      <c r="K150" s="17"/>
      <c r="L150" s="9"/>
      <c r="N150" s="17"/>
      <c r="O150" s="13"/>
      <c r="P150" s="17"/>
    </row>
    <row r="151" spans="1:16">
      <c r="A151" s="13">
        <v>2</v>
      </c>
      <c r="B151" s="9" t="s">
        <v>79</v>
      </c>
      <c r="C151" s="6" t="s">
        <v>2</v>
      </c>
      <c r="D151" s="56">
        <f>+'Transmission O&amp;M'!C20</f>
        <v>880652.95</v>
      </c>
      <c r="E151" s="17"/>
      <c r="F151" s="17" t="s">
        <v>74</v>
      </c>
      <c r="G151" s="53">
        <f>+G149</f>
        <v>0.78134965603457673</v>
      </c>
      <c r="H151" s="17"/>
      <c r="I151" s="17">
        <f t="shared" si="1"/>
        <v>688097.87956833525</v>
      </c>
      <c r="J151" s="11"/>
      <c r="K151" s="17"/>
      <c r="L151" s="9"/>
      <c r="N151" s="17"/>
      <c r="O151" s="13"/>
      <c r="P151" s="17"/>
    </row>
    <row r="152" spans="1:16">
      <c r="A152" s="13">
        <v>3</v>
      </c>
      <c r="B152" s="9" t="s">
        <v>80</v>
      </c>
      <c r="C152" s="6" t="s">
        <v>257</v>
      </c>
      <c r="D152" s="56">
        <f>+'Admin &amp; General'!B47</f>
        <v>11637452.33</v>
      </c>
      <c r="E152" s="17"/>
      <c r="F152" s="17" t="s">
        <v>56</v>
      </c>
      <c r="G152" s="53">
        <f>I236</f>
        <v>7.0677057394514187E-2</v>
      </c>
      <c r="H152" s="17"/>
      <c r="I152" s="17">
        <f t="shared" si="1"/>
        <v>822500.88625333284</v>
      </c>
      <c r="J152" s="17"/>
      <c r="K152" s="17" t="s">
        <v>2</v>
      </c>
      <c r="L152" s="9"/>
      <c r="N152" s="17"/>
      <c r="O152" s="13"/>
      <c r="P152" s="9"/>
    </row>
    <row r="153" spans="1:16">
      <c r="A153" s="13">
        <v>4</v>
      </c>
      <c r="B153" s="9" t="s">
        <v>81</v>
      </c>
      <c r="C153" s="17"/>
      <c r="D153" s="56">
        <f>+'FERC Fees'!C13</f>
        <v>53758.37</v>
      </c>
      <c r="E153" s="17"/>
      <c r="F153" s="17" t="str">
        <f>+F152</f>
        <v>W/S</v>
      </c>
      <c r="G153" s="53">
        <f>I236</f>
        <v>7.0677057394514187E-2</v>
      </c>
      <c r="H153" s="17"/>
      <c r="I153" s="17">
        <f t="shared" si="1"/>
        <v>3799.48340192553</v>
      </c>
      <c r="J153" s="17"/>
      <c r="K153" s="17"/>
      <c r="L153" s="9"/>
      <c r="N153" s="17"/>
      <c r="O153" s="13"/>
      <c r="P153" s="9"/>
    </row>
    <row r="154" spans="1:16">
      <c r="A154" s="13">
        <v>5</v>
      </c>
      <c r="B154" s="9" t="s">
        <v>224</v>
      </c>
      <c r="C154" s="17"/>
      <c r="D154" s="56">
        <v>0</v>
      </c>
      <c r="E154" s="17"/>
      <c r="F154" s="17" t="str">
        <f>+F153</f>
        <v>W/S</v>
      </c>
      <c r="G154" s="53">
        <f>I236</f>
        <v>7.0677057394514187E-2</v>
      </c>
      <c r="H154" s="17"/>
      <c r="I154" s="17">
        <f t="shared" si="1"/>
        <v>0</v>
      </c>
      <c r="J154" s="17"/>
      <c r="K154" s="17"/>
      <c r="L154" s="9"/>
      <c r="N154" s="17"/>
      <c r="O154" s="13"/>
      <c r="P154" s="9"/>
    </row>
    <row r="155" spans="1:16">
      <c r="A155" s="13" t="s">
        <v>178</v>
      </c>
      <c r="B155" s="9" t="s">
        <v>225</v>
      </c>
      <c r="C155" s="17"/>
      <c r="D155" s="56">
        <v>0</v>
      </c>
      <c r="E155" s="17"/>
      <c r="F155" s="17" t="str">
        <f>+F149</f>
        <v>TE</v>
      </c>
      <c r="G155" s="53">
        <f>+G149</f>
        <v>0.78134965603457673</v>
      </c>
      <c r="H155" s="17"/>
      <c r="I155" s="17">
        <f t="shared" si="1"/>
        <v>0</v>
      </c>
      <c r="J155" s="17"/>
      <c r="K155" s="17"/>
      <c r="L155" s="9"/>
      <c r="N155" s="17"/>
      <c r="O155" s="13"/>
      <c r="P155" s="9"/>
    </row>
    <row r="156" spans="1:16">
      <c r="A156" s="13">
        <v>6</v>
      </c>
      <c r="B156" s="9" t="s">
        <v>57</v>
      </c>
      <c r="C156" s="17"/>
      <c r="D156" s="56">
        <v>0</v>
      </c>
      <c r="E156" s="17"/>
      <c r="F156" s="17" t="s">
        <v>58</v>
      </c>
      <c r="G156" s="53">
        <f>K240</f>
        <v>7.0677057394514187E-2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13071175.940000001</v>
      </c>
      <c r="E158" s="5"/>
      <c r="F158" s="5"/>
      <c r="G158" s="5"/>
      <c r="H158" s="5"/>
      <c r="I158" s="5">
        <f>+I149-I151+I152-I153-I154+I155+I156+I157-I150</f>
        <v>1947788.7084764817</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+'Plant &amp; Depr'!M36</f>
        <v>372864.96</v>
      </c>
      <c r="E161" s="17"/>
      <c r="F161" s="17" t="s">
        <v>12</v>
      </c>
      <c r="G161" s="53">
        <f>+G114</f>
        <v>0.99514155805390148</v>
      </c>
      <c r="H161" s="17"/>
      <c r="I161" s="17">
        <f>+G161*D161</f>
        <v>371053.41723810567</v>
      </c>
      <c r="J161" s="17"/>
      <c r="K161" s="55"/>
      <c r="L161" s="9"/>
      <c r="N161" s="17"/>
      <c r="O161" s="13"/>
      <c r="P161" s="17" t="s">
        <v>2</v>
      </c>
    </row>
    <row r="162" spans="1:16">
      <c r="A162" s="13">
        <v>10</v>
      </c>
      <c r="B162" s="9" t="s">
        <v>286</v>
      </c>
      <c r="C162" s="6" t="s">
        <v>2</v>
      </c>
      <c r="D162" s="56">
        <f>+'Plant &amp; Depr'!M73</f>
        <v>2408.52</v>
      </c>
      <c r="E162" s="17"/>
      <c r="F162" s="17" t="s">
        <v>56</v>
      </c>
      <c r="G162" s="53">
        <f>+G152</f>
        <v>7.0677057394514187E-2</v>
      </c>
      <c r="H162" s="17"/>
      <c r="I162" s="17">
        <f>+G162*D162</f>
        <v>170.2271062758353</v>
      </c>
      <c r="J162" s="17"/>
      <c r="K162" s="55"/>
      <c r="L162" s="9"/>
      <c r="N162" s="17"/>
      <c r="O162" s="13"/>
      <c r="P162" s="17" t="s">
        <v>2</v>
      </c>
    </row>
    <row r="163" spans="1:16" ht="16.5" thickBot="1">
      <c r="A163" s="13">
        <v>11</v>
      </c>
      <c r="B163" s="9" t="str">
        <f>+B156</f>
        <v xml:space="preserve">  Common</v>
      </c>
      <c r="C163" s="17"/>
      <c r="D163" s="54">
        <v>0</v>
      </c>
      <c r="E163" s="17"/>
      <c r="F163" s="17" t="s">
        <v>58</v>
      </c>
      <c r="G163" s="53">
        <f>+G156</f>
        <v>7.0677057394514187E-2</v>
      </c>
      <c r="H163" s="17"/>
      <c r="I163" s="30">
        <f>+G163*D163</f>
        <v>0</v>
      </c>
      <c r="J163" s="17"/>
      <c r="K163" s="55"/>
      <c r="L163" s="9"/>
      <c r="N163" s="17"/>
      <c r="O163" s="13"/>
      <c r="P163" s="17" t="s">
        <v>2</v>
      </c>
    </row>
    <row r="164" spans="1:16">
      <c r="A164" s="13">
        <v>12</v>
      </c>
      <c r="B164" s="9" t="s">
        <v>226</v>
      </c>
      <c r="C164" s="17"/>
      <c r="D164" s="17">
        <f>SUM(D161:D163)</f>
        <v>375273.48000000004</v>
      </c>
      <c r="E164" s="17"/>
      <c r="F164" s="17"/>
      <c r="G164" s="17"/>
      <c r="H164" s="17"/>
      <c r="I164" s="17">
        <f>SUM(I161:I163)</f>
        <v>371223.64434438152</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+'Taxes other than inc tax'!E6</f>
        <v>1226510.4099999999</v>
      </c>
      <c r="E168" s="17"/>
      <c r="F168" s="17" t="s">
        <v>56</v>
      </c>
      <c r="G168" s="27">
        <f>+G162</f>
        <v>7.0677057394514187E-2</v>
      </c>
      <c r="H168" s="17"/>
      <c r="I168" s="17">
        <f>+G168*D168</f>
        <v>86686.146642539126</v>
      </c>
      <c r="J168" s="17"/>
      <c r="K168" s="55"/>
      <c r="L168" s="9"/>
      <c r="N168" s="59"/>
      <c r="O168" s="13"/>
      <c r="P168" s="9"/>
    </row>
    <row r="169" spans="1:16">
      <c r="A169" s="13">
        <v>14</v>
      </c>
      <c r="B169" s="9" t="s">
        <v>85</v>
      </c>
      <c r="C169" s="17"/>
      <c r="D169" s="56">
        <v>0</v>
      </c>
      <c r="E169" s="17"/>
      <c r="F169" s="17" t="str">
        <f>+F168</f>
        <v>W/S</v>
      </c>
      <c r="G169" s="27">
        <f>+G168</f>
        <v>7.0677057394514187E-2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3.2414180994250273E-2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3.2414180994250273E-2</v>
      </c>
      <c r="H173" s="17"/>
      <c r="I173" s="17">
        <f>+G173*D173</f>
        <v>0</v>
      </c>
      <c r="J173" s="17"/>
      <c r="K173" s="55"/>
      <c r="L173" s="9"/>
      <c r="N173" s="59"/>
      <c r="O173" s="13"/>
      <c r="P173" s="9"/>
    </row>
    <row r="174" spans="1:16" ht="16.5" thickBot="1">
      <c r="A174" s="13">
        <v>19</v>
      </c>
      <c r="B174" s="9" t="s">
        <v>90</v>
      </c>
      <c r="C174" s="17"/>
      <c r="D174" s="54">
        <v>0</v>
      </c>
      <c r="E174" s="17"/>
      <c r="F174" s="17" t="s">
        <v>76</v>
      </c>
      <c r="G174" s="27">
        <f>+G173</f>
        <v>3.2414180994250273E-2</v>
      </c>
      <c r="H174" s="17"/>
      <c r="I174" s="30">
        <f>+G174*D174</f>
        <v>0</v>
      </c>
      <c r="J174" s="17"/>
      <c r="K174" s="55"/>
      <c r="L174" s="9"/>
      <c r="N174" s="59"/>
      <c r="O174" s="13"/>
      <c r="P174" s="9"/>
    </row>
    <row r="175" spans="1:16">
      <c r="A175" s="13">
        <v>20</v>
      </c>
      <c r="B175" s="9" t="s">
        <v>91</v>
      </c>
      <c r="C175" s="17"/>
      <c r="D175" s="17">
        <f>SUM(D168:D174)</f>
        <v>1226510.4099999999</v>
      </c>
      <c r="E175" s="17"/>
      <c r="F175" s="17"/>
      <c r="G175" s="27"/>
      <c r="H175" s="17"/>
      <c r="I175" s="17">
        <f>SUM(I168:I174)</f>
        <v>86686.146642539126</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2.1681553230838108E-2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7622960.2321620062</v>
      </c>
      <c r="E189" s="17"/>
      <c r="F189" s="17" t="s">
        <v>52</v>
      </c>
      <c r="G189" s="70"/>
      <c r="H189" s="17"/>
      <c r="I189" s="17">
        <f>+$I250*I122</f>
        <v>207266.19367326744</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22295920.062162008</v>
      </c>
      <c r="E192" s="17"/>
      <c r="F192" s="17"/>
      <c r="G192" s="17"/>
      <c r="H192" s="17"/>
      <c r="I192" s="76">
        <f>+I189+I187+I175+I164+I158</f>
        <v>2612964.6931366697</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22295920.062162008</v>
      </c>
      <c r="E201" s="1"/>
      <c r="F201" s="1"/>
      <c r="G201" s="1"/>
      <c r="H201" s="1"/>
      <c r="I201" s="79">
        <f>+I192-I196-I200</f>
        <v>2612964.6931366697</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12/31/2016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MUSCATINE POWER AND WATER</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12220900.610000003</v>
      </c>
      <c r="J215" s="17"/>
      <c r="K215" s="17"/>
      <c r="L215" s="9"/>
      <c r="N215" s="11"/>
      <c r="O215" s="17"/>
      <c r="P215" s="9"/>
    </row>
    <row r="216" spans="1:17">
      <c r="A216" s="13">
        <v>2</v>
      </c>
      <c r="B216" s="11" t="s">
        <v>230</v>
      </c>
      <c r="I216" s="56">
        <f>+'Radial Line Allocation'!B22</f>
        <v>59374.536142725316</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12161526.073857278</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0.99514155805390148</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2519775.3400000008</v>
      </c>
      <c r="J223" s="17"/>
      <c r="K223" s="17"/>
      <c r="L223" s="391"/>
      <c r="M223" s="391"/>
      <c r="N223" s="391"/>
      <c r="O223" s="391"/>
      <c r="P223" s="391"/>
      <c r="Q223" s="391"/>
    </row>
    <row r="224" spans="1:17" ht="16.5" thickBot="1">
      <c r="A224" s="13">
        <v>7</v>
      </c>
      <c r="B224" s="86" t="s">
        <v>234</v>
      </c>
      <c r="C224" s="86"/>
      <c r="D224" s="76"/>
      <c r="E224" s="76"/>
      <c r="F224" s="17"/>
      <c r="G224" s="17"/>
      <c r="H224" s="17"/>
      <c r="I224" s="54">
        <f>+'Transmission O&amp;M'!C8+'Transmission O&amp;M'!C9+'Transmission O&amp;M'!C10+'Transmission O&amp;M'!C11</f>
        <v>541337.62</v>
      </c>
      <c r="J224" s="17"/>
      <c r="K224" s="17"/>
      <c r="L224" s="4"/>
      <c r="M224" s="90"/>
      <c r="N224" s="91"/>
      <c r="O224" s="92"/>
      <c r="P224" s="93"/>
      <c r="Q224" s="88"/>
    </row>
    <row r="225" spans="1:17">
      <c r="A225" s="13">
        <v>8</v>
      </c>
      <c r="B225" s="11" t="s">
        <v>259</v>
      </c>
      <c r="C225" s="22"/>
      <c r="D225" s="87"/>
      <c r="E225" s="87"/>
      <c r="F225" s="87"/>
      <c r="G225" s="46"/>
      <c r="H225" s="87"/>
      <c r="I225" s="17">
        <f>+I223-I224</f>
        <v>1978437.7200000007</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0.78516433135662012</v>
      </c>
      <c r="J227" s="17"/>
      <c r="K227" s="17"/>
      <c r="L227" s="95"/>
      <c r="M227" s="96"/>
      <c r="N227" s="95"/>
      <c r="O227" s="95"/>
      <c r="P227" s="95"/>
      <c r="Q227" s="95"/>
    </row>
    <row r="228" spans="1:17">
      <c r="A228" s="13">
        <v>10</v>
      </c>
      <c r="B228" s="11" t="s">
        <v>236</v>
      </c>
      <c r="C228" s="11"/>
      <c r="D228" s="17"/>
      <c r="E228" s="17"/>
      <c r="F228" s="17"/>
      <c r="G228" s="17"/>
      <c r="H228" s="11" t="s">
        <v>12</v>
      </c>
      <c r="I228" s="97">
        <f>I220</f>
        <v>0.99514155805390148</v>
      </c>
      <c r="J228" s="17"/>
      <c r="K228" s="17"/>
      <c r="L228" s="4"/>
      <c r="M228" s="98"/>
      <c r="N228" s="92"/>
      <c r="O228" s="93"/>
      <c r="P228" s="88"/>
      <c r="Q228" s="88"/>
    </row>
    <row r="229" spans="1:17">
      <c r="A229" s="13">
        <v>11</v>
      </c>
      <c r="B229" s="11" t="s">
        <v>237</v>
      </c>
      <c r="C229" s="11"/>
      <c r="D229" s="11"/>
      <c r="E229" s="11"/>
      <c r="F229" s="11"/>
      <c r="G229" s="11"/>
      <c r="H229" s="11" t="s">
        <v>106</v>
      </c>
      <c r="I229" s="99">
        <f>+I228*I227</f>
        <v>0.78134965603457673</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+'Wage &amp; Salaries'!B7</f>
        <v>7993601.3500000015</v>
      </c>
      <c r="E232" s="101">
        <v>0</v>
      </c>
      <c r="F232" s="101"/>
      <c r="G232" s="17">
        <f>D232*E232</f>
        <v>0</v>
      </c>
      <c r="H232" s="17"/>
      <c r="I232" s="17"/>
      <c r="J232" s="17"/>
      <c r="K232" s="17"/>
      <c r="L232" s="4"/>
      <c r="M232" s="94"/>
      <c r="N232" s="88"/>
      <c r="O232" s="88"/>
      <c r="P232" s="88"/>
      <c r="Q232" s="88"/>
    </row>
    <row r="233" spans="1:17">
      <c r="A233" s="13">
        <v>13</v>
      </c>
      <c r="B233" s="9" t="s">
        <v>53</v>
      </c>
      <c r="C233" s="17"/>
      <c r="D233" s="56">
        <f>+'Wage &amp; Salaries'!B8</f>
        <v>826172.11</v>
      </c>
      <c r="E233" s="101">
        <f>+I220</f>
        <v>0.99514155805390148</v>
      </c>
      <c r="F233" s="101"/>
      <c r="G233" s="17">
        <f>D233*E233</f>
        <v>822158.20076607924</v>
      </c>
      <c r="H233" s="17"/>
      <c r="I233" s="17"/>
      <c r="J233" s="17"/>
      <c r="K233" s="17"/>
      <c r="L233" s="4"/>
      <c r="M233" s="94"/>
      <c r="N233" s="92"/>
      <c r="O233" s="93"/>
      <c r="P233" s="88"/>
      <c r="Q233" s="88"/>
    </row>
    <row r="234" spans="1:17">
      <c r="A234" s="13">
        <v>14</v>
      </c>
      <c r="B234" s="9" t="s">
        <v>54</v>
      </c>
      <c r="C234" s="17"/>
      <c r="D234" s="56">
        <f>+'Wage &amp; Salaries'!B9</f>
        <v>2323004.85</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+'Wage &amp; Salaries'!B10</f>
        <v>489825.41000000003</v>
      </c>
      <c r="E235" s="101">
        <v>0</v>
      </c>
      <c r="F235" s="101"/>
      <c r="G235" s="30">
        <f>D235*E235</f>
        <v>0</v>
      </c>
      <c r="H235" s="17"/>
      <c r="I235" s="23" t="s">
        <v>114</v>
      </c>
      <c r="J235" s="17"/>
      <c r="K235" s="17"/>
      <c r="L235" s="9"/>
      <c r="N235" s="17"/>
      <c r="O235" s="17"/>
      <c r="P235" s="9"/>
    </row>
    <row r="236" spans="1:17">
      <c r="A236" s="13">
        <v>16</v>
      </c>
      <c r="B236" s="9" t="s">
        <v>239</v>
      </c>
      <c r="C236" s="17"/>
      <c r="D236" s="17">
        <f>SUM(D232:D235)</f>
        <v>11632603.720000001</v>
      </c>
      <c r="E236" s="17"/>
      <c r="F236" s="17"/>
      <c r="G236" s="17">
        <f>SUM(G232:G235)</f>
        <v>822158.20076607924</v>
      </c>
      <c r="H236" s="13" t="s">
        <v>115</v>
      </c>
      <c r="I236" s="53">
        <f>IF(G236&gt;0,G233/D236,0)</f>
        <v>7.0677057394514187E-2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+'Plant &amp; Depr'!H75</f>
        <v>420860161.33999997</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7.0677057394514187E-2</v>
      </c>
      <c r="J240" s="70" t="s">
        <v>115</v>
      </c>
      <c r="K240" s="27">
        <f>I240*G240</f>
        <v>7.0677057394514187E-2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420860161.33999997</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0</v>
      </c>
      <c r="E248" s="105">
        <f>IF($D$250&gt;0,D248/$D$250,0)</f>
        <v>0</v>
      </c>
      <c r="F248" s="106"/>
      <c r="G248" s="107">
        <f>IF(D248&gt;0,D245/D248,0)</f>
        <v>0</v>
      </c>
      <c r="I248" s="106">
        <f>G248*E248</f>
        <v>0</v>
      </c>
      <c r="J248" s="108" t="s">
        <v>131</v>
      </c>
      <c r="K248" s="17"/>
      <c r="L248" s="9"/>
      <c r="N248" s="17"/>
      <c r="O248" s="17"/>
      <c r="P248" s="9"/>
    </row>
    <row r="249" spans="1:18" ht="16.5" thickBot="1">
      <c r="A249" s="13">
        <v>23</v>
      </c>
      <c r="B249" s="9" t="s">
        <v>132</v>
      </c>
      <c r="C249" s="11" t="s">
        <v>260</v>
      </c>
      <c r="D249" s="54">
        <v>127887964</v>
      </c>
      <c r="E249" s="109">
        <f>IF($D$250&gt;0,D249/$D$250,0)</f>
        <v>1</v>
      </c>
      <c r="F249" s="106"/>
      <c r="G249" s="106">
        <f>I252</f>
        <v>0.1032</v>
      </c>
      <c r="I249" s="110">
        <f>G249*E249</f>
        <v>0.1032</v>
      </c>
      <c r="L249" s="9"/>
      <c r="N249" s="17"/>
      <c r="O249" s="17"/>
      <c r="P249" s="9"/>
    </row>
    <row r="250" spans="1:18">
      <c r="A250" s="13">
        <v>24</v>
      </c>
      <c r="B250" s="9" t="s">
        <v>172</v>
      </c>
      <c r="C250" s="11"/>
      <c r="D250" s="17">
        <f>SUM(D248:D249)</f>
        <v>127887964</v>
      </c>
      <c r="E250" s="111">
        <f>SUM(E248+E249)</f>
        <v>1</v>
      </c>
      <c r="F250" s="106"/>
      <c r="G250" s="106"/>
      <c r="I250" s="106">
        <f>SUM(I248:I249)</f>
        <v>0.1032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0.1032</v>
      </c>
      <c r="L252" s="9"/>
      <c r="N252" s="116" t="s">
        <v>316</v>
      </c>
      <c r="O252" s="19"/>
      <c r="P252" s="19"/>
      <c r="Q252" s="19"/>
      <c r="R252" s="117"/>
    </row>
    <row r="253" spans="1:18">
      <c r="A253" s="13">
        <v>26</v>
      </c>
      <c r="H253" s="7" t="s">
        <v>202</v>
      </c>
      <c r="I253" s="101">
        <f>IF(G248&gt;0,I250/G248,0)</f>
        <v>0</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0</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+'Account 456.1'!C20</f>
        <v>30358.79</v>
      </c>
      <c r="J264" s="9"/>
      <c r="K264" s="9"/>
      <c r="L264" s="124"/>
      <c r="N264" s="9"/>
      <c r="O264" s="17"/>
      <c r="P264" s="9"/>
    </row>
    <row r="265" spans="1:17">
      <c r="A265" s="13">
        <v>32</v>
      </c>
      <c r="B265" s="125" t="s">
        <v>174</v>
      </c>
      <c r="C265" s="18"/>
      <c r="D265" s="18"/>
      <c r="E265" s="18"/>
      <c r="F265" s="18"/>
      <c r="G265" s="18"/>
      <c r="H265" s="11"/>
      <c r="I265" s="123">
        <v>0</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30358.79</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392" t="str">
        <f>D4</f>
        <v xml:space="preserve">   Rate Formula Template</v>
      </c>
      <c r="D274" s="392"/>
      <c r="E274" s="17"/>
      <c r="F274" s="17"/>
      <c r="G274" s="17"/>
      <c r="H274" s="24"/>
      <c r="J274" s="11"/>
      <c r="K274" s="131" t="str">
        <f>K4</f>
        <v>For the 12 months ended 12/31/2016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MUSCATINE POWER AND WATER</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390" t="s">
        <v>265</v>
      </c>
      <c r="C282" s="390"/>
      <c r="D282" s="390"/>
      <c r="E282" s="390"/>
      <c r="F282" s="390"/>
      <c r="G282" s="390"/>
      <c r="H282" s="390"/>
      <c r="I282" s="390"/>
      <c r="J282" s="390"/>
      <c r="K282" s="390"/>
      <c r="L282" s="11"/>
      <c r="N282" s="13"/>
      <c r="O282" s="11"/>
      <c r="P282" s="11"/>
    </row>
    <row r="283" spans="1:16" ht="63" customHeight="1">
      <c r="A283" s="134" t="s">
        <v>145</v>
      </c>
      <c r="B283" s="390" t="s">
        <v>266</v>
      </c>
      <c r="C283" s="390"/>
      <c r="D283" s="390"/>
      <c r="E283" s="390"/>
      <c r="F283" s="390"/>
      <c r="G283" s="390"/>
      <c r="H283" s="390"/>
      <c r="I283" s="390"/>
      <c r="J283" s="390"/>
      <c r="K283" s="390"/>
      <c r="L283" s="11"/>
      <c r="N283" s="13"/>
      <c r="O283" s="11"/>
      <c r="P283" s="11"/>
    </row>
    <row r="284" spans="1:16">
      <c r="A284" s="134" t="s">
        <v>146</v>
      </c>
      <c r="B284" s="390" t="s">
        <v>267</v>
      </c>
      <c r="C284" s="390"/>
      <c r="D284" s="390"/>
      <c r="E284" s="390"/>
      <c r="F284" s="390"/>
      <c r="G284" s="390"/>
      <c r="H284" s="390"/>
      <c r="I284" s="390"/>
      <c r="J284" s="390"/>
      <c r="K284" s="390"/>
      <c r="L284" s="11"/>
      <c r="N284" s="13"/>
      <c r="O284" s="11"/>
      <c r="P284" s="11"/>
    </row>
    <row r="285" spans="1:16">
      <c r="A285" s="134" t="s">
        <v>147</v>
      </c>
      <c r="B285" s="390" t="s">
        <v>267</v>
      </c>
      <c r="C285" s="390"/>
      <c r="D285" s="390"/>
      <c r="E285" s="390"/>
      <c r="F285" s="390"/>
      <c r="G285" s="390"/>
      <c r="H285" s="390"/>
      <c r="I285" s="390"/>
      <c r="J285" s="390"/>
      <c r="K285" s="390"/>
      <c r="L285" s="11"/>
      <c r="N285" s="13"/>
      <c r="O285" s="11"/>
      <c r="P285" s="11"/>
    </row>
    <row r="286" spans="1:16">
      <c r="A286" s="134" t="s">
        <v>148</v>
      </c>
      <c r="B286" s="390" t="s">
        <v>280</v>
      </c>
      <c r="C286" s="390"/>
      <c r="D286" s="390"/>
      <c r="E286" s="390"/>
      <c r="F286" s="390"/>
      <c r="G286" s="390"/>
      <c r="H286" s="390"/>
      <c r="I286" s="390"/>
      <c r="J286" s="390"/>
      <c r="K286" s="390"/>
      <c r="L286" s="11"/>
      <c r="N286" s="13"/>
      <c r="O286" s="11"/>
      <c r="P286" s="11"/>
    </row>
    <row r="287" spans="1:16" ht="48" customHeight="1">
      <c r="A287" s="134" t="s">
        <v>149</v>
      </c>
      <c r="B287" s="389" t="s">
        <v>242</v>
      </c>
      <c r="C287" s="389"/>
      <c r="D287" s="389"/>
      <c r="E287" s="389"/>
      <c r="F287" s="389"/>
      <c r="G287" s="389"/>
      <c r="H287" s="389"/>
      <c r="I287" s="389"/>
      <c r="J287" s="389"/>
      <c r="K287" s="389"/>
      <c r="L287" s="11"/>
      <c r="N287" s="13"/>
      <c r="O287" s="11"/>
      <c r="P287" s="11"/>
    </row>
    <row r="288" spans="1:16">
      <c r="A288" s="134" t="s">
        <v>150</v>
      </c>
      <c r="B288" s="389" t="s">
        <v>180</v>
      </c>
      <c r="C288" s="389"/>
      <c r="D288" s="389"/>
      <c r="E288" s="389"/>
      <c r="F288" s="389"/>
      <c r="G288" s="389"/>
      <c r="H288" s="389"/>
      <c r="I288" s="389"/>
      <c r="J288" s="389"/>
      <c r="K288" s="389"/>
      <c r="L288" s="11"/>
      <c r="N288" s="13"/>
      <c r="O288" s="11"/>
      <c r="P288" s="11"/>
    </row>
    <row r="289" spans="1:16" ht="32.25" customHeight="1">
      <c r="A289" s="134" t="s">
        <v>151</v>
      </c>
      <c r="B289" s="389" t="s">
        <v>243</v>
      </c>
      <c r="C289" s="389"/>
      <c r="D289" s="389"/>
      <c r="E289" s="389"/>
      <c r="F289" s="389"/>
      <c r="G289" s="389"/>
      <c r="H289" s="389"/>
      <c r="I289" s="389"/>
      <c r="J289" s="389"/>
      <c r="K289" s="389"/>
      <c r="L289" s="11"/>
      <c r="N289" s="13"/>
      <c r="O289" s="11"/>
      <c r="P289" s="11"/>
    </row>
    <row r="290" spans="1:16" ht="32.25" customHeight="1">
      <c r="A290" s="134" t="s">
        <v>152</v>
      </c>
      <c r="B290" s="390" t="s">
        <v>244</v>
      </c>
      <c r="C290" s="390"/>
      <c r="D290" s="390"/>
      <c r="E290" s="390"/>
      <c r="F290" s="390"/>
      <c r="G290" s="390"/>
      <c r="H290" s="390"/>
      <c r="I290" s="390"/>
      <c r="J290" s="390"/>
      <c r="K290" s="390"/>
      <c r="L290" s="11"/>
      <c r="N290" s="13"/>
      <c r="O290" s="11"/>
      <c r="P290" s="11"/>
    </row>
    <row r="291" spans="1:16" ht="32.25" customHeight="1">
      <c r="A291" s="134" t="s">
        <v>153</v>
      </c>
      <c r="B291" s="389" t="s">
        <v>245</v>
      </c>
      <c r="C291" s="389"/>
      <c r="D291" s="389"/>
      <c r="E291" s="389"/>
      <c r="F291" s="389"/>
      <c r="G291" s="389"/>
      <c r="H291" s="389"/>
      <c r="I291" s="389"/>
      <c r="J291" s="389"/>
      <c r="K291" s="389"/>
      <c r="L291" s="11"/>
      <c r="N291" s="13"/>
      <c r="O291" s="10"/>
      <c r="P291" s="11"/>
    </row>
    <row r="292" spans="1:16" ht="79.5" customHeight="1">
      <c r="A292" s="134" t="s">
        <v>154</v>
      </c>
      <c r="B292" s="389" t="s">
        <v>246</v>
      </c>
      <c r="C292" s="389"/>
      <c r="D292" s="389"/>
      <c r="E292" s="389"/>
      <c r="F292" s="389"/>
      <c r="G292" s="389"/>
      <c r="H292" s="389"/>
      <c r="I292" s="389"/>
      <c r="J292" s="389"/>
      <c r="K292" s="389"/>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389" t="s">
        <v>157</v>
      </c>
      <c r="F294" s="389"/>
      <c r="G294" s="389"/>
      <c r="H294" s="389"/>
      <c r="I294" s="389"/>
      <c r="J294" s="389"/>
      <c r="K294" s="389"/>
      <c r="N294" s="13"/>
      <c r="O294" s="11"/>
      <c r="P294" s="11"/>
    </row>
    <row r="295" spans="1:16">
      <c r="A295" s="134"/>
      <c r="B295" s="136"/>
      <c r="C295" s="136" t="s">
        <v>158</v>
      </c>
      <c r="D295" s="137">
        <v>0</v>
      </c>
      <c r="E295" s="389" t="s">
        <v>159</v>
      </c>
      <c r="F295" s="389"/>
      <c r="G295" s="389"/>
      <c r="H295" s="389"/>
      <c r="I295" s="389"/>
      <c r="J295" s="389"/>
      <c r="K295" s="389"/>
      <c r="L295" s="11"/>
      <c r="N295" s="13"/>
      <c r="O295" s="11"/>
      <c r="P295" s="11"/>
    </row>
    <row r="296" spans="1:16">
      <c r="A296" s="134" t="s">
        <v>160</v>
      </c>
      <c r="B296" s="389" t="s">
        <v>194</v>
      </c>
      <c r="C296" s="389"/>
      <c r="D296" s="389"/>
      <c r="E296" s="389"/>
      <c r="F296" s="389"/>
      <c r="G296" s="389"/>
      <c r="H296" s="389"/>
      <c r="I296" s="389"/>
      <c r="J296" s="389"/>
      <c r="K296" s="389"/>
      <c r="L296" s="11"/>
      <c r="N296" s="13"/>
      <c r="O296" s="11"/>
      <c r="P296" s="11"/>
    </row>
    <row r="297" spans="1:16" ht="32.25" customHeight="1">
      <c r="A297" s="134" t="s">
        <v>161</v>
      </c>
      <c r="B297" s="389" t="s">
        <v>298</v>
      </c>
      <c r="C297" s="389"/>
      <c r="D297" s="389"/>
      <c r="E297" s="389"/>
      <c r="F297" s="389"/>
      <c r="G297" s="389"/>
      <c r="H297" s="389"/>
      <c r="I297" s="389"/>
      <c r="J297" s="389"/>
      <c r="K297" s="389"/>
      <c r="L297" s="140"/>
      <c r="N297" s="13"/>
      <c r="O297" s="11"/>
      <c r="P297" s="11"/>
    </row>
    <row r="298" spans="1:16" ht="48" customHeight="1">
      <c r="A298" s="134" t="s">
        <v>162</v>
      </c>
      <c r="B298" s="389" t="s">
        <v>263</v>
      </c>
      <c r="C298" s="389"/>
      <c r="D298" s="389"/>
      <c r="E298" s="389"/>
      <c r="F298" s="389"/>
      <c r="G298" s="389"/>
      <c r="H298" s="389"/>
      <c r="I298" s="389"/>
      <c r="J298" s="389"/>
      <c r="K298" s="389"/>
      <c r="L298" s="11"/>
      <c r="N298" s="13"/>
      <c r="O298" s="11"/>
      <c r="P298" s="11"/>
    </row>
    <row r="299" spans="1:16">
      <c r="A299" s="134" t="s">
        <v>163</v>
      </c>
      <c r="B299" s="389" t="s">
        <v>181</v>
      </c>
      <c r="C299" s="389"/>
      <c r="D299" s="389"/>
      <c r="E299" s="389"/>
      <c r="F299" s="389"/>
      <c r="G299" s="389"/>
      <c r="H299" s="389"/>
      <c r="I299" s="389"/>
      <c r="J299" s="389"/>
      <c r="K299" s="389"/>
      <c r="L299" s="11"/>
      <c r="N299" s="13"/>
      <c r="O299" s="10"/>
      <c r="P299" s="11"/>
    </row>
    <row r="300" spans="1:16" ht="176.25" customHeight="1">
      <c r="A300" s="134" t="s">
        <v>164</v>
      </c>
      <c r="B300" s="390" t="s">
        <v>315</v>
      </c>
      <c r="C300" s="390"/>
      <c r="D300" s="390"/>
      <c r="E300" s="390"/>
      <c r="F300" s="390"/>
      <c r="G300" s="390"/>
      <c r="H300" s="390"/>
      <c r="I300" s="390"/>
      <c r="J300" s="390"/>
      <c r="K300" s="390"/>
      <c r="L300" s="11"/>
      <c r="N300" s="13"/>
      <c r="O300" s="10"/>
      <c r="P300" s="11"/>
    </row>
    <row r="301" spans="1:16" ht="32.25" customHeight="1">
      <c r="A301" s="134" t="s">
        <v>165</v>
      </c>
      <c r="B301" s="389" t="s">
        <v>247</v>
      </c>
      <c r="C301" s="389"/>
      <c r="D301" s="389"/>
      <c r="E301" s="389"/>
      <c r="F301" s="389"/>
      <c r="G301" s="389"/>
      <c r="H301" s="389"/>
      <c r="I301" s="389"/>
      <c r="J301" s="389"/>
      <c r="K301" s="389"/>
      <c r="L301" s="11"/>
      <c r="N301" s="13"/>
      <c r="O301" s="11"/>
      <c r="P301" s="11"/>
    </row>
    <row r="302" spans="1:16">
      <c r="A302" s="134" t="s">
        <v>166</v>
      </c>
      <c r="B302" s="389" t="s">
        <v>167</v>
      </c>
      <c r="C302" s="389"/>
      <c r="D302" s="389"/>
      <c r="E302" s="389"/>
      <c r="F302" s="389"/>
      <c r="G302" s="389"/>
      <c r="H302" s="389"/>
      <c r="I302" s="389"/>
      <c r="J302" s="389"/>
      <c r="K302" s="389"/>
      <c r="L302" s="11"/>
      <c r="N302" s="13"/>
      <c r="O302" s="11"/>
      <c r="P302" s="11"/>
    </row>
    <row r="303" spans="1:16" ht="48" customHeight="1">
      <c r="A303" s="134" t="s">
        <v>182</v>
      </c>
      <c r="B303" s="389" t="s">
        <v>299</v>
      </c>
      <c r="C303" s="389"/>
      <c r="D303" s="389"/>
      <c r="E303" s="389"/>
      <c r="F303" s="389"/>
      <c r="G303" s="389"/>
      <c r="H303" s="389"/>
      <c r="I303" s="389"/>
      <c r="J303" s="389"/>
      <c r="K303" s="389"/>
      <c r="L303" s="11"/>
      <c r="N303" s="13"/>
      <c r="O303" s="11"/>
      <c r="P303" s="11"/>
    </row>
    <row r="304" spans="1:16" ht="65.25" customHeight="1">
      <c r="A304" s="141" t="s">
        <v>183</v>
      </c>
      <c r="B304" s="389" t="s">
        <v>262</v>
      </c>
      <c r="C304" s="389"/>
      <c r="D304" s="389"/>
      <c r="E304" s="389"/>
      <c r="F304" s="389"/>
      <c r="G304" s="389"/>
      <c r="H304" s="389"/>
      <c r="I304" s="389"/>
      <c r="J304" s="389"/>
      <c r="K304" s="389"/>
      <c r="L304" s="11"/>
      <c r="N304" s="13"/>
      <c r="O304" s="11"/>
      <c r="P304" s="11"/>
    </row>
    <row r="305" spans="1:16">
      <c r="A305" s="141" t="s">
        <v>189</v>
      </c>
      <c r="B305" s="389" t="s">
        <v>288</v>
      </c>
      <c r="C305" s="389"/>
      <c r="D305" s="389"/>
      <c r="E305" s="389"/>
      <c r="F305" s="389"/>
      <c r="G305" s="389"/>
      <c r="H305" s="389"/>
      <c r="I305" s="389"/>
      <c r="J305" s="389"/>
      <c r="K305" s="389"/>
      <c r="L305" s="11"/>
      <c r="N305" s="13"/>
      <c r="O305" s="11"/>
      <c r="P305" s="11"/>
    </row>
    <row r="306" spans="1:16">
      <c r="A306" s="142" t="s">
        <v>191</v>
      </c>
      <c r="B306" s="389" t="s">
        <v>289</v>
      </c>
      <c r="C306" s="389"/>
      <c r="D306" s="389"/>
      <c r="E306" s="389"/>
      <c r="F306" s="389"/>
      <c r="G306" s="389"/>
      <c r="H306" s="389"/>
      <c r="I306" s="389"/>
      <c r="J306" s="389"/>
      <c r="K306" s="389"/>
      <c r="L306" s="11"/>
      <c r="N306" s="59"/>
      <c r="O306" s="11"/>
      <c r="P306" s="11"/>
    </row>
    <row r="307" spans="1:16">
      <c r="A307" s="142" t="s">
        <v>196</v>
      </c>
      <c r="B307" s="389" t="s">
        <v>294</v>
      </c>
      <c r="C307" s="389"/>
      <c r="D307" s="389"/>
      <c r="E307" s="389"/>
      <c r="F307" s="389"/>
      <c r="G307" s="389"/>
      <c r="H307" s="389"/>
      <c r="I307" s="389"/>
      <c r="J307" s="389"/>
      <c r="K307" s="389"/>
      <c r="L307" s="11"/>
      <c r="N307" s="59"/>
      <c r="O307" s="11"/>
      <c r="P307" s="11"/>
    </row>
    <row r="308" spans="1:16" s="1" customFormat="1" ht="32.25" customHeight="1">
      <c r="A308" s="141" t="s">
        <v>197</v>
      </c>
      <c r="B308" s="389" t="s">
        <v>295</v>
      </c>
      <c r="C308" s="389"/>
      <c r="D308" s="389"/>
      <c r="E308" s="389"/>
      <c r="F308" s="389"/>
      <c r="G308" s="389"/>
      <c r="H308" s="389"/>
      <c r="I308" s="389"/>
      <c r="J308" s="389"/>
      <c r="K308" s="389"/>
      <c r="L308" s="80"/>
      <c r="N308" s="63"/>
      <c r="O308" s="80"/>
      <c r="P308" s="80"/>
    </row>
    <row r="309" spans="1:16" s="82" customFormat="1">
      <c r="A309" s="142" t="s">
        <v>273</v>
      </c>
      <c r="B309" s="389" t="s">
        <v>296</v>
      </c>
      <c r="C309" s="389"/>
      <c r="D309" s="389"/>
      <c r="E309" s="389"/>
      <c r="F309" s="389"/>
      <c r="G309" s="389"/>
      <c r="H309" s="389"/>
      <c r="I309" s="389"/>
      <c r="J309" s="389"/>
      <c r="K309" s="389"/>
      <c r="L309" s="84"/>
      <c r="N309" s="81"/>
      <c r="O309" s="84"/>
      <c r="P309" s="84"/>
    </row>
    <row r="310" spans="1:16" s="82" customFormat="1" ht="33" customHeight="1">
      <c r="A310" s="141" t="s">
        <v>274</v>
      </c>
      <c r="B310" s="389" t="s">
        <v>297</v>
      </c>
      <c r="C310" s="389"/>
      <c r="D310" s="389"/>
      <c r="E310" s="389"/>
      <c r="F310" s="389"/>
      <c r="G310" s="389"/>
      <c r="H310" s="389"/>
      <c r="I310" s="389"/>
      <c r="J310" s="389"/>
      <c r="K310" s="389"/>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heetViews>
  <sheetFormatPr defaultRowHeight="15"/>
  <cols>
    <col min="1" max="1" width="15.109375" customWidth="1"/>
    <col min="2" max="3" width="10.88671875" customWidth="1"/>
    <col min="4" max="4" width="14.6640625" customWidth="1"/>
    <col min="5" max="5" width="17.88671875" customWidth="1"/>
  </cols>
  <sheetData>
    <row r="1" spans="1:5" ht="15.75">
      <c r="A1" s="195" t="s">
        <v>321</v>
      </c>
      <c r="B1" s="268"/>
      <c r="C1" s="268"/>
      <c r="D1" s="268"/>
      <c r="E1" s="268"/>
    </row>
    <row r="2" spans="1:5" ht="15.75">
      <c r="A2" s="196" t="s">
        <v>346</v>
      </c>
      <c r="B2" s="268"/>
      <c r="C2" s="268"/>
      <c r="D2" s="268"/>
      <c r="E2" s="268"/>
    </row>
    <row r="4" spans="1:5" ht="15.75">
      <c r="A4" s="271"/>
      <c r="D4" s="272" t="s">
        <v>1036</v>
      </c>
    </row>
    <row r="5" spans="1:5" ht="15.75">
      <c r="A5" s="271"/>
      <c r="B5" s="273" t="s">
        <v>1037</v>
      </c>
      <c r="C5" s="273" t="s">
        <v>1038</v>
      </c>
      <c r="D5" s="274" t="s">
        <v>1039</v>
      </c>
      <c r="E5" s="274" t="s">
        <v>441</v>
      </c>
    </row>
    <row r="6" spans="1:5">
      <c r="A6" s="273" t="s">
        <v>1040</v>
      </c>
    </row>
    <row r="7" spans="1:5">
      <c r="A7" t="s">
        <v>1041</v>
      </c>
      <c r="B7">
        <v>16893.240000000002</v>
      </c>
      <c r="C7">
        <v>0.46</v>
      </c>
      <c r="D7">
        <v>3864.93</v>
      </c>
      <c r="E7">
        <f>+B7-D7+C7</f>
        <v>13028.77</v>
      </c>
    </row>
    <row r="8" spans="1:5">
      <c r="A8" t="s">
        <v>1042</v>
      </c>
      <c r="B8">
        <v>15541.52</v>
      </c>
      <c r="C8">
        <v>0</v>
      </c>
      <c r="D8">
        <v>3553.78</v>
      </c>
      <c r="E8">
        <f t="shared" ref="E8:E18" si="0">+B8-D8+C8</f>
        <v>11987.74</v>
      </c>
    </row>
    <row r="9" spans="1:5">
      <c r="A9" t="s">
        <v>1043</v>
      </c>
      <c r="B9">
        <v>16289.93</v>
      </c>
      <c r="C9">
        <v>0</v>
      </c>
      <c r="D9">
        <v>3666.73</v>
      </c>
      <c r="E9">
        <f t="shared" si="0"/>
        <v>12623.2</v>
      </c>
    </row>
    <row r="10" spans="1:5">
      <c r="A10" t="s">
        <v>1044</v>
      </c>
      <c r="B10">
        <v>17195.75</v>
      </c>
      <c r="C10">
        <v>3.37</v>
      </c>
      <c r="D10">
        <v>3516.48</v>
      </c>
      <c r="E10">
        <f t="shared" si="0"/>
        <v>13682.640000000001</v>
      </c>
    </row>
    <row r="11" spans="1:5">
      <c r="A11" t="s">
        <v>328</v>
      </c>
      <c r="B11">
        <v>16500.419999999998</v>
      </c>
      <c r="C11">
        <v>372.44</v>
      </c>
      <c r="D11">
        <v>3897.96</v>
      </c>
      <c r="E11">
        <f t="shared" si="0"/>
        <v>12974.9</v>
      </c>
    </row>
    <row r="12" spans="1:5">
      <c r="A12" t="s">
        <v>342</v>
      </c>
      <c r="B12">
        <v>16670.8</v>
      </c>
      <c r="C12">
        <v>0</v>
      </c>
      <c r="D12">
        <v>4251.74</v>
      </c>
      <c r="E12">
        <f t="shared" si="0"/>
        <v>12419.06</v>
      </c>
    </row>
    <row r="13" spans="1:5">
      <c r="A13" t="s">
        <v>1045</v>
      </c>
      <c r="B13">
        <v>14569.51</v>
      </c>
      <c r="C13">
        <v>0</v>
      </c>
      <c r="D13">
        <v>4459.54</v>
      </c>
      <c r="E13">
        <f t="shared" si="0"/>
        <v>10109.970000000001</v>
      </c>
    </row>
    <row r="14" spans="1:5">
      <c r="A14" t="s">
        <v>1046</v>
      </c>
      <c r="B14">
        <v>17866.68</v>
      </c>
      <c r="C14">
        <v>2369.4</v>
      </c>
      <c r="D14">
        <v>5754.99</v>
      </c>
      <c r="E14">
        <f t="shared" si="0"/>
        <v>14481.09</v>
      </c>
    </row>
    <row r="15" spans="1:5">
      <c r="A15" t="s">
        <v>1047</v>
      </c>
      <c r="B15">
        <v>17195.95</v>
      </c>
      <c r="C15">
        <f>18.17+9.55</f>
        <v>27.720000000000002</v>
      </c>
      <c r="D15">
        <v>5822.5</v>
      </c>
      <c r="E15">
        <f t="shared" si="0"/>
        <v>11401.17</v>
      </c>
    </row>
    <row r="16" spans="1:5">
      <c r="A16" t="s">
        <v>1048</v>
      </c>
      <c r="B16">
        <v>17909.650000000001</v>
      </c>
      <c r="C16">
        <v>17.82</v>
      </c>
      <c r="D16">
        <v>5101.01</v>
      </c>
      <c r="E16">
        <f t="shared" si="0"/>
        <v>12826.460000000001</v>
      </c>
    </row>
    <row r="17" spans="1:5">
      <c r="A17" t="s">
        <v>1049</v>
      </c>
      <c r="B17">
        <v>16768.48</v>
      </c>
      <c r="C17">
        <v>0.22</v>
      </c>
      <c r="D17">
        <v>4767.7</v>
      </c>
      <c r="E17">
        <f t="shared" si="0"/>
        <v>12000.999999999998</v>
      </c>
    </row>
    <row r="18" spans="1:5">
      <c r="A18" t="s">
        <v>1050</v>
      </c>
      <c r="B18">
        <v>19134.22</v>
      </c>
      <c r="C18">
        <v>71.2</v>
      </c>
      <c r="D18">
        <v>5101.01</v>
      </c>
      <c r="E18">
        <f t="shared" si="0"/>
        <v>14104.410000000002</v>
      </c>
    </row>
    <row r="20" spans="1:5">
      <c r="A20" s="206"/>
      <c r="B20">
        <f t="shared" ref="B20:C20" si="1">SUM(B7:B18)</f>
        <v>202536.15000000002</v>
      </c>
      <c r="C20">
        <f t="shared" si="1"/>
        <v>2862.6299999999997</v>
      </c>
      <c r="D20">
        <f>SUM(D7:D18)</f>
        <v>53758.37</v>
      </c>
      <c r="E20">
        <f>SUM(E7:E18)</f>
        <v>151640.41</v>
      </c>
    </row>
    <row r="21" spans="1:5">
      <c r="E21" t="s">
        <v>1051</v>
      </c>
    </row>
    <row r="23" spans="1:5">
      <c r="A23" t="s">
        <v>1232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A10" sqref="A10"/>
    </sheetView>
  </sheetViews>
  <sheetFormatPr defaultRowHeight="15"/>
  <cols>
    <col min="1" max="1" width="42.6640625" customWidth="1"/>
    <col min="2" max="2" width="8.77734375" customWidth="1"/>
  </cols>
  <sheetData>
    <row r="1" spans="1:8" ht="15.75">
      <c r="A1" s="195" t="s">
        <v>321</v>
      </c>
      <c r="B1" s="195"/>
      <c r="C1" s="195"/>
      <c r="D1" s="277"/>
      <c r="E1" s="277"/>
      <c r="F1" s="277"/>
      <c r="G1" s="277"/>
      <c r="H1" s="277"/>
    </row>
    <row r="2" spans="1:8" ht="15.75">
      <c r="A2" s="196" t="s">
        <v>346</v>
      </c>
      <c r="B2" s="196"/>
      <c r="C2" s="196"/>
      <c r="D2" s="277"/>
      <c r="E2" s="277"/>
      <c r="F2" s="277"/>
      <c r="G2" s="277"/>
      <c r="H2" s="277"/>
    </row>
    <row r="3" spans="1:8" ht="15.75">
      <c r="D3" s="277"/>
      <c r="E3" s="277"/>
      <c r="F3" s="277"/>
      <c r="G3" s="277"/>
      <c r="H3" s="277"/>
    </row>
    <row r="4" spans="1:8" ht="20.25">
      <c r="A4" s="275" t="s">
        <v>1052</v>
      </c>
      <c r="B4" s="276"/>
      <c r="C4" s="276"/>
      <c r="D4" s="276"/>
      <c r="E4" s="277"/>
      <c r="F4" s="277"/>
      <c r="G4" s="277"/>
    </row>
    <row r="6" spans="1:8" ht="15.75">
      <c r="A6" s="278"/>
      <c r="B6" s="278" t="s">
        <v>1053</v>
      </c>
      <c r="C6" s="277"/>
      <c r="D6" s="278"/>
      <c r="E6" s="277"/>
      <c r="F6" s="277"/>
      <c r="G6" s="277"/>
    </row>
    <row r="7" spans="1:8" ht="15.75">
      <c r="A7" s="279" t="s">
        <v>1054</v>
      </c>
      <c r="B7" s="279" t="s">
        <v>1055</v>
      </c>
      <c r="C7" s="279" t="s">
        <v>7</v>
      </c>
      <c r="D7" s="277"/>
      <c r="E7" s="277"/>
      <c r="F7" s="277"/>
      <c r="G7" s="277"/>
    </row>
    <row r="9" spans="1:8" ht="15.75">
      <c r="A9" s="280" t="s">
        <v>1056</v>
      </c>
      <c r="B9" s="281"/>
      <c r="C9" s="281">
        <v>0</v>
      </c>
      <c r="D9" s="277"/>
      <c r="E9" s="277"/>
      <c r="F9" s="277"/>
      <c r="G9" s="277"/>
    </row>
    <row r="10" spans="1:8" ht="15.75">
      <c r="A10" s="280" t="s">
        <v>1057</v>
      </c>
      <c r="B10" s="282">
        <v>928</v>
      </c>
      <c r="C10" s="282">
        <v>53758.37</v>
      </c>
      <c r="D10" s="277"/>
      <c r="E10" s="277"/>
      <c r="F10" s="277"/>
      <c r="G10" s="277"/>
    </row>
    <row r="11" spans="1:8" ht="18">
      <c r="A11" s="280" t="s">
        <v>1058</v>
      </c>
      <c r="B11" s="283"/>
      <c r="C11" s="283">
        <v>0</v>
      </c>
      <c r="D11" s="277"/>
      <c r="E11" s="277"/>
      <c r="F11" s="277"/>
      <c r="G11" s="277"/>
    </row>
    <row r="13" spans="1:8" ht="15.75">
      <c r="A13" s="280" t="s">
        <v>9</v>
      </c>
      <c r="B13" s="284"/>
      <c r="C13" s="284">
        <f>+C10</f>
        <v>53758.37</v>
      </c>
      <c r="D13" s="277"/>
      <c r="E13" s="277"/>
      <c r="F13" s="277"/>
      <c r="G13" s="277"/>
    </row>
    <row r="15" spans="1:8" ht="15.75">
      <c r="A15" s="285" t="s">
        <v>1059</v>
      </c>
      <c r="B15" s="277"/>
      <c r="C15" s="277"/>
      <c r="D15" s="277"/>
      <c r="E15" s="277"/>
      <c r="F15" s="277"/>
      <c r="G15" s="277"/>
    </row>
    <row r="16" spans="1:8" ht="15.75">
      <c r="A16" s="286" t="s">
        <v>1060</v>
      </c>
      <c r="B16" s="277"/>
      <c r="C16" s="277"/>
      <c r="D16" s="277"/>
      <c r="E16" s="277"/>
      <c r="F16" s="277"/>
      <c r="G16" s="277"/>
    </row>
    <row r="17" spans="1:1" ht="15.75">
      <c r="A17" s="280"/>
    </row>
    <row r="21" spans="1:1" ht="15.75">
      <c r="A21" s="27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4"/>
  <sheetViews>
    <sheetView workbookViewId="0"/>
  </sheetViews>
  <sheetFormatPr defaultRowHeight="15"/>
  <sheetData>
    <row r="1" spans="1:9" ht="15.75">
      <c r="A1" s="195" t="s">
        <v>321</v>
      </c>
      <c r="B1" s="195"/>
      <c r="C1" s="195"/>
      <c r="D1" s="195"/>
      <c r="E1" s="195"/>
      <c r="F1" s="195"/>
      <c r="G1" s="195"/>
      <c r="H1" s="195"/>
      <c r="I1" s="195"/>
    </row>
    <row r="2" spans="1:9" ht="15.75">
      <c r="A2" s="196" t="s">
        <v>346</v>
      </c>
      <c r="B2" s="196"/>
      <c r="C2" s="196"/>
      <c r="D2" s="196"/>
      <c r="E2" s="196"/>
      <c r="F2" s="196"/>
      <c r="G2" s="196"/>
      <c r="H2" s="196"/>
      <c r="I2" s="196"/>
    </row>
    <row r="4" spans="1:9" ht="20.25">
      <c r="A4" s="275" t="s">
        <v>1061</v>
      </c>
      <c r="B4" s="276"/>
      <c r="C4" s="276"/>
      <c r="D4" s="276"/>
      <c r="E4" s="276"/>
      <c r="F4" s="277"/>
      <c r="G4" s="277"/>
      <c r="H4" s="277"/>
      <c r="I4" s="277"/>
    </row>
    <row r="5" spans="1:9">
      <c r="A5" s="287" t="s">
        <v>341</v>
      </c>
    </row>
    <row r="7" spans="1:9" ht="15.75">
      <c r="A7" s="277" t="s">
        <v>1062</v>
      </c>
      <c r="B7" s="281">
        <v>0</v>
      </c>
      <c r="C7" s="277" t="s">
        <v>1063</v>
      </c>
      <c r="D7" s="277"/>
      <c r="E7" s="277"/>
      <c r="F7" s="277"/>
      <c r="G7" s="277"/>
      <c r="H7" s="277"/>
      <c r="I7" s="277"/>
    </row>
    <row r="12" spans="1:9" ht="15.75">
      <c r="A12" s="277" t="s">
        <v>1064</v>
      </c>
      <c r="B12" s="277"/>
      <c r="C12" s="277"/>
      <c r="D12" s="277"/>
      <c r="E12" s="277"/>
      <c r="F12" s="277"/>
      <c r="G12" s="277"/>
      <c r="H12" s="277"/>
      <c r="I12" s="277"/>
    </row>
    <row r="13" spans="1:9" ht="15.75">
      <c r="A13" s="280" t="s">
        <v>1065</v>
      </c>
      <c r="B13" s="281">
        <v>0</v>
      </c>
      <c r="C13" s="277" t="s">
        <v>1066</v>
      </c>
      <c r="D13" s="277"/>
      <c r="E13" s="277"/>
      <c r="F13" s="277"/>
      <c r="G13" s="277"/>
      <c r="H13" s="277"/>
      <c r="I13" s="277"/>
    </row>
    <row r="14" spans="1:9" ht="15.75">
      <c r="A14" s="280" t="s">
        <v>1067</v>
      </c>
      <c r="B14" s="288">
        <v>0</v>
      </c>
      <c r="C14" s="277" t="s">
        <v>1068</v>
      </c>
      <c r="D14" s="277"/>
      <c r="E14" s="277"/>
      <c r="F14" s="277"/>
      <c r="G14" s="277"/>
      <c r="H14" s="277"/>
      <c r="I14" s="277"/>
    </row>
    <row r="15" spans="1:9" ht="15.75">
      <c r="A15" s="277"/>
      <c r="B15" s="289">
        <v>0</v>
      </c>
      <c r="C15" s="277"/>
      <c r="D15" s="277"/>
      <c r="E15" s="277"/>
      <c r="F15" s="277"/>
      <c r="G15" s="277"/>
      <c r="H15" s="277"/>
      <c r="I15" s="277"/>
    </row>
    <row r="18" spans="1:6" ht="15.75">
      <c r="A18" s="277" t="s">
        <v>1069</v>
      </c>
      <c r="B18" s="277"/>
      <c r="C18" s="277"/>
      <c r="D18" s="277"/>
      <c r="E18" s="277"/>
      <c r="F18" s="277"/>
    </row>
    <row r="19" spans="1:6" ht="15.75">
      <c r="A19" s="280" t="s">
        <v>1070</v>
      </c>
      <c r="B19" s="281">
        <v>0</v>
      </c>
      <c r="C19" s="277" t="s">
        <v>1071</v>
      </c>
      <c r="D19" s="277"/>
      <c r="E19" s="277"/>
      <c r="F19" s="277"/>
    </row>
    <row r="20" spans="1:6" ht="15.75">
      <c r="A20" s="280" t="s">
        <v>1070</v>
      </c>
      <c r="B20" s="288">
        <v>0</v>
      </c>
      <c r="C20" s="277" t="s">
        <v>1071</v>
      </c>
      <c r="D20" s="277"/>
      <c r="E20" s="277"/>
      <c r="F20" s="277"/>
    </row>
    <row r="21" spans="1:6" ht="15.75">
      <c r="A21" s="277"/>
      <c r="B21" s="282">
        <v>0</v>
      </c>
      <c r="C21" s="277"/>
      <c r="D21" s="277"/>
      <c r="E21" s="277"/>
      <c r="F21" s="277"/>
    </row>
    <row r="24" spans="1:6" ht="15.75">
      <c r="A24" s="276" t="s">
        <v>1072</v>
      </c>
      <c r="B24" s="276"/>
      <c r="C24" s="276"/>
      <c r="D24" s="276"/>
      <c r="E24" s="276"/>
      <c r="F24" s="27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workbookViewId="0"/>
  </sheetViews>
  <sheetFormatPr defaultRowHeight="15"/>
  <cols>
    <col min="5" max="5" width="9" customWidth="1"/>
  </cols>
  <sheetData>
    <row r="1" spans="1:8" ht="15.75">
      <c r="A1" s="195" t="s">
        <v>321</v>
      </c>
      <c r="B1" s="195"/>
      <c r="C1" s="195"/>
      <c r="D1" s="195"/>
      <c r="E1" s="195"/>
      <c r="F1" s="195"/>
      <c r="G1" s="195"/>
      <c r="H1" s="195"/>
    </row>
    <row r="2" spans="1:8" ht="15.75">
      <c r="A2" s="196" t="s">
        <v>346</v>
      </c>
      <c r="B2" s="196"/>
      <c r="C2" s="196"/>
      <c r="D2" s="196"/>
      <c r="E2" s="196"/>
      <c r="F2" s="196"/>
      <c r="G2" s="196"/>
      <c r="H2" s="196"/>
    </row>
    <row r="4" spans="1:8" ht="21">
      <c r="A4" s="290" t="s">
        <v>1073</v>
      </c>
      <c r="B4" s="290"/>
      <c r="C4" s="290"/>
      <c r="D4" s="290"/>
      <c r="E4" s="277"/>
      <c r="F4" s="277"/>
      <c r="G4" s="277"/>
      <c r="H4" s="277"/>
    </row>
    <row r="6" spans="1:8" ht="15.75">
      <c r="A6" s="277" t="s">
        <v>1074</v>
      </c>
      <c r="B6" s="277"/>
      <c r="C6" s="277"/>
      <c r="D6" s="277"/>
      <c r="E6" s="291">
        <v>1226510.4099999999</v>
      </c>
      <c r="F6" s="277"/>
      <c r="G6" s="277" t="s">
        <v>1075</v>
      </c>
      <c r="H6" s="277"/>
    </row>
    <row r="7" spans="1:8" ht="15.75">
      <c r="A7" s="277" t="s">
        <v>1076</v>
      </c>
      <c r="B7" s="277"/>
      <c r="C7" s="277"/>
      <c r="D7" s="277"/>
      <c r="E7" s="292">
        <v>0</v>
      </c>
      <c r="F7" s="277"/>
      <c r="G7" s="277" t="s">
        <v>1077</v>
      </c>
      <c r="H7" s="277"/>
    </row>
    <row r="8" spans="1:8" ht="15.75">
      <c r="A8" s="277" t="s">
        <v>1078</v>
      </c>
      <c r="B8" s="277"/>
      <c r="C8" s="277"/>
      <c r="D8" s="277"/>
      <c r="E8" s="292">
        <v>0</v>
      </c>
      <c r="F8" s="277"/>
      <c r="G8" s="277" t="s">
        <v>1079</v>
      </c>
      <c r="H8" s="277"/>
    </row>
    <row r="9" spans="1:8" ht="15.75">
      <c r="A9" s="277" t="s">
        <v>1080</v>
      </c>
      <c r="B9" s="277"/>
      <c r="C9" s="277"/>
      <c r="D9" s="277"/>
      <c r="E9" s="292">
        <v>0</v>
      </c>
      <c r="F9" s="277"/>
      <c r="G9" s="277" t="s">
        <v>1081</v>
      </c>
      <c r="H9" s="277"/>
    </row>
    <row r="10" spans="1:8" ht="15.75">
      <c r="A10" s="277" t="s">
        <v>1082</v>
      </c>
      <c r="B10" s="277"/>
      <c r="C10" s="277"/>
      <c r="D10" s="277"/>
      <c r="E10" s="293">
        <v>0</v>
      </c>
      <c r="F10" s="277"/>
      <c r="G10" s="277" t="s">
        <v>1083</v>
      </c>
      <c r="H10" s="277"/>
    </row>
    <row r="11" spans="1:8" ht="15.75">
      <c r="A11" s="277" t="s">
        <v>1084</v>
      </c>
      <c r="B11" s="277"/>
      <c r="C11" s="277"/>
      <c r="D11" s="277"/>
      <c r="E11" s="288">
        <v>0</v>
      </c>
      <c r="F11" s="277"/>
      <c r="G11" s="277" t="s">
        <v>1085</v>
      </c>
      <c r="H11" s="277"/>
    </row>
    <row r="12" spans="1:8" ht="15.75">
      <c r="A12" s="277" t="s">
        <v>9</v>
      </c>
      <c r="B12" s="277"/>
      <c r="C12" s="277"/>
      <c r="D12" s="277"/>
      <c r="E12" s="281">
        <f>SUM(E6:E11)</f>
        <v>1226510.4099999999</v>
      </c>
      <c r="F12" s="277"/>
      <c r="G12" s="277" t="s">
        <v>1086</v>
      </c>
      <c r="H12" s="277"/>
    </row>
    <row r="13" spans="1:8" ht="15.75">
      <c r="A13" s="277"/>
      <c r="B13" s="277"/>
      <c r="C13" s="277"/>
      <c r="D13" s="277"/>
      <c r="E13" s="277"/>
      <c r="F13" s="277"/>
      <c r="G13" s="277" t="s">
        <v>1087</v>
      </c>
      <c r="H13" s="277"/>
    </row>
    <row r="14" spans="1:8" ht="15.75">
      <c r="A14" s="277"/>
      <c r="B14" s="277"/>
      <c r="C14" s="277"/>
      <c r="D14" s="277"/>
      <c r="E14" s="277"/>
      <c r="F14" s="277"/>
      <c r="G14" s="277" t="s">
        <v>1088</v>
      </c>
      <c r="H14" s="277"/>
    </row>
    <row r="15" spans="1:8" ht="15.75">
      <c r="A15" s="277"/>
      <c r="B15" s="277"/>
      <c r="C15" s="277"/>
      <c r="D15" s="277"/>
      <c r="E15" s="277"/>
      <c r="F15" s="277"/>
      <c r="G15" s="277" t="s">
        <v>1089</v>
      </c>
      <c r="H15" s="277"/>
    </row>
    <row r="16" spans="1:8" ht="15.75">
      <c r="G16" s="294" t="s">
        <v>1090</v>
      </c>
    </row>
    <row r="18" spans="1:1" ht="15.75">
      <c r="A18" s="294" t="s">
        <v>1091</v>
      </c>
    </row>
    <row r="19" spans="1:1" ht="15.75">
      <c r="A19" s="294" t="s">
        <v>1092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
  <sheetViews>
    <sheetView workbookViewId="0"/>
  </sheetViews>
  <sheetFormatPr defaultRowHeight="15"/>
  <cols>
    <col min="1" max="1" width="24.44140625" customWidth="1"/>
  </cols>
  <sheetData>
    <row r="1" spans="1:7" ht="15.75">
      <c r="A1" s="195" t="s">
        <v>321</v>
      </c>
      <c r="B1" s="195"/>
      <c r="C1" s="195"/>
      <c r="D1" s="195"/>
      <c r="E1" s="195"/>
      <c r="F1" s="195"/>
      <c r="G1" s="195"/>
    </row>
    <row r="2" spans="1:7" ht="15.75">
      <c r="A2" s="196" t="s">
        <v>346</v>
      </c>
      <c r="B2" s="196"/>
      <c r="C2" s="196"/>
      <c r="D2" s="196"/>
      <c r="E2" s="196"/>
      <c r="F2" s="196"/>
      <c r="G2" s="196"/>
    </row>
    <row r="3" spans="1:7" ht="15.75">
      <c r="A3" s="295" t="s">
        <v>1093</v>
      </c>
    </row>
    <row r="4" spans="1:7" ht="15.75">
      <c r="A4" s="295"/>
    </row>
    <row r="5" spans="1:7">
      <c r="A5" s="296" t="s">
        <v>1094</v>
      </c>
      <c r="B5" s="296"/>
    </row>
    <row r="6" spans="1:7">
      <c r="A6" s="296" t="s">
        <v>1095</v>
      </c>
      <c r="B6" s="297">
        <v>27985</v>
      </c>
    </row>
    <row r="7" spans="1:7">
      <c r="A7" s="296" t="s">
        <v>1096</v>
      </c>
      <c r="B7" s="297">
        <v>0</v>
      </c>
    </row>
    <row r="8" spans="1:7">
      <c r="A8" s="296" t="s">
        <v>1097</v>
      </c>
      <c r="B8" s="297">
        <v>479371</v>
      </c>
    </row>
    <row r="9" spans="1:7">
      <c r="A9" s="296" t="s">
        <v>1098</v>
      </c>
      <c r="B9" s="297">
        <v>462627</v>
      </c>
    </row>
    <row r="10" spans="1:7">
      <c r="A10" s="296" t="s">
        <v>9</v>
      </c>
      <c r="B10" s="298">
        <v>969983</v>
      </c>
    </row>
    <row r="12" spans="1:7">
      <c r="A12" s="296" t="s">
        <v>1099</v>
      </c>
      <c r="B12" s="296">
        <v>32.51</v>
      </c>
    </row>
    <row r="14" spans="1:7">
      <c r="A14" s="299" t="s">
        <v>1100</v>
      </c>
      <c r="B14" s="299"/>
      <c r="C14" s="300" t="s">
        <v>1101</v>
      </c>
      <c r="D14" s="300"/>
      <c r="E14" s="300"/>
    </row>
    <row r="15" spans="1:7">
      <c r="A15" s="299" t="s">
        <v>1102</v>
      </c>
      <c r="B15" s="299">
        <v>0.49</v>
      </c>
      <c r="C15" s="300"/>
      <c r="D15" s="300"/>
      <c r="E15" s="300"/>
    </row>
    <row r="16" spans="1:7">
      <c r="A16" s="299" t="s">
        <v>1103</v>
      </c>
      <c r="B16" s="299">
        <v>0.78</v>
      </c>
      <c r="C16" s="300"/>
      <c r="D16" s="300"/>
      <c r="E16" s="300"/>
    </row>
    <row r="17" spans="1:5">
      <c r="A17" s="299" t="s">
        <v>1104</v>
      </c>
      <c r="B17" s="299">
        <v>0.72</v>
      </c>
      <c r="C17" s="300"/>
      <c r="D17" s="300"/>
      <c r="E17" s="300"/>
    </row>
    <row r="18" spans="1:5">
      <c r="A18" s="299" t="s">
        <v>1105</v>
      </c>
      <c r="B18" s="301">
        <f>SUM(B15:B17)</f>
        <v>1.99</v>
      </c>
      <c r="C18" s="300"/>
      <c r="D18" s="300"/>
      <c r="E18" s="300"/>
    </row>
    <row r="20" spans="1:5">
      <c r="A20" s="296" t="s">
        <v>1106</v>
      </c>
      <c r="B20" s="302">
        <f>+B18/B12</f>
        <v>6.1211934789295604E-2</v>
      </c>
      <c r="C20" s="302"/>
    </row>
    <row r="22" spans="1:5" ht="25.5">
      <c r="A22" s="303" t="s">
        <v>1107</v>
      </c>
      <c r="B22" s="297">
        <f>+B20*B10</f>
        <v>59374.536142725316</v>
      </c>
    </row>
    <row r="24" spans="1:5">
      <c r="A24" t="s">
        <v>1108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4"/>
  <sheetViews>
    <sheetView workbookViewId="0"/>
  </sheetViews>
  <sheetFormatPr defaultRowHeight="15"/>
  <cols>
    <col min="1" max="1" width="16.6640625" customWidth="1"/>
    <col min="2" max="2" width="12.5546875" customWidth="1"/>
    <col min="3" max="3" width="17.44140625" customWidth="1"/>
    <col min="4" max="4" width="15.6640625" customWidth="1"/>
    <col min="5" max="5" width="12.44140625" customWidth="1"/>
    <col min="6" max="6" width="14.77734375" customWidth="1"/>
    <col min="7" max="7" width="13.44140625" bestFit="1" customWidth="1"/>
  </cols>
  <sheetData>
    <row r="1" spans="1:7" ht="15.75">
      <c r="A1" s="195" t="s">
        <v>321</v>
      </c>
      <c r="B1" s="195"/>
      <c r="C1" s="195"/>
      <c r="D1" s="195"/>
      <c r="E1" s="195"/>
      <c r="F1" s="195"/>
      <c r="G1" s="195"/>
    </row>
    <row r="2" spans="1:7" ht="15.75">
      <c r="A2" s="196" t="s">
        <v>346</v>
      </c>
      <c r="B2" s="196"/>
      <c r="C2" s="196"/>
      <c r="D2" s="196"/>
      <c r="E2" s="196"/>
      <c r="F2" s="196"/>
      <c r="G2" s="196"/>
    </row>
    <row r="4" spans="1:7" ht="21">
      <c r="A4" s="304" t="s">
        <v>1109</v>
      </c>
      <c r="B4" s="305"/>
      <c r="C4" s="305"/>
      <c r="D4" s="305"/>
      <c r="E4" s="305"/>
      <c r="F4" s="305"/>
      <c r="G4" s="305"/>
    </row>
    <row r="5" spans="1:7">
      <c r="A5" s="306"/>
      <c r="B5" s="306"/>
      <c r="C5" s="306"/>
    </row>
    <row r="7" spans="1:7" ht="15.75">
      <c r="A7" s="305" t="s">
        <v>449</v>
      </c>
      <c r="B7" s="307">
        <f>+D40</f>
        <v>7993601.3500000015</v>
      </c>
      <c r="C7" s="305"/>
      <c r="D7" s="305" t="s">
        <v>1110</v>
      </c>
      <c r="E7" s="305"/>
      <c r="F7" s="305"/>
      <c r="G7" s="305"/>
    </row>
    <row r="8" spans="1:7" ht="15.75">
      <c r="A8" s="305" t="s">
        <v>1111</v>
      </c>
      <c r="B8" s="308">
        <f>+D49</f>
        <v>826172.11</v>
      </c>
      <c r="C8" s="305"/>
      <c r="D8" s="305" t="s">
        <v>1112</v>
      </c>
      <c r="E8" s="305"/>
      <c r="F8" s="305"/>
      <c r="G8" s="305"/>
    </row>
    <row r="9" spans="1:7" ht="15.75">
      <c r="A9" s="305" t="s">
        <v>986</v>
      </c>
      <c r="B9" s="308">
        <f>+D68</f>
        <v>2323004.85</v>
      </c>
      <c r="C9" s="305"/>
      <c r="D9" s="305" t="s">
        <v>1113</v>
      </c>
      <c r="E9" s="305"/>
      <c r="F9" s="305"/>
      <c r="G9" s="305"/>
    </row>
    <row r="10" spans="1:7" ht="18">
      <c r="A10" s="305" t="s">
        <v>1114</v>
      </c>
      <c r="B10" s="309">
        <f>+D74</f>
        <v>489825.41000000003</v>
      </c>
      <c r="C10" s="305"/>
      <c r="D10" s="305" t="s">
        <v>1115</v>
      </c>
      <c r="E10" s="305"/>
      <c r="F10" s="305"/>
      <c r="G10" s="305"/>
    </row>
    <row r="11" spans="1:7" ht="15.75">
      <c r="A11" s="305"/>
      <c r="B11" s="310">
        <f>SUM(B7:B10)</f>
        <v>11632603.720000001</v>
      </c>
      <c r="C11" s="305"/>
      <c r="D11" s="305" t="s">
        <v>1116</v>
      </c>
      <c r="E11" s="305"/>
      <c r="F11" s="305"/>
      <c r="G11" s="305"/>
    </row>
    <row r="12" spans="1:7" ht="15.75">
      <c r="A12" s="305"/>
      <c r="B12" s="305"/>
      <c r="C12" s="305"/>
      <c r="D12" s="305" t="s">
        <v>1117</v>
      </c>
      <c r="E12" s="305"/>
      <c r="F12" s="305"/>
      <c r="G12" s="305"/>
    </row>
    <row r="13" spans="1:7" ht="15.75">
      <c r="A13" s="305"/>
      <c r="B13" s="305"/>
      <c r="C13" s="305"/>
      <c r="D13" s="311" t="s">
        <v>1118</v>
      </c>
      <c r="E13" s="305"/>
      <c r="F13" s="305"/>
      <c r="G13" s="305"/>
    </row>
    <row r="14" spans="1:7" ht="15.75">
      <c r="A14" s="305"/>
      <c r="B14" s="305"/>
      <c r="C14" s="305"/>
      <c r="D14" s="311"/>
      <c r="E14" s="305"/>
      <c r="F14" s="305"/>
      <c r="G14" s="305"/>
    </row>
    <row r="16" spans="1:7" ht="15.75">
      <c r="A16" s="312" t="s">
        <v>1119</v>
      </c>
      <c r="B16" s="312"/>
      <c r="C16" s="312"/>
      <c r="D16" s="312"/>
      <c r="E16" s="312"/>
      <c r="F16" s="312"/>
      <c r="G16" s="312"/>
    </row>
    <row r="17" spans="1:7" ht="15.75">
      <c r="A17" s="312" t="s">
        <v>1120</v>
      </c>
      <c r="B17" s="312"/>
      <c r="C17" s="312"/>
      <c r="D17" s="312"/>
      <c r="E17" s="312"/>
      <c r="F17" s="312"/>
      <c r="G17" s="312"/>
    </row>
    <row r="18" spans="1:7" ht="15.75">
      <c r="A18" s="313"/>
      <c r="B18" s="312"/>
      <c r="C18" s="312"/>
      <c r="D18" s="312"/>
      <c r="E18" s="312"/>
      <c r="F18" s="312"/>
      <c r="G18" s="312"/>
    </row>
    <row r="19" spans="1:7" ht="15.75">
      <c r="A19" s="305" t="s">
        <v>1121</v>
      </c>
      <c r="B19" s="305"/>
      <c r="C19" s="305"/>
      <c r="D19" s="305"/>
      <c r="E19" s="305"/>
      <c r="F19" s="305"/>
      <c r="G19" s="305"/>
    </row>
    <row r="20" spans="1:7" ht="15.75">
      <c r="A20" s="314" t="s">
        <v>1122</v>
      </c>
      <c r="B20" s="305"/>
      <c r="C20" s="305"/>
      <c r="D20" s="305"/>
      <c r="E20" s="305"/>
      <c r="F20" s="305"/>
      <c r="G20" s="305"/>
    </row>
    <row r="21" spans="1:7" ht="15.75">
      <c r="A21" s="305"/>
      <c r="B21" s="305"/>
      <c r="C21" s="305"/>
      <c r="D21" s="305"/>
      <c r="E21" s="305"/>
      <c r="F21" s="305"/>
      <c r="G21" s="305"/>
    </row>
    <row r="23" spans="1:7" ht="15.75">
      <c r="A23" s="315" t="s">
        <v>1181</v>
      </c>
    </row>
    <row r="24" spans="1:7" ht="15.75">
      <c r="A24" s="315" t="s">
        <v>1123</v>
      </c>
    </row>
    <row r="26" spans="1:7">
      <c r="A26" s="306" t="s">
        <v>1124</v>
      </c>
      <c r="B26" s="306" t="s">
        <v>1125</v>
      </c>
      <c r="C26" s="316" t="s">
        <v>1182</v>
      </c>
    </row>
    <row r="27" spans="1:7">
      <c r="A27" s="306" t="s">
        <v>1126</v>
      </c>
      <c r="B27" s="306" t="s">
        <v>1127</v>
      </c>
    </row>
    <row r="28" spans="1:7">
      <c r="A28" s="317">
        <v>500</v>
      </c>
      <c r="B28" t="s">
        <v>1128</v>
      </c>
      <c r="C28" s="318">
        <v>972214.33</v>
      </c>
      <c r="E28" s="317"/>
    </row>
    <row r="29" spans="1:7">
      <c r="A29" s="317">
        <v>501</v>
      </c>
      <c r="B29" t="s">
        <v>1129</v>
      </c>
      <c r="C29" s="318">
        <v>474327.24</v>
      </c>
      <c r="E29" s="317"/>
    </row>
    <row r="30" spans="1:7">
      <c r="A30" s="317">
        <v>502</v>
      </c>
      <c r="B30" t="s">
        <v>1130</v>
      </c>
      <c r="C30" s="318">
        <v>1342284.93</v>
      </c>
      <c r="E30" s="317"/>
    </row>
    <row r="31" spans="1:7">
      <c r="A31" s="317">
        <v>505</v>
      </c>
      <c r="B31" t="s">
        <v>1131</v>
      </c>
      <c r="C31" s="318">
        <v>807830.19</v>
      </c>
      <c r="E31" s="317"/>
    </row>
    <row r="32" spans="1:7">
      <c r="A32" s="317">
        <v>506</v>
      </c>
      <c r="B32" t="s">
        <v>1132</v>
      </c>
      <c r="C32" s="318">
        <v>912308.97</v>
      </c>
      <c r="E32" s="317"/>
    </row>
    <row r="33" spans="1:5">
      <c r="A33" s="317">
        <v>510</v>
      </c>
      <c r="B33" t="s">
        <v>1133</v>
      </c>
      <c r="C33" s="318">
        <v>824203.87</v>
      </c>
      <c r="E33" s="317"/>
    </row>
    <row r="34" spans="1:5">
      <c r="A34" s="317">
        <v>511</v>
      </c>
      <c r="B34" t="s">
        <v>1134</v>
      </c>
      <c r="C34" s="318">
        <v>267420.37</v>
      </c>
      <c r="E34" s="317"/>
    </row>
    <row r="35" spans="1:5">
      <c r="A35" s="317">
        <v>512</v>
      </c>
      <c r="B35" t="s">
        <v>1135</v>
      </c>
      <c r="C35" s="318">
        <v>934730.7</v>
      </c>
      <c r="E35" s="317"/>
    </row>
    <row r="36" spans="1:5">
      <c r="A36" s="317">
        <v>513</v>
      </c>
      <c r="B36" t="s">
        <v>1136</v>
      </c>
      <c r="C36" s="318">
        <v>345411.07</v>
      </c>
      <c r="E36" s="317"/>
    </row>
    <row r="37" spans="1:5">
      <c r="A37" s="317">
        <v>514</v>
      </c>
      <c r="B37" t="s">
        <v>1137</v>
      </c>
      <c r="C37" s="318">
        <v>159301.67000000001</v>
      </c>
      <c r="E37" s="317"/>
    </row>
    <row r="38" spans="1:5">
      <c r="A38" s="317">
        <v>516</v>
      </c>
      <c r="B38" t="s">
        <v>1138</v>
      </c>
      <c r="C38" s="318">
        <v>295705.57</v>
      </c>
      <c r="E38" s="317"/>
    </row>
    <row r="39" spans="1:5">
      <c r="A39" s="317">
        <v>556</v>
      </c>
      <c r="B39" t="s">
        <v>1139</v>
      </c>
      <c r="C39" s="318">
        <v>104174.41</v>
      </c>
      <c r="E39" s="317"/>
    </row>
    <row r="40" spans="1:5">
      <c r="A40" s="317">
        <v>557</v>
      </c>
      <c r="B40" t="s">
        <v>1140</v>
      </c>
      <c r="C40" s="318">
        <v>553688.03</v>
      </c>
      <c r="D40" s="318">
        <f>SUM(C28:C40)</f>
        <v>7993601.3500000015</v>
      </c>
      <c r="E40" s="317"/>
    </row>
    <row r="41" spans="1:5">
      <c r="A41" s="317">
        <v>560</v>
      </c>
      <c r="B41" t="s">
        <v>1141</v>
      </c>
      <c r="C41" s="319">
        <v>81245.64</v>
      </c>
      <c r="E41" s="317"/>
    </row>
    <row r="42" spans="1:5">
      <c r="A42" s="317">
        <v>561</v>
      </c>
      <c r="B42" t="s">
        <v>1142</v>
      </c>
      <c r="C42" s="319">
        <v>282325.13</v>
      </c>
      <c r="E42" s="317"/>
    </row>
    <row r="43" spans="1:5">
      <c r="A43" s="317">
        <v>562</v>
      </c>
      <c r="B43" t="s">
        <v>1143</v>
      </c>
      <c r="C43" s="319">
        <v>119188.92</v>
      </c>
      <c r="E43" s="317"/>
    </row>
    <row r="44" spans="1:5">
      <c r="A44" s="317">
        <v>563</v>
      </c>
      <c r="B44" t="s">
        <v>1144</v>
      </c>
      <c r="C44" s="319">
        <v>5744.41</v>
      </c>
      <c r="E44" s="317"/>
    </row>
    <row r="45" spans="1:5">
      <c r="A45" s="317">
        <v>566</v>
      </c>
      <c r="B45" t="s">
        <v>1145</v>
      </c>
      <c r="C45" s="319">
        <v>82201.59</v>
      </c>
      <c r="E45" s="317"/>
    </row>
    <row r="46" spans="1:5">
      <c r="A46" s="317">
        <v>568</v>
      </c>
      <c r="B46" t="s">
        <v>1146</v>
      </c>
      <c r="C46" s="319">
        <v>36485.54</v>
      </c>
      <c r="E46" s="317"/>
    </row>
    <row r="47" spans="1:5">
      <c r="A47" s="317">
        <v>570</v>
      </c>
      <c r="B47" t="s">
        <v>1147</v>
      </c>
      <c r="C47" s="319">
        <v>99593.1</v>
      </c>
      <c r="E47" s="317"/>
    </row>
    <row r="48" spans="1:5">
      <c r="A48" s="317">
        <v>571</v>
      </c>
      <c r="B48" t="s">
        <v>1148</v>
      </c>
      <c r="C48" s="319">
        <v>67862.100000000006</v>
      </c>
      <c r="E48" s="317"/>
    </row>
    <row r="49" spans="1:5">
      <c r="A49" s="317">
        <v>575</v>
      </c>
      <c r="B49" t="s">
        <v>1149</v>
      </c>
      <c r="C49" s="319">
        <v>51525.68</v>
      </c>
      <c r="D49" s="319">
        <f>SUM(C41:C49)</f>
        <v>826172.11</v>
      </c>
      <c r="E49" s="317"/>
    </row>
    <row r="50" spans="1:5">
      <c r="A50" s="317">
        <v>580</v>
      </c>
      <c r="B50" t="s">
        <v>1150</v>
      </c>
      <c r="C50" s="320">
        <v>194904.32000000001</v>
      </c>
      <c r="E50" s="317"/>
    </row>
    <row r="51" spans="1:5">
      <c r="A51" s="317">
        <v>581</v>
      </c>
      <c r="B51" t="s">
        <v>1151</v>
      </c>
      <c r="C51" s="320">
        <v>329085.09999999998</v>
      </c>
      <c r="E51" s="317"/>
    </row>
    <row r="52" spans="1:5">
      <c r="A52" s="317">
        <v>582</v>
      </c>
      <c r="B52" t="s">
        <v>1152</v>
      </c>
      <c r="C52" s="320">
        <v>77769.960000000006</v>
      </c>
      <c r="E52" s="317"/>
    </row>
    <row r="53" spans="1:5">
      <c r="A53" s="317">
        <v>583</v>
      </c>
      <c r="B53" t="s">
        <v>1153</v>
      </c>
      <c r="C53" s="320">
        <v>1796.02</v>
      </c>
      <c r="E53" s="317"/>
    </row>
    <row r="54" spans="1:5">
      <c r="A54" s="317">
        <v>584</v>
      </c>
      <c r="B54" t="s">
        <v>1154</v>
      </c>
      <c r="C54" s="320">
        <v>33825.769999999997</v>
      </c>
      <c r="E54" s="317"/>
    </row>
    <row r="55" spans="1:5">
      <c r="A55" s="317">
        <v>585</v>
      </c>
      <c r="B55" t="s">
        <v>1155</v>
      </c>
      <c r="C55" s="320">
        <v>4926.59</v>
      </c>
      <c r="E55" s="317"/>
    </row>
    <row r="56" spans="1:5">
      <c r="A56" s="317">
        <v>586</v>
      </c>
      <c r="B56" t="s">
        <v>1156</v>
      </c>
      <c r="C56" s="320">
        <v>111887.44</v>
      </c>
      <c r="E56" s="317"/>
    </row>
    <row r="57" spans="1:5">
      <c r="A57" s="317">
        <v>587</v>
      </c>
      <c r="B57" t="s">
        <v>1157</v>
      </c>
      <c r="C57" s="320">
        <v>7793.08</v>
      </c>
      <c r="E57" s="317"/>
    </row>
    <row r="58" spans="1:5">
      <c r="A58" s="317">
        <v>588</v>
      </c>
      <c r="B58" t="s">
        <v>1158</v>
      </c>
      <c r="C58" s="320">
        <v>436939.92</v>
      </c>
      <c r="E58" s="317"/>
    </row>
    <row r="59" spans="1:5">
      <c r="A59" s="317">
        <v>589</v>
      </c>
      <c r="B59" t="s">
        <v>1159</v>
      </c>
      <c r="C59" s="320">
        <v>68236.009999999995</v>
      </c>
      <c r="E59" s="317"/>
    </row>
    <row r="60" spans="1:5">
      <c r="A60" s="317">
        <v>590</v>
      </c>
      <c r="B60" t="s">
        <v>1160</v>
      </c>
      <c r="C60" s="320">
        <v>153964.19</v>
      </c>
      <c r="E60" s="317"/>
    </row>
    <row r="61" spans="1:5">
      <c r="A61" s="317">
        <v>592</v>
      </c>
      <c r="B61" t="s">
        <v>1161</v>
      </c>
      <c r="C61" s="320">
        <v>54325.47</v>
      </c>
      <c r="E61" s="317"/>
    </row>
    <row r="62" spans="1:5">
      <c r="A62" s="317">
        <v>593</v>
      </c>
      <c r="B62" t="s">
        <v>1162</v>
      </c>
      <c r="C62" s="320">
        <v>400529.73</v>
      </c>
      <c r="E62" s="317"/>
    </row>
    <row r="63" spans="1:5">
      <c r="A63" s="317">
        <v>594</v>
      </c>
      <c r="B63" t="s">
        <v>1163</v>
      </c>
      <c r="C63" s="320">
        <v>92977.46</v>
      </c>
      <c r="E63" s="317"/>
    </row>
    <row r="64" spans="1:5">
      <c r="A64" s="317">
        <v>595</v>
      </c>
      <c r="B64" t="s">
        <v>1164</v>
      </c>
      <c r="C64" s="320">
        <v>31542.87</v>
      </c>
      <c r="E64" s="317"/>
    </row>
    <row r="65" spans="1:5">
      <c r="A65" s="317">
        <v>596</v>
      </c>
      <c r="B65" t="s">
        <v>1165</v>
      </c>
      <c r="C65" s="320">
        <v>76711.81</v>
      </c>
      <c r="E65" s="317"/>
    </row>
    <row r="66" spans="1:5">
      <c r="A66" s="317">
        <v>597</v>
      </c>
      <c r="B66" t="s">
        <v>1166</v>
      </c>
      <c r="C66" s="320">
        <v>24736.16</v>
      </c>
      <c r="E66" s="317"/>
    </row>
    <row r="67" spans="1:5">
      <c r="A67" s="317">
        <v>598</v>
      </c>
      <c r="B67" t="s">
        <v>1167</v>
      </c>
      <c r="C67" s="320">
        <v>17645.25</v>
      </c>
      <c r="E67" s="317"/>
    </row>
    <row r="68" spans="1:5">
      <c r="A68" s="317">
        <v>599</v>
      </c>
      <c r="B68" t="s">
        <v>1168</v>
      </c>
      <c r="C68" s="320">
        <v>203407.7</v>
      </c>
      <c r="D68" s="320">
        <f>SUM(C50:C68)</f>
        <v>2323004.85</v>
      </c>
      <c r="E68" s="317"/>
    </row>
    <row r="69" spans="1:5">
      <c r="A69" s="317">
        <v>901</v>
      </c>
      <c r="B69" t="s">
        <v>1169</v>
      </c>
      <c r="C69" s="321">
        <v>38601.18</v>
      </c>
      <c r="E69" s="317"/>
    </row>
    <row r="70" spans="1:5">
      <c r="A70" s="317">
        <v>902</v>
      </c>
      <c r="B70" t="s">
        <v>1170</v>
      </c>
      <c r="C70" s="321">
        <v>91748.73</v>
      </c>
      <c r="E70" s="317"/>
    </row>
    <row r="71" spans="1:5">
      <c r="A71" s="317">
        <v>903</v>
      </c>
      <c r="B71" t="s">
        <v>1171</v>
      </c>
      <c r="C71" s="321">
        <v>315335.61</v>
      </c>
      <c r="E71" s="317"/>
    </row>
    <row r="72" spans="1:5">
      <c r="A72" s="317">
        <v>906</v>
      </c>
      <c r="B72" t="s">
        <v>1172</v>
      </c>
      <c r="C72" s="321">
        <v>41746.269999999997</v>
      </c>
      <c r="E72" s="317"/>
    </row>
    <row r="73" spans="1:5">
      <c r="A73" s="317">
        <v>910</v>
      </c>
      <c r="B73" t="s">
        <v>1173</v>
      </c>
      <c r="C73" s="321">
        <v>1716.13</v>
      </c>
      <c r="E73" s="317"/>
    </row>
    <row r="74" spans="1:5">
      <c r="A74" s="317">
        <v>911</v>
      </c>
      <c r="B74" t="s">
        <v>1174</v>
      </c>
      <c r="C74" s="321">
        <v>677.49</v>
      </c>
      <c r="D74" s="321">
        <f>SUM(C69:C74)</f>
        <v>489825.41000000003</v>
      </c>
      <c r="E74" s="317"/>
    </row>
    <row r="75" spans="1:5">
      <c r="A75" s="317">
        <v>920</v>
      </c>
      <c r="B75" t="s">
        <v>1175</v>
      </c>
      <c r="C75">
        <v>2123229.9500000002</v>
      </c>
      <c r="E75" s="317"/>
    </row>
    <row r="76" spans="1:5">
      <c r="A76" s="317">
        <v>921</v>
      </c>
      <c r="B76" t="s">
        <v>1176</v>
      </c>
      <c r="C76">
        <v>3304.55</v>
      </c>
      <c r="E76" s="317"/>
    </row>
    <row r="77" spans="1:5">
      <c r="A77" s="317">
        <v>925</v>
      </c>
      <c r="B77" t="s">
        <v>1177</v>
      </c>
      <c r="C77">
        <v>12724.52</v>
      </c>
      <c r="E77" s="317"/>
    </row>
    <row r="78" spans="1:5">
      <c r="A78" s="317">
        <v>930</v>
      </c>
      <c r="B78" t="s">
        <v>1178</v>
      </c>
      <c r="C78">
        <v>54404.23</v>
      </c>
      <c r="E78" s="317"/>
    </row>
    <row r="79" spans="1:5">
      <c r="A79" s="317">
        <v>932</v>
      </c>
      <c r="B79" t="s">
        <v>1179</v>
      </c>
      <c r="C79">
        <v>21451.55</v>
      </c>
      <c r="E79" s="317"/>
    </row>
    <row r="80" spans="1:5">
      <c r="A80" s="317">
        <v>934</v>
      </c>
      <c r="B80" t="s">
        <v>1180</v>
      </c>
      <c r="C80">
        <v>165418.18</v>
      </c>
      <c r="E80" s="317"/>
    </row>
    <row r="81" spans="1:5">
      <c r="A81" s="317">
        <v>936</v>
      </c>
      <c r="B81" t="s">
        <v>1172</v>
      </c>
      <c r="C81">
        <v>180323.43</v>
      </c>
      <c r="E81" s="317"/>
    </row>
    <row r="82" spans="1:5">
      <c r="A82" s="317"/>
    </row>
    <row r="83" spans="1:5">
      <c r="A83" t="s">
        <v>2</v>
      </c>
      <c r="B83" t="s">
        <v>9</v>
      </c>
      <c r="C83">
        <f>SUM(C28:C81)</f>
        <v>14193460.129999999</v>
      </c>
      <c r="D83">
        <f>SUM(D40:D74)</f>
        <v>11632603.720000001</v>
      </c>
      <c r="E83" s="317"/>
    </row>
    <row r="84" spans="1:5">
      <c r="E84" s="317"/>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2"/>
  <sheetViews>
    <sheetView workbookViewId="0"/>
  </sheetViews>
  <sheetFormatPr defaultRowHeight="15"/>
  <cols>
    <col min="2" max="2" width="35.44140625" customWidth="1"/>
    <col min="3" max="3" width="14.21875" customWidth="1"/>
    <col min="4" max="4" width="12.44140625" customWidth="1"/>
  </cols>
  <sheetData>
    <row r="1" spans="1:11" ht="15.75">
      <c r="A1" s="195" t="s">
        <v>321</v>
      </c>
      <c r="B1" s="195"/>
      <c r="C1" s="195"/>
      <c r="D1" s="195"/>
      <c r="E1" s="195"/>
      <c r="F1" s="195"/>
      <c r="G1" s="195"/>
      <c r="H1" s="322"/>
      <c r="I1" s="305"/>
      <c r="J1" s="305"/>
      <c r="K1" s="305"/>
    </row>
    <row r="2" spans="1:11" ht="15.75">
      <c r="A2" s="196" t="s">
        <v>346</v>
      </c>
      <c r="B2" s="196"/>
      <c r="C2" s="196"/>
      <c r="D2" s="196"/>
      <c r="E2" s="196"/>
      <c r="F2" s="196"/>
      <c r="G2" s="196"/>
      <c r="H2" s="322"/>
      <c r="I2" s="305"/>
      <c r="J2" s="305"/>
      <c r="K2" s="305"/>
    </row>
    <row r="3" spans="1:11" ht="15.75">
      <c r="A3" s="323" t="s">
        <v>341</v>
      </c>
      <c r="B3" s="324"/>
      <c r="C3" s="325"/>
      <c r="D3" s="324"/>
      <c r="E3" s="324"/>
      <c r="F3" s="305"/>
      <c r="G3" s="305"/>
      <c r="H3" s="305"/>
      <c r="I3" s="305"/>
      <c r="J3" s="305"/>
      <c r="K3" s="305"/>
    </row>
    <row r="4" spans="1:11" ht="15.75">
      <c r="A4" s="324"/>
      <c r="B4" s="326" t="s">
        <v>1183</v>
      </c>
      <c r="C4" s="327" t="s">
        <v>1184</v>
      </c>
      <c r="D4" s="328" t="s">
        <v>1185</v>
      </c>
      <c r="E4" s="324"/>
      <c r="F4" s="305"/>
      <c r="G4" s="305"/>
      <c r="H4" s="305"/>
      <c r="I4" s="305"/>
      <c r="J4" s="305"/>
      <c r="K4" s="305"/>
    </row>
    <row r="5" spans="1:11" ht="15.75">
      <c r="A5" s="324"/>
      <c r="B5" s="326"/>
      <c r="C5" s="327" t="s">
        <v>1186</v>
      </c>
      <c r="D5" s="328" t="s">
        <v>359</v>
      </c>
      <c r="E5" s="324"/>
      <c r="F5" s="305"/>
      <c r="G5" s="305"/>
      <c r="H5" s="305"/>
      <c r="I5" s="305"/>
      <c r="J5" s="305"/>
      <c r="K5" s="305"/>
    </row>
    <row r="6" spans="1:11" ht="15.75">
      <c r="A6" s="324"/>
      <c r="B6" s="324"/>
      <c r="C6" s="305"/>
      <c r="D6" s="325"/>
      <c r="E6" s="324"/>
      <c r="F6" s="305"/>
      <c r="G6" s="305"/>
      <c r="H6" s="305"/>
      <c r="I6" s="305"/>
      <c r="J6" s="305"/>
      <c r="K6" s="305"/>
    </row>
    <row r="7" spans="1:11" ht="15.75">
      <c r="A7" s="324"/>
      <c r="B7" s="329" t="s">
        <v>1187</v>
      </c>
      <c r="C7" s="330">
        <v>0</v>
      </c>
      <c r="D7" s="330">
        <v>0</v>
      </c>
      <c r="E7" s="324"/>
      <c r="F7" s="305"/>
      <c r="G7" s="305"/>
      <c r="H7" s="331"/>
      <c r="I7" s="332"/>
      <c r="J7" s="332"/>
      <c r="K7" s="332"/>
    </row>
    <row r="8" spans="1:11" ht="15.75">
      <c r="A8" s="324"/>
      <c r="B8" s="333"/>
      <c r="C8" s="334">
        <v>0</v>
      </c>
      <c r="D8" s="334">
        <v>0</v>
      </c>
      <c r="E8" s="324"/>
      <c r="F8" s="305"/>
      <c r="G8" s="305"/>
      <c r="H8" s="332"/>
      <c r="I8" s="332"/>
      <c r="J8" s="332"/>
      <c r="K8" s="332"/>
    </row>
    <row r="9" spans="1:11" ht="17.25">
      <c r="A9" s="324"/>
      <c r="B9" s="333"/>
      <c r="C9" s="335">
        <v>0</v>
      </c>
      <c r="D9" s="335">
        <v>0</v>
      </c>
      <c r="E9" s="324"/>
      <c r="F9" s="305"/>
      <c r="G9" s="305"/>
      <c r="H9" s="305"/>
      <c r="I9" s="305"/>
      <c r="J9" s="305"/>
      <c r="K9" s="305"/>
    </row>
    <row r="10" spans="1:11" ht="15.75">
      <c r="A10" s="324"/>
      <c r="B10" s="336" t="s">
        <v>9</v>
      </c>
      <c r="C10" s="337">
        <v>0</v>
      </c>
      <c r="D10" s="337">
        <v>0</v>
      </c>
      <c r="E10" s="324"/>
      <c r="F10" s="305"/>
      <c r="G10" s="305"/>
      <c r="H10" s="305"/>
      <c r="I10" s="305"/>
      <c r="J10" s="305"/>
      <c r="K10" s="305"/>
    </row>
    <row r="11" spans="1:11" ht="15.75">
      <c r="A11" s="324"/>
      <c r="B11" s="324"/>
      <c r="C11" s="325"/>
      <c r="D11" s="324"/>
      <c r="E11" s="324"/>
      <c r="F11" s="305"/>
      <c r="G11" s="305"/>
      <c r="H11" s="305"/>
      <c r="I11" s="305"/>
      <c r="J11" s="305"/>
      <c r="K11" s="305"/>
    </row>
    <row r="12" spans="1:11" ht="15.75">
      <c r="A12" s="324"/>
      <c r="B12" s="324"/>
      <c r="C12" s="325"/>
      <c r="D12" s="324"/>
      <c r="E12" s="324"/>
      <c r="F12" s="305"/>
      <c r="G12" s="305"/>
      <c r="H12" s="305"/>
      <c r="I12" s="305"/>
      <c r="J12" s="305"/>
      <c r="K12" s="305"/>
    </row>
    <row r="13" spans="1:11" ht="15.75">
      <c r="A13" s="324"/>
      <c r="B13" s="329" t="s">
        <v>1187</v>
      </c>
      <c r="C13" s="330">
        <v>0</v>
      </c>
      <c r="D13" s="330">
        <v>0</v>
      </c>
      <c r="E13" s="324"/>
      <c r="F13" s="305"/>
      <c r="G13" s="305"/>
      <c r="H13" s="305"/>
      <c r="I13" s="305"/>
      <c r="J13" s="305"/>
      <c r="K13" s="305"/>
    </row>
    <row r="14" spans="1:11" ht="15.75">
      <c r="A14" s="324"/>
      <c r="B14" s="333"/>
      <c r="C14" s="334">
        <v>0</v>
      </c>
      <c r="D14" s="334">
        <v>0</v>
      </c>
      <c r="E14" s="324"/>
      <c r="F14" s="305"/>
      <c r="G14" s="305"/>
      <c r="H14" s="305"/>
      <c r="I14" s="305"/>
      <c r="J14" s="305"/>
      <c r="K14" s="305"/>
    </row>
    <row r="15" spans="1:11" ht="17.25">
      <c r="A15" s="324"/>
      <c r="B15" s="333"/>
      <c r="C15" s="335">
        <v>0</v>
      </c>
      <c r="D15" s="335">
        <v>0</v>
      </c>
      <c r="E15" s="324"/>
      <c r="F15" s="305"/>
      <c r="G15" s="305"/>
      <c r="H15" s="305"/>
      <c r="I15" s="305"/>
      <c r="J15" s="305"/>
      <c r="K15" s="305"/>
    </row>
    <row r="16" spans="1:11" ht="15.75">
      <c r="A16" s="324"/>
      <c r="B16" s="336" t="s">
        <v>9</v>
      </c>
      <c r="C16" s="337">
        <v>0</v>
      </c>
      <c r="D16" s="337">
        <v>0</v>
      </c>
      <c r="E16" s="324"/>
      <c r="F16" s="305"/>
      <c r="G16" s="305"/>
      <c r="H16" s="305"/>
      <c r="I16" s="305"/>
      <c r="J16" s="305"/>
      <c r="K16" s="305"/>
    </row>
    <row r="17" spans="1:5">
      <c r="A17" s="324"/>
      <c r="B17" s="324"/>
      <c r="C17" s="325"/>
      <c r="D17" s="324"/>
      <c r="E17" s="324"/>
    </row>
    <row r="18" spans="1:5">
      <c r="A18" s="324"/>
      <c r="B18" s="324"/>
      <c r="C18" s="325"/>
      <c r="D18" s="324"/>
      <c r="E18" s="324"/>
    </row>
    <row r="19" spans="1:5">
      <c r="A19" s="324"/>
      <c r="B19" s="329" t="s">
        <v>1187</v>
      </c>
      <c r="C19" s="330">
        <v>0</v>
      </c>
      <c r="D19" s="330">
        <v>0</v>
      </c>
      <c r="E19" s="324"/>
    </row>
    <row r="20" spans="1:5">
      <c r="A20" s="324"/>
      <c r="B20" s="333"/>
      <c r="C20" s="334">
        <v>0</v>
      </c>
      <c r="D20" s="334">
        <v>0</v>
      </c>
      <c r="E20" s="324"/>
    </row>
    <row r="21" spans="1:5" ht="17.25">
      <c r="A21" s="324"/>
      <c r="B21" s="333"/>
      <c r="C21" s="335">
        <v>0</v>
      </c>
      <c r="D21" s="335">
        <v>0</v>
      </c>
      <c r="E21" s="324"/>
    </row>
    <row r="22" spans="1:5">
      <c r="A22" s="324"/>
      <c r="B22" s="336" t="s">
        <v>9</v>
      </c>
      <c r="C22" s="337">
        <v>0</v>
      </c>
      <c r="D22" s="337">
        <v>0</v>
      </c>
      <c r="E22" s="324"/>
    </row>
    <row r="23" spans="1:5">
      <c r="A23" s="324"/>
      <c r="B23" s="333"/>
      <c r="C23" s="325"/>
      <c r="D23" s="324"/>
      <c r="E23" s="324"/>
    </row>
    <row r="24" spans="1:5">
      <c r="A24" s="324"/>
      <c r="B24" s="338"/>
      <c r="C24" s="325"/>
      <c r="D24" s="324"/>
      <c r="E24" s="324"/>
    </row>
    <row r="25" spans="1:5">
      <c r="A25" s="324"/>
      <c r="B25" s="329" t="s">
        <v>1187</v>
      </c>
      <c r="C25" s="339">
        <v>0</v>
      </c>
      <c r="D25" s="340">
        <v>0</v>
      </c>
      <c r="E25" s="324"/>
    </row>
    <row r="26" spans="1:5">
      <c r="A26" s="324"/>
      <c r="B26" s="333"/>
      <c r="C26" s="341">
        <v>0</v>
      </c>
      <c r="D26" s="342">
        <v>0</v>
      </c>
      <c r="E26" s="324"/>
    </row>
    <row r="27" spans="1:5" ht="17.25">
      <c r="A27" s="324"/>
      <c r="B27" s="333"/>
      <c r="C27" s="343">
        <v>0</v>
      </c>
      <c r="D27" s="343">
        <v>0</v>
      </c>
      <c r="E27" s="324"/>
    </row>
    <row r="28" spans="1:5">
      <c r="A28" s="324"/>
      <c r="B28" s="336" t="s">
        <v>9</v>
      </c>
      <c r="C28" s="337">
        <v>0</v>
      </c>
      <c r="D28" s="337">
        <v>0</v>
      </c>
      <c r="E28" s="324"/>
    </row>
    <row r="29" spans="1:5">
      <c r="A29" s="324"/>
      <c r="B29" s="336"/>
      <c r="C29" s="325"/>
      <c r="D29" s="325"/>
      <c r="E29" s="324"/>
    </row>
    <row r="30" spans="1:5">
      <c r="A30" s="324"/>
      <c r="B30" s="336"/>
      <c r="C30" s="325"/>
      <c r="D30" s="325"/>
      <c r="E30" s="324"/>
    </row>
    <row r="31" spans="1:5">
      <c r="A31" s="324"/>
      <c r="B31" s="329" t="s">
        <v>1187</v>
      </c>
      <c r="C31" s="330">
        <v>0</v>
      </c>
      <c r="D31" s="330">
        <v>0</v>
      </c>
      <c r="E31" s="324"/>
    </row>
    <row r="32" spans="1:5">
      <c r="A32" s="324"/>
      <c r="B32" s="333"/>
      <c r="C32" s="334">
        <v>0</v>
      </c>
      <c r="D32" s="334">
        <v>0</v>
      </c>
      <c r="E32" s="324"/>
    </row>
    <row r="33" spans="1:7" ht="17.25">
      <c r="A33" s="324"/>
      <c r="B33" s="333"/>
      <c r="C33" s="335">
        <v>0</v>
      </c>
      <c r="D33" s="335">
        <v>0</v>
      </c>
      <c r="E33" s="324"/>
      <c r="F33" s="305"/>
      <c r="G33" s="305"/>
    </row>
    <row r="34" spans="1:7" ht="15.75">
      <c r="A34" s="324"/>
      <c r="B34" s="336" t="s">
        <v>9</v>
      </c>
      <c r="C34" s="337">
        <v>0</v>
      </c>
      <c r="D34" s="337">
        <v>0</v>
      </c>
      <c r="E34" s="324"/>
      <c r="F34" s="305"/>
      <c r="G34" s="305"/>
    </row>
    <row r="35" spans="1:7" ht="15.75">
      <c r="A35" s="324"/>
      <c r="B35" s="336"/>
      <c r="C35" s="325"/>
      <c r="D35" s="325"/>
      <c r="E35" s="324"/>
      <c r="F35" s="305"/>
      <c r="G35" s="305"/>
    </row>
    <row r="36" spans="1:7" ht="15.75">
      <c r="A36" s="324"/>
      <c r="B36" s="324"/>
      <c r="C36" s="325"/>
      <c r="D36" s="324"/>
      <c r="E36" s="324"/>
      <c r="F36" s="305"/>
      <c r="G36" s="305"/>
    </row>
    <row r="37" spans="1:7" ht="15.75">
      <c r="A37" s="324"/>
      <c r="B37" s="333" t="s">
        <v>1188</v>
      </c>
      <c r="C37" s="337">
        <v>0</v>
      </c>
      <c r="D37" s="337">
        <v>0</v>
      </c>
      <c r="E37" s="324"/>
      <c r="F37" s="305"/>
      <c r="G37" s="344" t="s">
        <v>1189</v>
      </c>
    </row>
    <row r="38" spans="1:7" ht="15.75">
      <c r="A38" s="324"/>
      <c r="B38" s="324"/>
      <c r="C38" s="325"/>
      <c r="D38" s="324"/>
      <c r="E38" s="324"/>
      <c r="F38" s="305"/>
      <c r="G38" s="345" t="s">
        <v>1190</v>
      </c>
    </row>
    <row r="39" spans="1:7" ht="15.75">
      <c r="A39" s="324"/>
      <c r="B39" s="324"/>
      <c r="C39" s="325"/>
      <c r="D39" s="324"/>
      <c r="E39" s="324"/>
      <c r="F39" s="305"/>
      <c r="G39" s="345" t="s">
        <v>1191</v>
      </c>
    </row>
    <row r="40" spans="1:7" ht="15.75">
      <c r="A40" s="305"/>
      <c r="B40" s="305"/>
      <c r="C40" s="305"/>
      <c r="D40" s="305"/>
      <c r="E40" s="305"/>
      <c r="F40" s="305"/>
      <c r="G40" s="345" t="s">
        <v>1192</v>
      </c>
    </row>
    <row r="41" spans="1:7" ht="15.75">
      <c r="A41" s="305"/>
      <c r="B41" s="305"/>
      <c r="C41" s="325"/>
      <c r="D41" s="324"/>
      <c r="E41" s="305"/>
      <c r="F41" s="305"/>
      <c r="G41" s="345" t="s">
        <v>1193</v>
      </c>
    </row>
    <row r="42" spans="1:7" ht="15.75">
      <c r="A42" s="305"/>
      <c r="B42" s="346"/>
      <c r="C42" s="305"/>
      <c r="D42" s="324"/>
      <c r="E42" s="305"/>
      <c r="F42" s="305"/>
      <c r="G42" s="345" t="s">
        <v>1194</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1"/>
  <sheetViews>
    <sheetView workbookViewId="0"/>
  </sheetViews>
  <sheetFormatPr defaultRowHeight="15"/>
  <cols>
    <col min="1" max="1" width="19" customWidth="1"/>
  </cols>
  <sheetData>
    <row r="1" spans="1:9" ht="15.75">
      <c r="A1" s="195" t="s">
        <v>321</v>
      </c>
      <c r="B1" s="347"/>
      <c r="C1" s="347"/>
      <c r="D1" s="347"/>
      <c r="E1" s="347"/>
      <c r="F1" s="347"/>
      <c r="G1" s="347"/>
      <c r="H1" s="347"/>
      <c r="I1" s="305"/>
    </row>
    <row r="2" spans="1:9" ht="15.75">
      <c r="A2" s="196" t="s">
        <v>346</v>
      </c>
      <c r="B2" s="347"/>
      <c r="C2" s="347"/>
      <c r="D2" s="347"/>
      <c r="E2" s="347"/>
      <c r="F2" s="347"/>
      <c r="G2" s="347"/>
      <c r="H2" s="347"/>
      <c r="I2" s="305"/>
    </row>
    <row r="3" spans="1:9" ht="15.75">
      <c r="A3" s="347" t="s">
        <v>1195</v>
      </c>
      <c r="B3" s="347"/>
      <c r="C3" s="347"/>
      <c r="D3" s="347"/>
      <c r="E3" s="347"/>
      <c r="F3" s="347"/>
      <c r="G3" s="347"/>
      <c r="H3" s="347"/>
      <c r="I3" s="305"/>
    </row>
    <row r="5" spans="1:9" ht="18.75">
      <c r="A5" s="348" t="s">
        <v>1196</v>
      </c>
      <c r="B5" s="349"/>
      <c r="C5" s="349"/>
      <c r="D5" s="305"/>
      <c r="E5" s="305"/>
      <c r="F5" s="305"/>
      <c r="G5" s="305"/>
      <c r="H5" s="305"/>
      <c r="I5" s="305"/>
    </row>
    <row r="6" spans="1:9">
      <c r="A6" s="287" t="s">
        <v>341</v>
      </c>
    </row>
    <row r="8" spans="1:9" ht="15.75">
      <c r="A8" s="350" t="s">
        <v>1197</v>
      </c>
      <c r="B8" s="351" t="s">
        <v>7</v>
      </c>
      <c r="C8" s="305"/>
      <c r="D8" s="305"/>
      <c r="E8" s="305"/>
      <c r="F8" s="305"/>
      <c r="G8" s="305"/>
      <c r="H8" s="305"/>
      <c r="I8" s="305"/>
    </row>
    <row r="10" spans="1:9" ht="15.75">
      <c r="A10" s="305" t="s">
        <v>1198</v>
      </c>
      <c r="B10" s="310">
        <v>0</v>
      </c>
      <c r="C10" s="305"/>
      <c r="D10" s="305"/>
      <c r="E10" s="305"/>
      <c r="F10" s="305"/>
      <c r="G10" s="305"/>
      <c r="H10" s="305"/>
      <c r="I10" s="305"/>
    </row>
    <row r="11" spans="1:9" ht="15.75">
      <c r="A11" s="305" t="s">
        <v>1198</v>
      </c>
      <c r="B11" s="308">
        <v>0</v>
      </c>
      <c r="C11" s="305"/>
      <c r="D11" s="305"/>
      <c r="E11" s="305"/>
      <c r="F11" s="305"/>
      <c r="G11" s="305"/>
      <c r="H11" s="305"/>
      <c r="I11" s="305"/>
    </row>
    <row r="12" spans="1:9" ht="15.75">
      <c r="A12" s="305" t="s">
        <v>1198</v>
      </c>
      <c r="B12" s="352">
        <v>0</v>
      </c>
      <c r="C12" s="305"/>
      <c r="D12" s="305"/>
      <c r="E12" s="305"/>
      <c r="F12" s="305"/>
      <c r="G12" s="305"/>
      <c r="H12" s="305"/>
      <c r="I12" s="305"/>
    </row>
    <row r="13" spans="1:9" ht="15.75">
      <c r="A13" s="305" t="s">
        <v>1198</v>
      </c>
      <c r="B13" s="352">
        <v>0</v>
      </c>
      <c r="C13" s="305"/>
      <c r="D13" s="305"/>
      <c r="E13" s="305"/>
      <c r="F13" s="305"/>
      <c r="G13" s="305"/>
      <c r="H13" s="305"/>
      <c r="I13" s="305"/>
    </row>
    <row r="14" spans="1:9" ht="15.75">
      <c r="A14" s="305" t="s">
        <v>1199</v>
      </c>
      <c r="B14" s="353">
        <v>0</v>
      </c>
      <c r="C14" s="305"/>
      <c r="D14" s="305" t="s">
        <v>1200</v>
      </c>
      <c r="E14" s="305"/>
      <c r="F14" s="305"/>
      <c r="G14" s="305"/>
      <c r="H14" s="305"/>
      <c r="I14" s="305"/>
    </row>
    <row r="15" spans="1:9" ht="15.75">
      <c r="A15" s="305"/>
      <c r="B15" s="305"/>
      <c r="C15" s="305"/>
      <c r="D15" s="396" t="s">
        <v>1201</v>
      </c>
      <c r="E15" s="396"/>
      <c r="F15" s="396" t="s">
        <v>1202</v>
      </c>
      <c r="G15" s="396"/>
      <c r="H15" s="396"/>
      <c r="I15" s="396"/>
    </row>
    <row r="16" spans="1:9" ht="15.75">
      <c r="A16" s="305"/>
      <c r="B16" s="305"/>
      <c r="C16" s="305"/>
      <c r="D16" s="305" t="s">
        <v>453</v>
      </c>
      <c r="E16" s="305"/>
      <c r="F16" s="305"/>
      <c r="G16" s="305"/>
      <c r="H16" s="305"/>
      <c r="I16" s="305"/>
    </row>
    <row r="17" spans="4:6" ht="15.75">
      <c r="D17" s="305" t="s">
        <v>470</v>
      </c>
      <c r="E17" s="305"/>
      <c r="F17" s="354"/>
    </row>
    <row r="18" spans="4:6" ht="15.75">
      <c r="D18" s="305" t="s">
        <v>455</v>
      </c>
      <c r="E18" s="305"/>
      <c r="F18" s="305"/>
    </row>
    <row r="19" spans="4:6" ht="15.75">
      <c r="D19" s="305" t="s">
        <v>456</v>
      </c>
      <c r="E19" s="305"/>
      <c r="F19" s="305"/>
    </row>
    <row r="21" spans="4:6" ht="15.75">
      <c r="D21" s="305"/>
      <c r="E21" s="305"/>
      <c r="F21" s="305"/>
    </row>
  </sheetData>
  <mergeCells count="1">
    <mergeCell ref="D15:I1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5"/>
  <sheetViews>
    <sheetView topLeftCell="A4" workbookViewId="0">
      <selection activeCell="E9" sqref="E9"/>
    </sheetView>
  </sheetViews>
  <sheetFormatPr defaultRowHeight="15"/>
  <cols>
    <col min="2" max="2" width="66.109375" customWidth="1"/>
    <col min="3" max="3" width="12.109375" customWidth="1"/>
    <col min="4" max="4" width="8.5546875" bestFit="1" customWidth="1"/>
    <col min="5" max="5" width="21.109375" bestFit="1" customWidth="1"/>
    <col min="6" max="6" width="9.6640625" bestFit="1" customWidth="1"/>
    <col min="7" max="7" width="9.88671875" bestFit="1" customWidth="1"/>
    <col min="9" max="10" width="9.6640625" bestFit="1" customWidth="1"/>
    <col min="11" max="11" width="11.109375" customWidth="1"/>
    <col min="12" max="12" width="17.109375" bestFit="1" customWidth="1"/>
    <col min="13" max="13" width="11" customWidth="1"/>
    <col min="14" max="14" width="15.109375" bestFit="1" customWidth="1"/>
    <col min="15" max="15" width="9.88671875" bestFit="1" customWidth="1"/>
  </cols>
  <sheetData>
    <row r="1" spans="1:16" ht="15.75">
      <c r="A1" s="195" t="s">
        <v>321</v>
      </c>
      <c r="B1" s="347"/>
      <c r="C1" s="347"/>
      <c r="D1" s="347"/>
      <c r="E1" s="305"/>
      <c r="F1" s="305"/>
      <c r="G1" s="305"/>
      <c r="P1" s="151"/>
    </row>
    <row r="2" spans="1:16" ht="15.75">
      <c r="A2" s="196" t="s">
        <v>346</v>
      </c>
      <c r="B2" s="347"/>
      <c r="C2" s="347"/>
      <c r="D2" s="347"/>
      <c r="E2" s="305"/>
      <c r="F2" s="305"/>
      <c r="G2" s="305"/>
      <c r="P2" s="151"/>
    </row>
    <row r="3" spans="1:16" ht="18.75">
      <c r="A3" s="347" t="s">
        <v>1203</v>
      </c>
      <c r="B3" s="347"/>
      <c r="C3" s="347"/>
      <c r="D3" s="347"/>
      <c r="E3" s="355"/>
      <c r="F3" s="305"/>
      <c r="G3" s="305"/>
      <c r="I3" s="370" t="s">
        <v>1230</v>
      </c>
      <c r="J3" s="371"/>
      <c r="K3" s="371"/>
      <c r="L3" s="371"/>
      <c r="M3" s="371"/>
      <c r="N3" s="371"/>
      <c r="P3" s="151"/>
    </row>
    <row r="4" spans="1:16" ht="15.75">
      <c r="A4" s="355"/>
      <c r="B4" s="355"/>
      <c r="C4" s="355"/>
      <c r="D4" s="355"/>
      <c r="E4" s="355"/>
      <c r="F4" s="355"/>
      <c r="G4" s="355"/>
      <c r="I4" s="371"/>
      <c r="J4" s="371"/>
      <c r="K4" s="371"/>
      <c r="L4" s="371"/>
      <c r="M4" s="371"/>
      <c r="N4" s="371"/>
      <c r="P4" s="151"/>
    </row>
    <row r="5" spans="1:16" ht="15.75">
      <c r="A5" s="355"/>
      <c r="B5" s="356" t="s">
        <v>1204</v>
      </c>
      <c r="C5" s="357" t="s">
        <v>1204</v>
      </c>
      <c r="D5" s="355"/>
      <c r="E5" s="355"/>
      <c r="F5" s="355"/>
      <c r="G5" s="355"/>
      <c r="I5" s="151"/>
      <c r="L5" s="373" t="s">
        <v>1224</v>
      </c>
      <c r="N5" s="151"/>
      <c r="P5" s="151"/>
    </row>
    <row r="6" spans="1:16" ht="15.75">
      <c r="A6" s="355"/>
      <c r="B6" s="355"/>
      <c r="C6" s="305"/>
      <c r="D6" s="358" t="s">
        <v>1205</v>
      </c>
      <c r="E6" s="355"/>
      <c r="F6" s="355"/>
      <c r="G6" s="355"/>
      <c r="I6" s="151"/>
      <c r="J6" s="372" t="s">
        <v>1223</v>
      </c>
      <c r="K6" s="372"/>
      <c r="L6" s="373" t="s">
        <v>1225</v>
      </c>
      <c r="M6" s="373" t="s">
        <v>1224</v>
      </c>
      <c r="N6" s="151"/>
      <c r="P6" s="151"/>
    </row>
    <row r="7" spans="1:16" ht="15.75">
      <c r="A7" s="355"/>
      <c r="B7" s="355"/>
      <c r="C7" s="355"/>
      <c r="D7" s="355"/>
      <c r="E7" s="355"/>
      <c r="F7" s="355"/>
      <c r="G7" s="355"/>
      <c r="I7" s="151"/>
      <c r="J7" s="156" t="s">
        <v>1226</v>
      </c>
      <c r="K7" s="156" t="s">
        <v>1227</v>
      </c>
      <c r="L7" s="156" t="s">
        <v>1228</v>
      </c>
      <c r="M7" s="156" t="s">
        <v>1226</v>
      </c>
      <c r="N7" s="156" t="s">
        <v>1229</v>
      </c>
      <c r="P7" s="151"/>
    </row>
    <row r="8" spans="1:16" ht="15.75">
      <c r="A8" s="355"/>
      <c r="B8" s="376" t="s">
        <v>1206</v>
      </c>
      <c r="C8" s="359">
        <f>++K21</f>
        <v>20958.179999999997</v>
      </c>
      <c r="D8" s="355"/>
      <c r="E8" s="355"/>
      <c r="F8" s="355"/>
      <c r="G8" s="355"/>
      <c r="I8" s="151" t="s">
        <v>1041</v>
      </c>
      <c r="J8" s="374">
        <v>163.83000000000001</v>
      </c>
      <c r="K8" s="374">
        <v>1704.89</v>
      </c>
      <c r="L8" s="374">
        <v>586.57000000000005</v>
      </c>
      <c r="M8" s="374">
        <v>6.97</v>
      </c>
      <c r="N8" s="374">
        <f>SUM(J8:M8)</f>
        <v>2462.2599999999998</v>
      </c>
      <c r="P8" s="151"/>
    </row>
    <row r="9" spans="1:16" ht="15.75">
      <c r="A9" s="355"/>
      <c r="B9" s="376" t="s">
        <v>1207</v>
      </c>
      <c r="C9" s="359">
        <v>0</v>
      </c>
      <c r="D9" s="355"/>
      <c r="E9" s="355"/>
      <c r="F9" s="355"/>
      <c r="G9" s="355"/>
      <c r="I9" s="151" t="s">
        <v>1042</v>
      </c>
      <c r="J9" s="374">
        <v>145.58000000000001</v>
      </c>
      <c r="K9" s="374">
        <v>1574.94</v>
      </c>
      <c r="L9" s="374">
        <v>0</v>
      </c>
      <c r="M9" s="374">
        <v>0</v>
      </c>
      <c r="N9" s="374">
        <f t="shared" ref="N9:N19" si="0">SUM(J9:M9)</f>
        <v>1720.52</v>
      </c>
      <c r="P9" s="151"/>
    </row>
    <row r="10" spans="1:16" ht="15.75">
      <c r="A10" s="355"/>
      <c r="B10" s="355" t="s">
        <v>1208</v>
      </c>
      <c r="C10" s="359">
        <f>+J21</f>
        <v>2389.1</v>
      </c>
      <c r="D10" s="355"/>
      <c r="E10" s="355"/>
      <c r="F10" s="355"/>
      <c r="G10" s="355"/>
      <c r="I10" s="151" t="s">
        <v>1043</v>
      </c>
      <c r="J10" s="374">
        <v>141.08000000000001</v>
      </c>
      <c r="K10" s="374">
        <v>1695.18</v>
      </c>
      <c r="L10" s="374">
        <v>0</v>
      </c>
      <c r="M10" s="374">
        <v>15.73</v>
      </c>
      <c r="N10" s="374">
        <f t="shared" si="0"/>
        <v>1851.99</v>
      </c>
      <c r="P10" s="151"/>
    </row>
    <row r="11" spans="1:16" ht="15.75">
      <c r="A11" s="355"/>
      <c r="B11" s="355" t="s">
        <v>1209</v>
      </c>
      <c r="C11" s="359">
        <v>0</v>
      </c>
      <c r="D11" s="355"/>
      <c r="E11" s="355"/>
      <c r="F11" s="355"/>
      <c r="G11" s="355"/>
      <c r="I11" s="151" t="s">
        <v>1044</v>
      </c>
      <c r="J11" s="374">
        <v>141.57</v>
      </c>
      <c r="K11" s="374">
        <v>1502.25</v>
      </c>
      <c r="L11" s="374">
        <v>0</v>
      </c>
      <c r="M11" s="374">
        <v>3.77</v>
      </c>
      <c r="N11" s="374">
        <f t="shared" si="0"/>
        <v>1647.59</v>
      </c>
      <c r="P11" s="151"/>
    </row>
    <row r="12" spans="1:16" ht="15.75">
      <c r="A12" s="355"/>
      <c r="B12" s="355" t="s">
        <v>1210</v>
      </c>
      <c r="C12" s="359">
        <v>0</v>
      </c>
      <c r="D12" s="355"/>
      <c r="E12" s="355"/>
      <c r="F12" s="355"/>
      <c r="G12" s="355"/>
      <c r="I12" s="151" t="s">
        <v>328</v>
      </c>
      <c r="J12" s="374">
        <v>136.62</v>
      </c>
      <c r="K12" s="374">
        <v>1720.51</v>
      </c>
      <c r="L12" s="374">
        <v>430.58</v>
      </c>
      <c r="M12" s="374">
        <f>0.38+8.83</f>
        <v>9.2100000000000009</v>
      </c>
      <c r="N12" s="374">
        <f t="shared" si="0"/>
        <v>2296.92</v>
      </c>
      <c r="P12" s="151"/>
    </row>
    <row r="13" spans="1:16" ht="15.75">
      <c r="A13" s="355"/>
      <c r="B13" s="355" t="s">
        <v>1211</v>
      </c>
      <c r="C13" s="359">
        <v>0</v>
      </c>
      <c r="D13" s="355"/>
      <c r="E13" s="355"/>
      <c r="F13" s="355"/>
      <c r="G13" s="355"/>
      <c r="I13" s="151" t="s">
        <v>342</v>
      </c>
      <c r="J13" s="374">
        <v>133.69</v>
      </c>
      <c r="K13" s="374">
        <v>1841.35</v>
      </c>
      <c r="L13" s="374">
        <v>1180.94</v>
      </c>
      <c r="M13" s="374">
        <v>0.26</v>
      </c>
      <c r="N13" s="374">
        <f t="shared" si="0"/>
        <v>3156.2400000000002</v>
      </c>
      <c r="P13" s="151"/>
    </row>
    <row r="14" spans="1:16" ht="15.75">
      <c r="A14" s="355"/>
      <c r="B14" s="355" t="s">
        <v>1212</v>
      </c>
      <c r="C14" s="359">
        <v>0</v>
      </c>
      <c r="D14" s="355"/>
      <c r="E14" s="360"/>
      <c r="F14" s="355"/>
      <c r="G14" s="355"/>
      <c r="I14" s="151" t="s">
        <v>1045</v>
      </c>
      <c r="J14" s="374">
        <v>143.5</v>
      </c>
      <c r="K14" s="374">
        <v>1967.38</v>
      </c>
      <c r="L14" s="374">
        <v>984.11</v>
      </c>
      <c r="M14" s="374">
        <f>71.37+0.59</f>
        <v>71.960000000000008</v>
      </c>
      <c r="N14" s="374">
        <f t="shared" si="0"/>
        <v>3166.9500000000003</v>
      </c>
      <c r="P14" s="151"/>
    </row>
    <row r="15" spans="1:16" ht="15.75">
      <c r="A15" s="355"/>
      <c r="B15" s="355" t="s">
        <v>1213</v>
      </c>
      <c r="C15" s="359">
        <v>0</v>
      </c>
      <c r="D15" s="355"/>
      <c r="E15" s="360"/>
      <c r="F15" s="355"/>
      <c r="G15" s="355"/>
      <c r="I15" s="151" t="s">
        <v>1046</v>
      </c>
      <c r="J15" s="374">
        <v>144.87</v>
      </c>
      <c r="K15" s="374">
        <v>2029.37</v>
      </c>
      <c r="L15" s="374">
        <v>404.05</v>
      </c>
      <c r="M15" s="374">
        <f>442.99-404.05</f>
        <v>38.94</v>
      </c>
      <c r="N15" s="374">
        <f t="shared" si="0"/>
        <v>2617.23</v>
      </c>
      <c r="P15" s="151"/>
    </row>
    <row r="16" spans="1:16" ht="15.75">
      <c r="A16" s="355"/>
      <c r="B16" s="355" t="s">
        <v>1214</v>
      </c>
      <c r="C16" s="359">
        <f>+L21+M21</f>
        <v>7011.51</v>
      </c>
      <c r="D16" s="387" t="s">
        <v>122</v>
      </c>
      <c r="E16" s="360"/>
      <c r="F16" s="355"/>
      <c r="G16" s="355"/>
      <c r="I16" s="151" t="s">
        <v>1047</v>
      </c>
      <c r="J16" s="374">
        <v>139.03</v>
      </c>
      <c r="K16" s="374">
        <v>1838.98</v>
      </c>
      <c r="L16" s="374">
        <v>614.97</v>
      </c>
      <c r="M16" s="374">
        <f>615.37-614.97</f>
        <v>0.39999999999997726</v>
      </c>
      <c r="N16" s="374">
        <f t="shared" si="0"/>
        <v>2593.38</v>
      </c>
      <c r="P16" s="151"/>
    </row>
    <row r="17" spans="1:16" ht="15.75">
      <c r="A17" s="355"/>
      <c r="B17" s="355" t="s">
        <v>1215</v>
      </c>
      <c r="C17" s="361">
        <f>SUM(C8:C16)</f>
        <v>30358.789999999994</v>
      </c>
      <c r="D17" s="355"/>
      <c r="E17" s="360"/>
      <c r="F17" s="355"/>
      <c r="G17" s="355"/>
      <c r="I17" s="151" t="s">
        <v>1048</v>
      </c>
      <c r="J17" s="374">
        <v>585.19000000000005</v>
      </c>
      <c r="K17" s="374">
        <v>1857.92</v>
      </c>
      <c r="L17" s="374">
        <v>1711.72</v>
      </c>
      <c r="M17" s="374">
        <v>43.01</v>
      </c>
      <c r="N17" s="374">
        <f t="shared" si="0"/>
        <v>4197.84</v>
      </c>
      <c r="P17" s="151"/>
    </row>
    <row r="18" spans="1:16" ht="15.75">
      <c r="A18" s="355"/>
      <c r="B18" s="355"/>
      <c r="C18" s="362"/>
      <c r="D18" s="355"/>
      <c r="E18" s="360"/>
      <c r="F18" s="355"/>
      <c r="G18" s="355"/>
      <c r="I18" s="151" t="s">
        <v>1049</v>
      </c>
      <c r="J18" s="374">
        <v>377.35</v>
      </c>
      <c r="K18" s="374">
        <v>1603.57</v>
      </c>
      <c r="L18" s="374">
        <v>447.52</v>
      </c>
      <c r="M18" s="374">
        <v>25.98</v>
      </c>
      <c r="N18" s="374">
        <f t="shared" si="0"/>
        <v>2454.42</v>
      </c>
      <c r="P18" s="151"/>
    </row>
    <row r="19" spans="1:16" ht="15.75">
      <c r="A19" s="355"/>
      <c r="B19" s="355"/>
      <c r="C19" s="363"/>
      <c r="D19" s="355"/>
      <c r="E19" s="360"/>
      <c r="F19" s="355"/>
      <c r="G19" s="355"/>
      <c r="I19" s="151" t="s">
        <v>1050</v>
      </c>
      <c r="J19" s="374">
        <v>136.79</v>
      </c>
      <c r="K19" s="374">
        <v>1621.84</v>
      </c>
      <c r="L19" s="374">
        <v>379.19</v>
      </c>
      <c r="M19" s="374">
        <f>434.82-379.19</f>
        <v>55.629999999999995</v>
      </c>
      <c r="N19" s="374">
        <f t="shared" si="0"/>
        <v>2193.4499999999998</v>
      </c>
      <c r="P19" s="151"/>
    </row>
    <row r="20" spans="1:16" ht="15.75">
      <c r="A20" s="364"/>
      <c r="B20" s="365" t="s">
        <v>140</v>
      </c>
      <c r="C20" s="363">
        <v>30358.79</v>
      </c>
      <c r="D20" s="355"/>
      <c r="E20" s="360" t="s">
        <v>1216</v>
      </c>
      <c r="F20" s="355"/>
      <c r="G20" s="355"/>
      <c r="I20" s="151"/>
      <c r="J20" s="374"/>
      <c r="K20" s="374"/>
      <c r="L20" s="374"/>
      <c r="M20" s="374"/>
      <c r="N20" s="374"/>
      <c r="O20" s="151"/>
      <c r="P20" s="151"/>
    </row>
    <row r="21" spans="1:16" ht="15.75">
      <c r="A21" s="364"/>
      <c r="B21" s="366" t="s">
        <v>1217</v>
      </c>
      <c r="C21" s="363">
        <v>0</v>
      </c>
      <c r="D21" s="355"/>
      <c r="E21" s="360" t="s">
        <v>1218</v>
      </c>
      <c r="F21" s="355"/>
      <c r="G21" s="355"/>
      <c r="I21" s="151"/>
      <c r="J21" s="374">
        <f>SUM(J8:J20)</f>
        <v>2389.1</v>
      </c>
      <c r="K21" s="374">
        <f t="shared" ref="K21:M21" si="1">SUM(K8:K20)</f>
        <v>20958.179999999997</v>
      </c>
      <c r="L21" s="374">
        <f t="shared" si="1"/>
        <v>6739.6500000000005</v>
      </c>
      <c r="M21" s="374">
        <f t="shared" si="1"/>
        <v>271.85999999999996</v>
      </c>
      <c r="N21" s="374">
        <f>SUM(N8:N20)</f>
        <v>30358.790000000005</v>
      </c>
      <c r="O21" s="151"/>
      <c r="P21" s="151"/>
    </row>
    <row r="22" spans="1:16" ht="15.75">
      <c r="A22" s="367"/>
      <c r="B22" s="368" t="s">
        <v>292</v>
      </c>
      <c r="C22" s="363">
        <v>0</v>
      </c>
      <c r="D22" s="355"/>
      <c r="E22" s="360" t="s">
        <v>1219</v>
      </c>
      <c r="F22" s="355"/>
      <c r="G22" s="355"/>
      <c r="O22" s="151"/>
      <c r="P22" s="151"/>
    </row>
    <row r="23" spans="1:16" ht="15.75">
      <c r="A23" s="367"/>
      <c r="B23" s="368" t="s">
        <v>293</v>
      </c>
      <c r="C23" s="363">
        <v>0</v>
      </c>
      <c r="D23" s="355"/>
      <c r="E23" s="360" t="s">
        <v>1220</v>
      </c>
      <c r="F23" s="355"/>
      <c r="G23" s="355"/>
      <c r="O23" s="151"/>
      <c r="P23" s="151"/>
    </row>
    <row r="24" spans="1:16" ht="15.75">
      <c r="A24" s="364"/>
      <c r="B24" s="368" t="s">
        <v>1221</v>
      </c>
      <c r="C24" s="369">
        <f>SUM(C20:C23)</f>
        <v>30358.79</v>
      </c>
      <c r="D24" s="355"/>
      <c r="E24" s="360" t="s">
        <v>1222</v>
      </c>
      <c r="F24" s="355"/>
      <c r="G24" s="355"/>
    </row>
    <row r="27" spans="1:16" ht="15.75">
      <c r="B27" s="368" t="s">
        <v>1237</v>
      </c>
    </row>
    <row r="31" spans="1:16" ht="18.75">
      <c r="C31" s="370"/>
      <c r="D31" s="371"/>
      <c r="E31" s="371"/>
      <c r="F31" s="371"/>
      <c r="G31" s="371"/>
    </row>
    <row r="32" spans="1:16" ht="15.75">
      <c r="B32" s="371"/>
      <c r="C32" s="371"/>
      <c r="D32" s="371"/>
      <c r="E32" s="371"/>
      <c r="F32" s="371"/>
      <c r="G32" s="371"/>
    </row>
    <row r="33" spans="1:7" ht="18.75">
      <c r="A33" s="370"/>
      <c r="B33" s="151"/>
      <c r="E33" s="373"/>
      <c r="G33" s="151"/>
    </row>
    <row r="34" spans="1:7" ht="15.75">
      <c r="A34" s="371"/>
      <c r="B34" s="151"/>
      <c r="C34" s="372"/>
      <c r="D34" s="372"/>
      <c r="E34" s="373"/>
      <c r="F34" s="373"/>
      <c r="G34" s="151"/>
    </row>
    <row r="35" spans="1:7" ht="15.75">
      <c r="A35" s="151"/>
      <c r="B35" s="151"/>
      <c r="C35" s="156"/>
      <c r="D35" s="156"/>
      <c r="E35" s="156"/>
      <c r="F35" s="156"/>
      <c r="G35" s="156"/>
    </row>
    <row r="36" spans="1:7">
      <c r="A36" s="151"/>
      <c r="B36" s="375"/>
      <c r="C36" s="374"/>
      <c r="D36" s="374"/>
      <c r="E36" s="374"/>
      <c r="F36" s="374"/>
      <c r="G36" s="374"/>
    </row>
    <row r="37" spans="1:7">
      <c r="A37" s="151"/>
      <c r="B37" s="375"/>
      <c r="C37" s="374"/>
      <c r="D37" s="374"/>
      <c r="E37" s="374"/>
      <c r="F37" s="374"/>
      <c r="G37" s="374"/>
    </row>
    <row r="38" spans="1:7">
      <c r="A38" s="151"/>
      <c r="B38" s="375"/>
      <c r="C38" s="374"/>
      <c r="D38" s="374"/>
      <c r="E38" s="374"/>
      <c r="F38" s="374"/>
      <c r="G38" s="374"/>
    </row>
    <row r="39" spans="1:7">
      <c r="A39" s="151"/>
      <c r="B39" s="375"/>
      <c r="C39" s="374"/>
      <c r="D39" s="374"/>
      <c r="E39" s="374"/>
      <c r="F39" s="374"/>
      <c r="G39" s="374"/>
    </row>
    <row r="40" spans="1:7">
      <c r="A40" s="151"/>
      <c r="B40" s="375"/>
      <c r="C40" s="374"/>
      <c r="D40" s="374"/>
      <c r="E40" s="374"/>
      <c r="F40" s="374"/>
      <c r="G40" s="374"/>
    </row>
    <row r="41" spans="1:7">
      <c r="A41" s="151"/>
      <c r="B41" s="375"/>
      <c r="C41" s="374"/>
      <c r="D41" s="374"/>
      <c r="E41" s="374"/>
      <c r="F41" s="374"/>
      <c r="G41" s="374"/>
    </row>
    <row r="42" spans="1:7">
      <c r="A42" s="151"/>
      <c r="B42" s="375"/>
      <c r="C42" s="374"/>
      <c r="D42" s="374"/>
      <c r="E42" s="374"/>
      <c r="F42" s="374"/>
      <c r="G42" s="374"/>
    </row>
    <row r="43" spans="1:7">
      <c r="A43" s="151"/>
      <c r="B43" s="375"/>
      <c r="C43" s="374"/>
      <c r="D43" s="374"/>
      <c r="E43" s="374"/>
      <c r="F43" s="374"/>
      <c r="G43" s="374"/>
    </row>
    <row r="44" spans="1:7">
      <c r="A44" s="151"/>
      <c r="B44" s="375"/>
      <c r="C44" s="374"/>
      <c r="D44" s="374"/>
      <c r="E44" s="374"/>
      <c r="F44" s="374"/>
      <c r="G44" s="374"/>
    </row>
    <row r="45" spans="1:7">
      <c r="A45" s="151"/>
      <c r="B45" s="375"/>
      <c r="C45" s="374"/>
      <c r="D45" s="374"/>
      <c r="E45" s="374"/>
      <c r="F45" s="374"/>
      <c r="G45" s="374"/>
    </row>
    <row r="46" spans="1:7">
      <c r="A46" s="151"/>
      <c r="B46" s="375"/>
      <c r="C46" s="374"/>
      <c r="D46" s="374"/>
      <c r="E46" s="374"/>
      <c r="F46" s="374"/>
      <c r="G46" s="374"/>
    </row>
    <row r="47" spans="1:7">
      <c r="A47" s="151"/>
      <c r="B47" s="375"/>
      <c r="C47" s="374"/>
      <c r="D47" s="374"/>
      <c r="E47" s="374"/>
      <c r="F47" s="374"/>
      <c r="G47" s="374"/>
    </row>
    <row r="48" spans="1:7">
      <c r="A48" s="151"/>
      <c r="B48" s="151"/>
      <c r="C48" s="374"/>
      <c r="D48" s="374"/>
      <c r="E48" s="374"/>
      <c r="F48" s="374"/>
      <c r="G48" s="374"/>
    </row>
    <row r="49" spans="1:7">
      <c r="A49" s="151"/>
      <c r="B49" s="151"/>
      <c r="C49" s="374"/>
      <c r="D49" s="374"/>
      <c r="E49" s="374"/>
      <c r="F49" s="374"/>
      <c r="G49" s="374"/>
    </row>
    <row r="50" spans="1:7">
      <c r="A50" s="151"/>
      <c r="B50" s="374"/>
      <c r="C50" s="374"/>
      <c r="D50" s="374"/>
      <c r="E50" s="374"/>
      <c r="F50" s="374"/>
      <c r="G50" s="151"/>
    </row>
    <row r="51" spans="1:7">
      <c r="A51" s="151"/>
      <c r="B51" s="374"/>
      <c r="C51" s="374"/>
      <c r="D51" s="374"/>
      <c r="E51" s="374"/>
      <c r="F51" s="374"/>
      <c r="G51" s="151"/>
    </row>
    <row r="52" spans="1:7">
      <c r="A52" s="151"/>
      <c r="B52" s="151"/>
      <c r="C52" s="151"/>
      <c r="D52" s="151"/>
      <c r="E52" s="151"/>
      <c r="F52" s="151"/>
      <c r="G52" s="151"/>
    </row>
    <row r="53" spans="1:7">
      <c r="A53" s="151"/>
      <c r="B53" s="151"/>
      <c r="C53" s="151"/>
      <c r="D53" s="151"/>
      <c r="E53" s="151"/>
      <c r="F53" s="151"/>
      <c r="G53" s="151"/>
    </row>
    <row r="54" spans="1:7">
      <c r="A54" s="151"/>
      <c r="B54" s="151"/>
      <c r="C54" s="151"/>
      <c r="D54" s="151"/>
      <c r="E54" s="151"/>
      <c r="F54" s="151"/>
      <c r="G54" s="151"/>
    </row>
    <row r="55" spans="1:7">
      <c r="A55" s="151"/>
      <c r="B55" s="151"/>
      <c r="C55" s="151"/>
      <c r="D55" s="151"/>
      <c r="E55" s="151"/>
      <c r="F55" s="151"/>
      <c r="G55" s="151"/>
    </row>
  </sheetData>
  <pageMargins left="0.7" right="0.7" top="0.75" bottom="0.75" header="0.3" footer="0.3"/>
  <pageSetup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workbookViewId="0">
      <selection sqref="A1:G1"/>
    </sheetView>
  </sheetViews>
  <sheetFormatPr defaultRowHeight="15"/>
  <cols>
    <col min="1" max="1" width="16.21875" customWidth="1"/>
    <col min="2" max="2" width="10.21875" customWidth="1"/>
  </cols>
  <sheetData>
    <row r="1" spans="1:7" ht="15.75">
      <c r="A1" s="393" t="s">
        <v>321</v>
      </c>
      <c r="B1" s="393"/>
      <c r="C1" s="393"/>
      <c r="D1" s="393"/>
      <c r="E1" s="393"/>
      <c r="F1" s="393"/>
      <c r="G1" s="393"/>
    </row>
    <row r="2" spans="1:7" ht="15.75">
      <c r="A2" s="394" t="s">
        <v>346</v>
      </c>
      <c r="B2" s="394"/>
      <c r="C2" s="394"/>
      <c r="D2" s="394"/>
      <c r="E2" s="394"/>
      <c r="F2" s="394"/>
      <c r="G2" s="394"/>
    </row>
    <row r="3" spans="1:7" ht="15.75">
      <c r="A3" s="148"/>
      <c r="B3" s="148"/>
      <c r="C3" s="148"/>
      <c r="D3" s="148"/>
      <c r="E3" s="148"/>
      <c r="F3" s="148"/>
      <c r="G3" s="148"/>
    </row>
    <row r="4" spans="1:7" ht="22.5">
      <c r="A4" s="149" t="s">
        <v>322</v>
      </c>
    </row>
    <row r="7" spans="1:7" ht="15.75">
      <c r="A7" s="150" t="s">
        <v>323</v>
      </c>
      <c r="B7" s="150"/>
      <c r="C7" s="150"/>
      <c r="D7" s="150"/>
    </row>
    <row r="9" spans="1:7">
      <c r="A9" s="151" t="s">
        <v>324</v>
      </c>
      <c r="B9" s="152">
        <v>116710</v>
      </c>
    </row>
    <row r="10" spans="1:7">
      <c r="A10" s="151" t="s">
        <v>325</v>
      </c>
      <c r="B10" s="152">
        <v>114470</v>
      </c>
    </row>
    <row r="11" spans="1:7">
      <c r="A11" s="151" t="s">
        <v>326</v>
      </c>
      <c r="B11" s="152">
        <v>110700</v>
      </c>
    </row>
    <row r="12" spans="1:7">
      <c r="A12" s="151" t="s">
        <v>327</v>
      </c>
      <c r="B12" s="152">
        <v>109280</v>
      </c>
    </row>
    <row r="13" spans="1:7">
      <c r="A13" s="151" t="s">
        <v>328</v>
      </c>
      <c r="B13" s="152">
        <v>117730</v>
      </c>
    </row>
    <row r="14" spans="1:7">
      <c r="A14" s="151" t="s">
        <v>329</v>
      </c>
      <c r="B14" s="152">
        <v>132030</v>
      </c>
    </row>
    <row r="15" spans="1:7">
      <c r="A15" s="151" t="s">
        <v>330</v>
      </c>
      <c r="B15" s="152">
        <v>134700</v>
      </c>
    </row>
    <row r="16" spans="1:7">
      <c r="A16" s="151" t="s">
        <v>331</v>
      </c>
      <c r="B16" s="152">
        <v>131950</v>
      </c>
    </row>
    <row r="17" spans="1:15">
      <c r="A17" s="151" t="s">
        <v>332</v>
      </c>
      <c r="B17" s="152">
        <v>137090</v>
      </c>
    </row>
    <row r="18" spans="1:15">
      <c r="A18" s="151" t="s">
        <v>333</v>
      </c>
      <c r="B18" s="152">
        <v>116830</v>
      </c>
    </row>
    <row r="19" spans="1:15">
      <c r="A19" s="151" t="s">
        <v>334</v>
      </c>
      <c r="B19" s="152">
        <v>112830</v>
      </c>
    </row>
    <row r="20" spans="1:15">
      <c r="A20" s="151" t="s">
        <v>335</v>
      </c>
      <c r="B20" s="152">
        <v>116110</v>
      </c>
    </row>
    <row r="21" spans="1:15">
      <c r="A21" s="153" t="s">
        <v>336</v>
      </c>
      <c r="B21" s="152">
        <f>SUM(B9:B20)</f>
        <v>1450430</v>
      </c>
    </row>
    <row r="22" spans="1:15">
      <c r="B22" s="152"/>
    </row>
    <row r="23" spans="1:15">
      <c r="A23" s="151" t="s">
        <v>337</v>
      </c>
      <c r="B23" s="154">
        <f>AVERAGE(B9:B20)</f>
        <v>120869.16666666667</v>
      </c>
      <c r="C23" s="151" t="s">
        <v>338</v>
      </c>
    </row>
    <row r="26" spans="1:15">
      <c r="A26" s="151" t="s">
        <v>339</v>
      </c>
    </row>
    <row r="27" spans="1:15">
      <c r="A27" s="151" t="s">
        <v>340</v>
      </c>
    </row>
    <row r="29" spans="1:15" ht="15.75">
      <c r="A29" s="155" t="s">
        <v>341</v>
      </c>
      <c r="B29" s="156" t="s">
        <v>324</v>
      </c>
      <c r="C29" s="156" t="s">
        <v>325</v>
      </c>
      <c r="D29" s="156" t="s">
        <v>326</v>
      </c>
      <c r="E29" s="156" t="s">
        <v>327</v>
      </c>
      <c r="F29" s="156" t="s">
        <v>328</v>
      </c>
      <c r="G29" s="156" t="s">
        <v>342</v>
      </c>
      <c r="H29" s="156" t="s">
        <v>330</v>
      </c>
      <c r="I29" s="156" t="s">
        <v>331</v>
      </c>
      <c r="J29" s="156" t="s">
        <v>332</v>
      </c>
      <c r="K29" s="156" t="s">
        <v>333</v>
      </c>
      <c r="L29" s="156" t="s">
        <v>334</v>
      </c>
      <c r="M29" s="156" t="s">
        <v>335</v>
      </c>
      <c r="N29" s="156" t="s">
        <v>9</v>
      </c>
      <c r="O29" s="156" t="s">
        <v>337</v>
      </c>
    </row>
    <row r="31" spans="1:15">
      <c r="A31" s="151" t="s">
        <v>343</v>
      </c>
      <c r="B31" s="152"/>
      <c r="C31" s="152"/>
      <c r="D31" s="152"/>
      <c r="E31" s="152"/>
      <c r="F31" s="152"/>
      <c r="G31" s="152"/>
      <c r="H31" s="152"/>
      <c r="I31" s="152"/>
      <c r="J31" s="152"/>
      <c r="K31" s="152"/>
      <c r="L31" s="152"/>
      <c r="M31" s="152"/>
      <c r="N31" s="152"/>
      <c r="O31" s="152"/>
    </row>
    <row r="32" spans="1:15">
      <c r="A32" s="153" t="s">
        <v>344</v>
      </c>
      <c r="B32" s="152"/>
      <c r="C32" s="152"/>
      <c r="D32" s="152"/>
      <c r="E32" s="152"/>
      <c r="F32" s="152"/>
      <c r="G32" s="152"/>
      <c r="H32" s="152"/>
      <c r="I32" s="152"/>
      <c r="J32" s="152"/>
      <c r="K32" s="152"/>
      <c r="L32" s="152"/>
      <c r="M32" s="152"/>
      <c r="N32" s="152">
        <v>0</v>
      </c>
      <c r="O32" s="152">
        <v>0</v>
      </c>
    </row>
    <row r="33" spans="1:15">
      <c r="A33" s="153" t="s">
        <v>345</v>
      </c>
      <c r="B33" s="152"/>
      <c r="C33" s="152"/>
      <c r="D33" s="152"/>
      <c r="E33" s="152"/>
      <c r="F33" s="152"/>
      <c r="G33" s="152"/>
      <c r="H33" s="152"/>
      <c r="I33" s="152"/>
      <c r="J33" s="152"/>
      <c r="K33" s="152"/>
      <c r="L33" s="152"/>
      <c r="M33" s="152"/>
      <c r="N33" s="152">
        <v>0</v>
      </c>
      <c r="O33" s="152">
        <v>0</v>
      </c>
    </row>
    <row r="34" spans="1:15">
      <c r="B34" s="152"/>
      <c r="C34" s="152"/>
      <c r="D34" s="152"/>
      <c r="E34" s="152"/>
      <c r="F34" s="152"/>
      <c r="G34" s="152"/>
      <c r="H34" s="152"/>
      <c r="I34" s="152"/>
      <c r="J34" s="152"/>
      <c r="K34" s="152"/>
      <c r="L34" s="152"/>
      <c r="M34" s="152"/>
      <c r="N34" s="152"/>
      <c r="O34" s="152"/>
    </row>
    <row r="35" spans="1:15">
      <c r="A35" s="151" t="s">
        <v>343</v>
      </c>
      <c r="B35" s="152"/>
      <c r="C35" s="152"/>
      <c r="D35" s="152"/>
      <c r="E35" s="152"/>
      <c r="F35" s="152"/>
      <c r="G35" s="152"/>
      <c r="H35" s="152"/>
      <c r="I35" s="152"/>
      <c r="J35" s="152"/>
      <c r="K35" s="152"/>
      <c r="L35" s="152"/>
      <c r="M35" s="152"/>
      <c r="N35" s="152"/>
      <c r="O35" s="152"/>
    </row>
    <row r="36" spans="1:15">
      <c r="A36" s="153" t="s">
        <v>344</v>
      </c>
      <c r="B36" s="152"/>
      <c r="C36" s="152"/>
      <c r="D36" s="152"/>
      <c r="E36" s="152"/>
      <c r="F36" s="152"/>
      <c r="G36" s="152"/>
      <c r="H36" s="152"/>
      <c r="I36" s="152"/>
      <c r="J36" s="152"/>
      <c r="K36" s="152"/>
      <c r="L36" s="152"/>
      <c r="M36" s="152"/>
      <c r="N36" s="152">
        <v>0</v>
      </c>
      <c r="O36" s="152">
        <v>0</v>
      </c>
    </row>
    <row r="37" spans="1:15">
      <c r="A37" s="153" t="s">
        <v>345</v>
      </c>
      <c r="B37" s="152"/>
      <c r="C37" s="152"/>
      <c r="D37" s="152"/>
      <c r="E37" s="152"/>
      <c r="F37" s="152"/>
      <c r="G37" s="152"/>
      <c r="H37" s="152"/>
      <c r="I37" s="152"/>
      <c r="J37" s="152"/>
      <c r="K37" s="152"/>
      <c r="L37" s="152"/>
      <c r="M37" s="152"/>
      <c r="N37" s="152">
        <v>0</v>
      </c>
      <c r="O37" s="152">
        <v>0</v>
      </c>
    </row>
    <row r="38" spans="1:15">
      <c r="B38" s="152"/>
      <c r="C38" s="152"/>
      <c r="D38" s="152"/>
      <c r="E38" s="152"/>
      <c r="F38" s="152"/>
      <c r="G38" s="152"/>
      <c r="H38" s="152"/>
      <c r="I38" s="152"/>
      <c r="J38" s="152"/>
      <c r="K38" s="152"/>
      <c r="L38" s="152"/>
      <c r="M38" s="152"/>
      <c r="N38" s="152"/>
      <c r="O38" s="152"/>
    </row>
    <row r="39" spans="1:15">
      <c r="A39" s="151" t="s">
        <v>343</v>
      </c>
      <c r="B39" s="152"/>
      <c r="C39" s="152"/>
      <c r="D39" s="152"/>
      <c r="E39" s="152"/>
      <c r="F39" s="152"/>
      <c r="G39" s="152"/>
      <c r="H39" s="152"/>
      <c r="I39" s="152"/>
      <c r="J39" s="152"/>
      <c r="K39" s="152"/>
      <c r="L39" s="152"/>
      <c r="M39" s="152"/>
      <c r="N39" s="152"/>
      <c r="O39" s="152"/>
    </row>
    <row r="40" spans="1:15">
      <c r="A40" s="153" t="s">
        <v>344</v>
      </c>
      <c r="B40" s="152"/>
      <c r="C40" s="152"/>
      <c r="D40" s="152"/>
      <c r="E40" s="152"/>
      <c r="F40" s="152"/>
      <c r="G40" s="152"/>
      <c r="H40" s="152"/>
      <c r="I40" s="152"/>
      <c r="J40" s="152"/>
      <c r="K40" s="152"/>
      <c r="L40" s="152"/>
      <c r="M40" s="152"/>
      <c r="N40" s="152">
        <v>0</v>
      </c>
      <c r="O40" s="152">
        <v>0</v>
      </c>
    </row>
    <row r="41" spans="1:15">
      <c r="A41" s="153" t="s">
        <v>345</v>
      </c>
      <c r="B41" s="152"/>
      <c r="C41" s="152"/>
      <c r="D41" s="152"/>
      <c r="E41" s="152"/>
      <c r="F41" s="152"/>
      <c r="G41" s="152"/>
      <c r="H41" s="152"/>
      <c r="I41" s="152"/>
      <c r="J41" s="152"/>
      <c r="K41" s="152"/>
      <c r="L41" s="152"/>
      <c r="M41" s="152"/>
      <c r="N41" s="152">
        <v>0</v>
      </c>
      <c r="O41" s="152">
        <v>0</v>
      </c>
    </row>
    <row r="42" spans="1:15">
      <c r="B42" s="152"/>
      <c r="C42" s="152"/>
      <c r="D42" s="152"/>
      <c r="E42" s="152"/>
      <c r="F42" s="152"/>
      <c r="G42" s="152"/>
      <c r="H42" s="152"/>
      <c r="I42" s="152"/>
      <c r="J42" s="152"/>
      <c r="K42" s="152"/>
      <c r="L42" s="152"/>
      <c r="M42" s="152"/>
      <c r="N42" s="152"/>
      <c r="O42" s="152"/>
    </row>
  </sheetData>
  <mergeCells count="2">
    <mergeCell ref="A1:G1"/>
    <mergeCell ref="A2:G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86"/>
  <sheetViews>
    <sheetView zoomScale="90" zoomScaleNormal="90" workbookViewId="0">
      <selection activeCell="H4" sqref="H4"/>
    </sheetView>
  </sheetViews>
  <sheetFormatPr defaultColWidth="7.109375" defaultRowHeight="15"/>
  <cols>
    <col min="2" max="2" width="34.5546875" customWidth="1"/>
    <col min="3" max="3" width="12.33203125" customWidth="1"/>
    <col min="4" max="4" width="12.33203125" bestFit="1" customWidth="1"/>
    <col min="5" max="5" width="10.33203125" customWidth="1"/>
    <col min="6" max="6" width="10.77734375" customWidth="1"/>
    <col min="7" max="7" width="10.33203125" customWidth="1"/>
    <col min="8" max="8" width="12.33203125" bestFit="1" customWidth="1"/>
    <col min="9" max="9" width="2.5546875" customWidth="1"/>
    <col min="10" max="11" width="12.33203125" bestFit="1" customWidth="1"/>
    <col min="12" max="12" width="11.88671875" bestFit="1" customWidth="1"/>
    <col min="13" max="13" width="13.77734375" customWidth="1"/>
    <col min="14" max="14" width="1.77734375" customWidth="1"/>
    <col min="15" max="15" width="14" customWidth="1"/>
    <col min="16" max="16" width="13.6640625" customWidth="1"/>
    <col min="17" max="17" width="12.33203125" bestFit="1" customWidth="1"/>
  </cols>
  <sheetData>
    <row r="1" spans="1:17" ht="15.75">
      <c r="A1" s="393" t="s">
        <v>321</v>
      </c>
      <c r="B1" s="395"/>
      <c r="C1" s="395"/>
      <c r="D1" s="395"/>
      <c r="E1" s="395"/>
      <c r="F1" s="395"/>
      <c r="G1" s="395"/>
      <c r="H1" s="395"/>
      <c r="I1" s="157"/>
      <c r="J1" s="157"/>
      <c r="K1" s="158"/>
      <c r="L1" s="158"/>
      <c r="M1" s="158"/>
      <c r="N1" s="158"/>
      <c r="O1" s="158"/>
      <c r="P1" s="158"/>
      <c r="Q1" s="158"/>
    </row>
    <row r="2" spans="1:17" ht="15.75">
      <c r="A2" s="394" t="s">
        <v>346</v>
      </c>
      <c r="B2" s="394"/>
      <c r="C2" s="394"/>
      <c r="D2" s="394"/>
      <c r="E2" s="394"/>
      <c r="F2" s="394"/>
      <c r="G2" s="394"/>
      <c r="H2" s="394"/>
      <c r="I2" s="157"/>
      <c r="J2" s="157"/>
      <c r="K2" s="158"/>
      <c r="L2" s="158"/>
      <c r="M2" s="158"/>
      <c r="N2" s="158"/>
      <c r="O2" s="158"/>
      <c r="P2" s="158"/>
      <c r="Q2" s="158"/>
    </row>
    <row r="3" spans="1:17" ht="15.75">
      <c r="A3" s="159" t="s">
        <v>347</v>
      </c>
      <c r="B3" s="160"/>
      <c r="C3" s="160"/>
      <c r="D3" s="161"/>
      <c r="E3" s="162"/>
      <c r="F3" s="162"/>
      <c r="G3" s="162"/>
      <c r="H3" s="162"/>
      <c r="I3" s="157"/>
      <c r="J3" s="157"/>
      <c r="K3" s="379" t="s">
        <v>1235</v>
      </c>
      <c r="L3" s="158"/>
      <c r="M3" s="158"/>
      <c r="N3" s="158"/>
      <c r="O3" s="158"/>
      <c r="P3" s="158"/>
      <c r="Q3" s="379" t="s">
        <v>1235</v>
      </c>
    </row>
    <row r="4" spans="1:17">
      <c r="A4" s="163"/>
      <c r="B4" s="163"/>
      <c r="C4" s="163"/>
      <c r="D4" s="382" t="s">
        <v>1236</v>
      </c>
      <c r="E4" s="163"/>
      <c r="F4" s="163"/>
      <c r="G4" s="163"/>
      <c r="H4" s="382" t="s">
        <v>1236</v>
      </c>
      <c r="I4" s="163"/>
      <c r="J4" s="164" t="s">
        <v>348</v>
      </c>
      <c r="K4" s="380" t="s">
        <v>351</v>
      </c>
      <c r="L4" s="165"/>
      <c r="M4" s="165"/>
      <c r="N4" s="165"/>
      <c r="O4" s="165"/>
      <c r="P4" s="165"/>
      <c r="Q4" s="380" t="s">
        <v>351</v>
      </c>
    </row>
    <row r="5" spans="1:17">
      <c r="A5" s="163"/>
      <c r="B5" s="163"/>
      <c r="C5" s="163"/>
      <c r="D5" s="165" t="s">
        <v>349</v>
      </c>
      <c r="E5" s="166" t="s">
        <v>350</v>
      </c>
      <c r="F5" s="166"/>
      <c r="G5" s="166"/>
      <c r="H5" s="166" t="s">
        <v>349</v>
      </c>
      <c r="I5" s="163"/>
      <c r="J5" s="164" t="s">
        <v>351</v>
      </c>
      <c r="K5" s="380" t="s">
        <v>349</v>
      </c>
      <c r="L5" s="165"/>
      <c r="M5" s="165" t="s">
        <v>351</v>
      </c>
      <c r="N5" s="165"/>
      <c r="O5" s="165" t="s">
        <v>352</v>
      </c>
      <c r="P5" s="165"/>
      <c r="Q5" s="380" t="s">
        <v>349</v>
      </c>
    </row>
    <row r="6" spans="1:17">
      <c r="A6" s="167" t="s">
        <v>353</v>
      </c>
      <c r="B6" s="168" t="s">
        <v>354</v>
      </c>
      <c r="C6" s="168"/>
      <c r="D6" s="169" t="s">
        <v>358</v>
      </c>
      <c r="E6" s="170" t="s">
        <v>355</v>
      </c>
      <c r="F6" s="170" t="s">
        <v>356</v>
      </c>
      <c r="G6" s="170" t="s">
        <v>357</v>
      </c>
      <c r="H6" s="171" t="s">
        <v>445</v>
      </c>
      <c r="I6" s="163"/>
      <c r="J6" s="172" t="s">
        <v>353</v>
      </c>
      <c r="K6" s="381" t="s">
        <v>358</v>
      </c>
      <c r="L6" s="169"/>
      <c r="M6" s="173" t="s">
        <v>359</v>
      </c>
      <c r="N6" s="173"/>
      <c r="O6" s="173" t="s">
        <v>360</v>
      </c>
      <c r="P6" s="173" t="s">
        <v>361</v>
      </c>
      <c r="Q6" s="381" t="s">
        <v>445</v>
      </c>
    </row>
    <row r="7" spans="1:17">
      <c r="A7" s="174" t="s">
        <v>362</v>
      </c>
      <c r="B7" s="163"/>
      <c r="C7" s="170" t="s">
        <v>363</v>
      </c>
      <c r="D7" s="163"/>
      <c r="E7" s="163"/>
      <c r="F7" s="163"/>
      <c r="G7" s="163"/>
      <c r="H7" s="163"/>
      <c r="I7" s="163"/>
      <c r="J7" s="163"/>
      <c r="K7" s="163"/>
      <c r="L7" s="163"/>
      <c r="M7" s="163"/>
      <c r="N7" s="163"/>
      <c r="O7" s="163"/>
      <c r="P7" s="163"/>
      <c r="Q7" s="163"/>
    </row>
    <row r="8" spans="1:17">
      <c r="A8" s="164">
        <v>310</v>
      </c>
      <c r="B8" s="175" t="s">
        <v>364</v>
      </c>
      <c r="C8" s="175"/>
      <c r="D8" s="176">
        <v>784559.78</v>
      </c>
      <c r="E8" s="177">
        <v>0</v>
      </c>
      <c r="F8" s="177">
        <v>0</v>
      </c>
      <c r="G8" s="177">
        <v>0</v>
      </c>
      <c r="H8" s="177">
        <f>+D8+E8+F8-G8</f>
        <v>784559.78</v>
      </c>
      <c r="I8" s="163"/>
      <c r="J8" s="163"/>
      <c r="K8" s="163"/>
      <c r="L8" s="163"/>
      <c r="M8" s="163"/>
      <c r="N8" s="163"/>
      <c r="O8" s="163"/>
      <c r="P8" s="163"/>
      <c r="Q8" s="163"/>
    </row>
    <row r="9" spans="1:17">
      <c r="A9" s="164">
        <v>311</v>
      </c>
      <c r="B9" s="175" t="s">
        <v>365</v>
      </c>
      <c r="C9" s="175">
        <v>50</v>
      </c>
      <c r="D9" s="176">
        <v>69565186.910000011</v>
      </c>
      <c r="E9" s="177">
        <v>0</v>
      </c>
      <c r="F9" s="177">
        <v>0</v>
      </c>
      <c r="G9" s="177">
        <v>6800</v>
      </c>
      <c r="H9" s="177">
        <f t="shared" ref="H9:H24" si="0">+D9+E9+F9-G9</f>
        <v>69558386.910000011</v>
      </c>
      <c r="I9" s="163"/>
      <c r="K9" s="163"/>
      <c r="L9" s="163"/>
      <c r="M9" s="176">
        <f>+D9/C9</f>
        <v>1391303.7382000003</v>
      </c>
      <c r="N9" s="178"/>
      <c r="O9" s="163"/>
      <c r="P9" s="163"/>
      <c r="Q9" s="163"/>
    </row>
    <row r="10" spans="1:17">
      <c r="A10" s="164" t="s">
        <v>366</v>
      </c>
      <c r="B10" s="175" t="s">
        <v>367</v>
      </c>
      <c r="C10" s="175">
        <v>67</v>
      </c>
      <c r="D10" s="176">
        <v>3744006.34</v>
      </c>
      <c r="E10" s="177">
        <v>0</v>
      </c>
      <c r="F10" s="177">
        <v>0</v>
      </c>
      <c r="G10" s="177">
        <v>0</v>
      </c>
      <c r="H10" s="177">
        <f t="shared" si="0"/>
        <v>3744006.34</v>
      </c>
      <c r="I10" s="163"/>
      <c r="K10" s="163"/>
      <c r="L10" s="163"/>
      <c r="M10" s="176">
        <f t="shared" ref="M10:M13" si="1">+D10/C10</f>
        <v>55880.69164179104</v>
      </c>
      <c r="N10" s="178"/>
      <c r="O10" s="163"/>
      <c r="P10" s="163"/>
      <c r="Q10" s="163"/>
    </row>
    <row r="11" spans="1:17">
      <c r="A11" s="164" t="s">
        <v>368</v>
      </c>
      <c r="B11" s="175" t="s">
        <v>369</v>
      </c>
      <c r="C11" s="175">
        <v>50</v>
      </c>
      <c r="D11" s="176">
        <v>2584204.0699999998</v>
      </c>
      <c r="E11" s="177">
        <v>0</v>
      </c>
      <c r="F11" s="177">
        <v>0</v>
      </c>
      <c r="G11" s="177">
        <v>0</v>
      </c>
      <c r="H11" s="177">
        <f t="shared" si="0"/>
        <v>2584204.0699999998</v>
      </c>
      <c r="I11" s="163"/>
      <c r="K11" s="163"/>
      <c r="L11" s="163"/>
      <c r="M11" s="176">
        <f t="shared" si="1"/>
        <v>51684.081399999995</v>
      </c>
      <c r="N11" s="178"/>
      <c r="O11" s="163"/>
      <c r="P11" s="163"/>
      <c r="Q11" s="163"/>
    </row>
    <row r="12" spans="1:17">
      <c r="A12" s="164">
        <v>312</v>
      </c>
      <c r="B12" s="175" t="s">
        <v>370</v>
      </c>
      <c r="C12" s="175">
        <v>50</v>
      </c>
      <c r="D12" s="176">
        <v>134986731.09999999</v>
      </c>
      <c r="E12" s="177">
        <v>9171.44</v>
      </c>
      <c r="F12" s="177">
        <v>3402679.55</v>
      </c>
      <c r="G12" s="177">
        <v>163794.15</v>
      </c>
      <c r="H12" s="177">
        <f t="shared" si="0"/>
        <v>138234787.94</v>
      </c>
      <c r="I12" s="163"/>
      <c r="K12" s="163"/>
      <c r="L12" s="163"/>
      <c r="M12" s="176">
        <f t="shared" si="1"/>
        <v>2699734.622</v>
      </c>
      <c r="N12" s="178"/>
      <c r="O12" s="163"/>
      <c r="P12" s="163"/>
      <c r="Q12" s="163"/>
    </row>
    <row r="13" spans="1:17">
      <c r="A13" s="164" t="s">
        <v>371</v>
      </c>
      <c r="B13" s="175" t="s">
        <v>372</v>
      </c>
      <c r="C13" s="175">
        <v>50</v>
      </c>
      <c r="D13" s="176">
        <v>2469750.65</v>
      </c>
      <c r="E13" s="177">
        <v>0</v>
      </c>
      <c r="F13" s="177">
        <v>0</v>
      </c>
      <c r="G13" s="177">
        <v>0</v>
      </c>
      <c r="H13" s="177">
        <f t="shared" si="0"/>
        <v>2469750.65</v>
      </c>
      <c r="I13" s="163"/>
      <c r="K13" s="163"/>
      <c r="L13" s="163"/>
      <c r="M13" s="176">
        <f t="shared" si="1"/>
        <v>49395.012999999999</v>
      </c>
      <c r="N13" s="178"/>
      <c r="O13" s="163"/>
      <c r="P13" s="163"/>
      <c r="Q13" s="163"/>
    </row>
    <row r="14" spans="1:17">
      <c r="A14" s="164" t="s">
        <v>373</v>
      </c>
      <c r="B14" s="175" t="s">
        <v>374</v>
      </c>
      <c r="C14" s="175">
        <v>50</v>
      </c>
      <c r="D14" s="176">
        <v>25143017.169999998</v>
      </c>
      <c r="E14" s="177">
        <v>0</v>
      </c>
      <c r="F14" s="177">
        <v>0</v>
      </c>
      <c r="G14" s="177">
        <v>0</v>
      </c>
      <c r="H14" s="177">
        <f t="shared" si="0"/>
        <v>25143017.169999998</v>
      </c>
      <c r="I14" s="163"/>
      <c r="K14" s="163"/>
      <c r="L14" s="163"/>
      <c r="M14" s="176">
        <f>+D14/C14</f>
        <v>502860.34339999995</v>
      </c>
      <c r="N14" s="178"/>
      <c r="O14" s="163"/>
      <c r="P14" s="163"/>
      <c r="Q14" s="163"/>
    </row>
    <row r="15" spans="1:17">
      <c r="A15" s="164" t="s">
        <v>375</v>
      </c>
      <c r="B15" s="175" t="s">
        <v>376</v>
      </c>
      <c r="C15" s="179" t="s">
        <v>377</v>
      </c>
      <c r="D15" s="176">
        <v>4468306.66</v>
      </c>
      <c r="E15" s="177">
        <v>0</v>
      </c>
      <c r="F15" s="177">
        <v>0</v>
      </c>
      <c r="G15" s="177">
        <v>0</v>
      </c>
      <c r="H15" s="177">
        <f t="shared" si="0"/>
        <v>4468306.66</v>
      </c>
      <c r="I15" s="163"/>
      <c r="K15" s="163"/>
      <c r="L15" s="163"/>
      <c r="M15" s="176">
        <f>73127+135329.26</f>
        <v>208456.26</v>
      </c>
      <c r="N15" s="178"/>
      <c r="O15" s="163"/>
      <c r="P15" s="163"/>
      <c r="Q15" s="163"/>
    </row>
    <row r="16" spans="1:17">
      <c r="A16" s="164">
        <v>314</v>
      </c>
      <c r="B16" s="175" t="s">
        <v>378</v>
      </c>
      <c r="C16" s="175">
        <v>50</v>
      </c>
      <c r="D16" s="176">
        <v>28612869.659999996</v>
      </c>
      <c r="E16" s="177">
        <v>0</v>
      </c>
      <c r="F16" s="177">
        <v>0</v>
      </c>
      <c r="G16" s="177">
        <v>0</v>
      </c>
      <c r="H16" s="177">
        <f t="shared" si="0"/>
        <v>28612869.659999996</v>
      </c>
      <c r="I16" s="163"/>
      <c r="K16" s="163"/>
      <c r="L16" s="163"/>
      <c r="M16" s="176">
        <f t="shared" ref="M16:M23" si="2">+D16/C16</f>
        <v>572257.39319999993</v>
      </c>
      <c r="N16" s="178"/>
      <c r="O16" s="163"/>
      <c r="P16" s="163"/>
      <c r="Q16" s="163"/>
    </row>
    <row r="17" spans="1:17">
      <c r="A17" s="164" t="s">
        <v>379</v>
      </c>
      <c r="B17" s="175" t="s">
        <v>380</v>
      </c>
      <c r="C17" s="175">
        <v>25</v>
      </c>
      <c r="D17" s="176">
        <v>57600.43</v>
      </c>
      <c r="E17" s="177">
        <v>0</v>
      </c>
      <c r="F17" s="177">
        <v>0</v>
      </c>
      <c r="G17" s="177">
        <v>0</v>
      </c>
      <c r="H17" s="177">
        <f t="shared" si="0"/>
        <v>57600.43</v>
      </c>
      <c r="I17" s="163"/>
      <c r="K17" s="163"/>
      <c r="L17" s="163"/>
      <c r="M17" s="176">
        <f t="shared" si="2"/>
        <v>2304.0172000000002</v>
      </c>
      <c r="N17" s="178"/>
      <c r="O17" s="163"/>
      <c r="P17" s="163"/>
      <c r="Q17" s="163"/>
    </row>
    <row r="18" spans="1:17">
      <c r="A18" s="164" t="s">
        <v>381</v>
      </c>
      <c r="B18" s="175" t="s">
        <v>382</v>
      </c>
      <c r="C18" s="175">
        <v>50</v>
      </c>
      <c r="D18" s="176">
        <v>5055774.62</v>
      </c>
      <c r="E18" s="177">
        <v>0</v>
      </c>
      <c r="F18" s="177">
        <v>0</v>
      </c>
      <c r="G18" s="177">
        <v>0</v>
      </c>
      <c r="H18" s="177">
        <f t="shared" si="0"/>
        <v>5055774.62</v>
      </c>
      <c r="I18" s="163"/>
      <c r="K18" s="163"/>
      <c r="L18" s="163"/>
      <c r="M18" s="176">
        <f t="shared" si="2"/>
        <v>101115.4924</v>
      </c>
      <c r="N18" s="178"/>
      <c r="O18" s="163"/>
      <c r="P18" s="163"/>
      <c r="Q18" s="163"/>
    </row>
    <row r="19" spans="1:17">
      <c r="A19" s="164">
        <v>315</v>
      </c>
      <c r="B19" s="175" t="s">
        <v>383</v>
      </c>
      <c r="C19" s="175">
        <v>50</v>
      </c>
      <c r="D19" s="176">
        <v>22373983.060000006</v>
      </c>
      <c r="E19" s="177">
        <v>0</v>
      </c>
      <c r="F19" s="177">
        <v>0</v>
      </c>
      <c r="G19" s="177">
        <v>16356.25</v>
      </c>
      <c r="H19" s="177">
        <f t="shared" si="0"/>
        <v>22357626.810000006</v>
      </c>
      <c r="I19" s="163"/>
      <c r="K19" s="163"/>
      <c r="L19" s="163"/>
      <c r="M19" s="176">
        <f t="shared" si="2"/>
        <v>447479.66120000015</v>
      </c>
      <c r="N19" s="178"/>
      <c r="O19" s="163"/>
      <c r="P19" s="163"/>
      <c r="Q19" s="163"/>
    </row>
    <row r="20" spans="1:17">
      <c r="A20" s="164" t="s">
        <v>384</v>
      </c>
      <c r="B20" s="175" t="s">
        <v>385</v>
      </c>
      <c r="C20" s="175">
        <v>10</v>
      </c>
      <c r="D20" s="176">
        <v>2442080.1599999997</v>
      </c>
      <c r="E20" s="177">
        <v>21290.52</v>
      </c>
      <c r="F20" s="177">
        <v>0</v>
      </c>
      <c r="G20" s="177">
        <v>3770.95</v>
      </c>
      <c r="H20" s="177">
        <f t="shared" si="0"/>
        <v>2459599.7299999995</v>
      </c>
      <c r="I20" s="163"/>
      <c r="K20" s="163"/>
      <c r="L20" s="163"/>
      <c r="M20" s="176">
        <f t="shared" si="2"/>
        <v>244208.01599999997</v>
      </c>
      <c r="N20" s="178"/>
      <c r="O20" s="163"/>
      <c r="P20" s="163"/>
      <c r="Q20" s="163"/>
    </row>
    <row r="21" spans="1:17">
      <c r="A21" s="164" t="s">
        <v>386</v>
      </c>
      <c r="B21" s="175" t="s">
        <v>387</v>
      </c>
      <c r="C21" s="175">
        <v>50</v>
      </c>
      <c r="D21" s="176">
        <v>306525</v>
      </c>
      <c r="E21" s="177">
        <v>0</v>
      </c>
      <c r="F21" s="177">
        <v>0</v>
      </c>
      <c r="G21" s="177">
        <v>0</v>
      </c>
      <c r="H21" s="177">
        <f t="shared" si="0"/>
        <v>306525</v>
      </c>
      <c r="I21" s="163"/>
      <c r="K21" s="163"/>
      <c r="L21" s="163"/>
      <c r="M21" s="176">
        <f t="shared" si="2"/>
        <v>6130.5</v>
      </c>
      <c r="N21" s="178"/>
      <c r="O21" s="163"/>
      <c r="P21" s="163"/>
      <c r="Q21" s="163"/>
    </row>
    <row r="22" spans="1:17">
      <c r="A22" s="164">
        <v>316</v>
      </c>
      <c r="B22" s="175" t="s">
        <v>388</v>
      </c>
      <c r="C22" s="175">
        <v>50</v>
      </c>
      <c r="D22" s="176">
        <v>4307252.8899999987</v>
      </c>
      <c r="E22" s="177">
        <v>0</v>
      </c>
      <c r="F22" s="177">
        <v>45391.040000000001</v>
      </c>
      <c r="G22" s="177">
        <v>12762.95</v>
      </c>
      <c r="H22" s="177">
        <f t="shared" si="0"/>
        <v>4339880.9799999986</v>
      </c>
      <c r="I22" s="163"/>
      <c r="K22" s="163"/>
      <c r="L22" s="163"/>
      <c r="M22" s="176">
        <f t="shared" si="2"/>
        <v>86145.05779999998</v>
      </c>
      <c r="N22" s="178"/>
      <c r="O22" s="163"/>
      <c r="P22" s="163"/>
      <c r="Q22" s="163"/>
    </row>
    <row r="23" spans="1:17">
      <c r="A23" s="164">
        <v>317</v>
      </c>
      <c r="B23" s="175" t="s">
        <v>389</v>
      </c>
      <c r="C23" s="175">
        <v>15</v>
      </c>
      <c r="D23" s="176">
        <v>11412434.699999997</v>
      </c>
      <c r="E23" s="177">
        <v>2337.9499999999998</v>
      </c>
      <c r="F23" s="177">
        <v>0</v>
      </c>
      <c r="G23" s="177">
        <v>0</v>
      </c>
      <c r="H23" s="177">
        <f t="shared" si="0"/>
        <v>11414772.649999997</v>
      </c>
      <c r="I23" s="163"/>
      <c r="K23" s="163"/>
      <c r="L23" s="163"/>
      <c r="M23" s="176">
        <f t="shared" si="2"/>
        <v>760828.97999999986</v>
      </c>
      <c r="N23" s="178"/>
      <c r="O23" s="163"/>
      <c r="P23" s="163"/>
      <c r="Q23" s="163"/>
    </row>
    <row r="24" spans="1:17">
      <c r="A24" s="164">
        <v>319</v>
      </c>
      <c r="B24" s="175" t="s">
        <v>390</v>
      </c>
      <c r="C24" s="175">
        <v>30</v>
      </c>
      <c r="D24" s="176">
        <v>14137922.859999999</v>
      </c>
      <c r="E24" s="177">
        <v>0</v>
      </c>
      <c r="F24" s="177">
        <v>0</v>
      </c>
      <c r="G24" s="177">
        <v>0</v>
      </c>
      <c r="H24" s="177">
        <f t="shared" si="0"/>
        <v>14137922.859999999</v>
      </c>
      <c r="I24" s="163"/>
      <c r="K24" s="163"/>
      <c r="L24" s="163"/>
      <c r="M24" s="176">
        <f>+D24/C24</f>
        <v>471264.0953333333</v>
      </c>
      <c r="N24" s="178"/>
      <c r="O24" s="163"/>
      <c r="P24" s="163"/>
      <c r="Q24" s="163"/>
    </row>
    <row r="25" spans="1:17">
      <c r="M25" s="176"/>
    </row>
    <row r="26" spans="1:17">
      <c r="A26" s="163"/>
      <c r="B26" s="175" t="s">
        <v>391</v>
      </c>
      <c r="C26" s="175"/>
      <c r="D26" s="177">
        <f>SUM(D8:D25)</f>
        <v>332452206.06</v>
      </c>
      <c r="E26" s="177">
        <f>SUM(E8:E25)</f>
        <v>32799.909999999996</v>
      </c>
      <c r="F26" s="177">
        <f t="shared" ref="F26:H26" si="3">SUM(F8:F25)</f>
        <v>3448070.59</v>
      </c>
      <c r="G26" s="177">
        <f t="shared" si="3"/>
        <v>203484.30000000002</v>
      </c>
      <c r="H26" s="177">
        <f t="shared" si="3"/>
        <v>335729592.26000005</v>
      </c>
      <c r="I26" s="163"/>
      <c r="J26" s="164" t="s">
        <v>392</v>
      </c>
      <c r="K26" s="176">
        <v>268892112.72000003</v>
      </c>
      <c r="L26" s="176"/>
      <c r="M26" s="176">
        <f>ROUND(SUM(M9:M25),2)</f>
        <v>7651047.96</v>
      </c>
      <c r="N26" s="178"/>
      <c r="O26" s="176">
        <v>-203484.3</v>
      </c>
      <c r="P26" s="176">
        <v>0</v>
      </c>
      <c r="Q26" s="176">
        <f>+K26+M26+O26+P26</f>
        <v>276339676.38</v>
      </c>
    </row>
    <row r="27" spans="1:17">
      <c r="A27" s="163"/>
      <c r="B27" s="163"/>
      <c r="C27" s="163"/>
      <c r="D27" s="163"/>
      <c r="E27" s="163"/>
      <c r="F27" s="163"/>
      <c r="G27" s="163"/>
      <c r="H27" s="163"/>
      <c r="I27" s="163"/>
      <c r="J27" s="163"/>
      <c r="K27" s="163"/>
      <c r="L27" s="163"/>
      <c r="M27" s="180"/>
      <c r="N27" s="180"/>
      <c r="O27" s="163"/>
      <c r="P27" s="163"/>
      <c r="Q27" s="163"/>
    </row>
    <row r="28" spans="1:17">
      <c r="A28" s="174" t="s">
        <v>393</v>
      </c>
      <c r="B28" s="163"/>
      <c r="C28" s="163"/>
      <c r="D28" s="163"/>
      <c r="E28" s="163"/>
      <c r="F28" s="163"/>
      <c r="G28" s="163"/>
      <c r="H28" s="163"/>
      <c r="I28" s="163"/>
      <c r="J28" s="163"/>
      <c r="K28" s="163"/>
      <c r="L28" s="163"/>
      <c r="M28" s="181"/>
      <c r="N28" s="181"/>
      <c r="O28" s="176"/>
      <c r="P28" s="163"/>
      <c r="Q28" s="163"/>
    </row>
    <row r="29" spans="1:17">
      <c r="A29" s="164">
        <v>350</v>
      </c>
      <c r="B29" s="175" t="s">
        <v>364</v>
      </c>
      <c r="C29" s="175"/>
      <c r="D29" s="176">
        <v>851116.58</v>
      </c>
      <c r="E29" s="177">
        <v>0</v>
      </c>
      <c r="F29" s="177">
        <v>0</v>
      </c>
      <c r="G29" s="177">
        <v>0</v>
      </c>
      <c r="H29" s="177">
        <f t="shared" ref="H29:H34" si="4">+D29+E29+F29-G29</f>
        <v>851116.58</v>
      </c>
      <c r="I29" s="163"/>
      <c r="J29" s="163"/>
      <c r="K29" s="163"/>
      <c r="L29" s="163"/>
      <c r="M29" s="163"/>
      <c r="N29" s="163"/>
      <c r="O29" s="163"/>
      <c r="P29" s="163"/>
      <c r="Q29" s="163"/>
    </row>
    <row r="30" spans="1:17">
      <c r="A30" s="164">
        <v>352</v>
      </c>
      <c r="B30" s="175" t="s">
        <v>365</v>
      </c>
      <c r="C30" s="175">
        <v>40</v>
      </c>
      <c r="D30" s="176">
        <v>705079.13</v>
      </c>
      <c r="E30" s="177">
        <v>0</v>
      </c>
      <c r="F30" s="177">
        <v>0</v>
      </c>
      <c r="G30" s="177">
        <v>0</v>
      </c>
      <c r="H30" s="177">
        <f t="shared" si="4"/>
        <v>705079.13</v>
      </c>
      <c r="I30" s="163"/>
      <c r="J30" s="163"/>
      <c r="K30" s="163"/>
      <c r="L30" s="163"/>
      <c r="M30" s="176">
        <f>+D30/C30</f>
        <v>17626.97825</v>
      </c>
      <c r="N30" s="178"/>
      <c r="O30" s="163"/>
      <c r="P30" s="163"/>
      <c r="Q30" s="163"/>
    </row>
    <row r="31" spans="1:17">
      <c r="A31" s="164">
        <v>353</v>
      </c>
      <c r="B31" s="175" t="s">
        <v>394</v>
      </c>
      <c r="C31" s="179" t="s">
        <v>395</v>
      </c>
      <c r="D31" s="176">
        <v>6368820.5900000026</v>
      </c>
      <c r="E31" s="177">
        <v>0</v>
      </c>
      <c r="F31" s="177">
        <v>0</v>
      </c>
      <c r="G31" s="177">
        <v>0</v>
      </c>
      <c r="H31" s="177">
        <f t="shared" si="4"/>
        <v>6368820.5900000026</v>
      </c>
      <c r="I31" s="163"/>
      <c r="J31" s="163"/>
      <c r="K31" s="163"/>
      <c r="L31" s="163"/>
      <c r="M31" s="176">
        <v>212294.3</v>
      </c>
      <c r="N31" s="178"/>
      <c r="O31" s="163"/>
      <c r="P31" s="163"/>
      <c r="Q31" s="163"/>
    </row>
    <row r="32" spans="1:17">
      <c r="A32" s="164">
        <v>354</v>
      </c>
      <c r="B32" s="175" t="s">
        <v>396</v>
      </c>
      <c r="C32" s="175">
        <v>40</v>
      </c>
      <c r="D32" s="176">
        <v>30632.85</v>
      </c>
      <c r="E32" s="177">
        <v>0</v>
      </c>
      <c r="F32" s="177">
        <v>0</v>
      </c>
      <c r="G32" s="177">
        <v>139.66</v>
      </c>
      <c r="H32" s="177">
        <f t="shared" si="4"/>
        <v>30493.19</v>
      </c>
      <c r="I32" s="163"/>
      <c r="J32" s="163"/>
      <c r="K32" s="163"/>
      <c r="L32" s="163"/>
      <c r="M32" s="176">
        <f t="shared" ref="M32:M34" si="5">+D32/C32</f>
        <v>765.82124999999996</v>
      </c>
      <c r="N32" s="178"/>
      <c r="O32" s="163"/>
      <c r="P32" s="163"/>
      <c r="Q32" s="163"/>
    </row>
    <row r="33" spans="1:17">
      <c r="A33" s="164">
        <v>355</v>
      </c>
      <c r="B33" s="175" t="s">
        <v>397</v>
      </c>
      <c r="C33" s="175">
        <v>30</v>
      </c>
      <c r="D33" s="176">
        <v>2057707.22</v>
      </c>
      <c r="E33" s="177">
        <v>0</v>
      </c>
      <c r="F33" s="177">
        <v>0</v>
      </c>
      <c r="G33" s="177">
        <v>0</v>
      </c>
      <c r="H33" s="177">
        <f t="shared" si="4"/>
        <v>2057707.22</v>
      </c>
      <c r="I33" s="163"/>
      <c r="J33" s="163"/>
      <c r="K33" s="163"/>
      <c r="L33" s="163"/>
      <c r="M33" s="176">
        <f t="shared" si="5"/>
        <v>68590.240666666665</v>
      </c>
      <c r="N33" s="178"/>
      <c r="O33" s="163"/>
      <c r="P33" s="163"/>
      <c r="Q33" s="163"/>
    </row>
    <row r="34" spans="1:17">
      <c r="A34" s="164">
        <v>356</v>
      </c>
      <c r="B34" s="175" t="s">
        <v>398</v>
      </c>
      <c r="C34" s="175">
        <v>30</v>
      </c>
      <c r="D34" s="176">
        <v>2207628.69</v>
      </c>
      <c r="E34" s="177">
        <v>55.21</v>
      </c>
      <c r="F34" s="177">
        <v>0</v>
      </c>
      <c r="G34" s="177">
        <v>0</v>
      </c>
      <c r="H34" s="177">
        <f t="shared" si="4"/>
        <v>2207683.9</v>
      </c>
      <c r="I34" s="163"/>
      <c r="J34" s="163"/>
      <c r="K34" s="163"/>
      <c r="L34" s="163"/>
      <c r="M34" s="176">
        <f t="shared" si="5"/>
        <v>73587.622999999992</v>
      </c>
      <c r="N34" s="178"/>
      <c r="O34" s="163"/>
      <c r="P34" s="163"/>
      <c r="Q34" s="163"/>
    </row>
    <row r="35" spans="1:17">
      <c r="M35" s="176"/>
      <c r="N35" s="178"/>
    </row>
    <row r="36" spans="1:17">
      <c r="A36" s="163"/>
      <c r="B36" s="175" t="s">
        <v>399</v>
      </c>
      <c r="C36" s="175"/>
      <c r="D36" s="177">
        <f>SUM(D29:D35)</f>
        <v>12220985.060000002</v>
      </c>
      <c r="E36" s="177">
        <f t="shared" ref="E36:H36" si="6">SUM(E29:E35)</f>
        <v>55.21</v>
      </c>
      <c r="F36" s="177">
        <f t="shared" si="6"/>
        <v>0</v>
      </c>
      <c r="G36" s="177">
        <f t="shared" si="6"/>
        <v>139.66</v>
      </c>
      <c r="H36" s="177">
        <f t="shared" si="6"/>
        <v>12220900.610000003</v>
      </c>
      <c r="I36" s="163"/>
      <c r="J36" s="164" t="s">
        <v>400</v>
      </c>
      <c r="K36" s="176">
        <v>10339070.74</v>
      </c>
      <c r="L36" s="176"/>
      <c r="M36" s="176">
        <f>ROUND(SUM(M30:M35),2)</f>
        <v>372864.96</v>
      </c>
      <c r="N36" s="178"/>
      <c r="O36" s="176">
        <v>-139.66</v>
      </c>
      <c r="P36" s="176">
        <v>0</v>
      </c>
      <c r="Q36" s="176">
        <f>+K36+M36+O36+P36</f>
        <v>10711796.040000001</v>
      </c>
    </row>
    <row r="37" spans="1:17">
      <c r="M37" s="176"/>
      <c r="N37" s="178"/>
    </row>
    <row r="38" spans="1:17">
      <c r="A38" s="174" t="s">
        <v>401</v>
      </c>
      <c r="B38" s="163"/>
      <c r="C38" s="163"/>
      <c r="D38" s="163"/>
      <c r="E38" s="163"/>
      <c r="F38" s="163"/>
      <c r="G38" s="163"/>
      <c r="H38" s="163"/>
      <c r="I38" s="163"/>
      <c r="J38" s="163"/>
      <c r="K38" s="163"/>
      <c r="L38" s="163"/>
      <c r="M38" s="178"/>
      <c r="N38" s="178"/>
      <c r="O38" s="163"/>
      <c r="P38" s="163"/>
      <c r="Q38" s="163"/>
    </row>
    <row r="39" spans="1:17">
      <c r="A39" s="164">
        <v>360</v>
      </c>
      <c r="B39" s="175" t="s">
        <v>364</v>
      </c>
      <c r="C39" s="175"/>
      <c r="D39" s="176">
        <v>141532.75</v>
      </c>
      <c r="E39" s="177">
        <v>0</v>
      </c>
      <c r="F39" s="177">
        <v>0</v>
      </c>
      <c r="G39" s="177">
        <v>0</v>
      </c>
      <c r="H39" s="177">
        <f t="shared" ref="H39:H53" si="7">+D39+E39+F39-G39</f>
        <v>141532.75</v>
      </c>
      <c r="I39" s="163"/>
      <c r="J39" s="194"/>
      <c r="K39" s="163"/>
      <c r="L39" s="163"/>
      <c r="M39" s="178"/>
      <c r="N39" s="178"/>
      <c r="O39" s="163"/>
      <c r="P39" s="163"/>
      <c r="Q39" s="163"/>
    </row>
    <row r="40" spans="1:17">
      <c r="A40" s="164">
        <v>361</v>
      </c>
      <c r="B40" s="175" t="s">
        <v>365</v>
      </c>
      <c r="C40" s="175">
        <v>40</v>
      </c>
      <c r="D40" s="176">
        <v>365479.19</v>
      </c>
      <c r="E40" s="177">
        <v>0</v>
      </c>
      <c r="F40" s="177">
        <v>0</v>
      </c>
      <c r="G40" s="177">
        <v>18795.39</v>
      </c>
      <c r="H40" s="177">
        <f t="shared" si="7"/>
        <v>346683.8</v>
      </c>
      <c r="I40" s="163"/>
      <c r="J40" s="194"/>
      <c r="K40" s="163"/>
      <c r="L40" s="163"/>
      <c r="M40" s="176">
        <f>+D40/C40</f>
        <v>9136.9797500000004</v>
      </c>
      <c r="N40" s="178"/>
      <c r="O40" s="163"/>
      <c r="P40" s="163"/>
      <c r="Q40" s="163"/>
    </row>
    <row r="41" spans="1:17">
      <c r="A41" s="164">
        <v>362</v>
      </c>
      <c r="B41" s="175" t="s">
        <v>394</v>
      </c>
      <c r="C41" s="175">
        <v>25</v>
      </c>
      <c r="D41" s="176">
        <v>5657881.8699999992</v>
      </c>
      <c r="E41" s="177">
        <v>34512.92</v>
      </c>
      <c r="F41" s="177">
        <v>0</v>
      </c>
      <c r="G41" s="177">
        <v>128894.69</v>
      </c>
      <c r="H41" s="177">
        <f t="shared" si="7"/>
        <v>5563500.0999999987</v>
      </c>
      <c r="I41" s="163"/>
      <c r="J41" s="194"/>
      <c r="K41" s="163"/>
      <c r="L41" s="163"/>
      <c r="M41" s="176">
        <f>+D41/C41-2.02</f>
        <v>226313.25479999997</v>
      </c>
      <c r="N41" s="178"/>
      <c r="O41" s="163"/>
      <c r="P41" s="163"/>
      <c r="Q41" s="163"/>
    </row>
    <row r="42" spans="1:17">
      <c r="A42" s="164">
        <v>363</v>
      </c>
      <c r="B42" s="175" t="s">
        <v>402</v>
      </c>
      <c r="C42" s="175">
        <v>25</v>
      </c>
      <c r="D42" s="176">
        <v>41102.25</v>
      </c>
      <c r="E42" s="177">
        <v>0</v>
      </c>
      <c r="F42" s="177">
        <v>0</v>
      </c>
      <c r="G42" s="177">
        <v>0</v>
      </c>
      <c r="H42" s="177">
        <f t="shared" si="7"/>
        <v>41102.25</v>
      </c>
      <c r="I42" s="163"/>
      <c r="J42" s="194"/>
      <c r="K42" s="163"/>
      <c r="L42" s="163"/>
      <c r="M42" s="176">
        <f t="shared" ref="M42:M53" si="8">+D42/C42</f>
        <v>1644.09</v>
      </c>
      <c r="N42" s="178"/>
      <c r="O42" s="163"/>
      <c r="P42" s="163"/>
      <c r="Q42" s="163"/>
    </row>
    <row r="43" spans="1:17">
      <c r="A43" s="164">
        <v>364</v>
      </c>
      <c r="B43" s="175" t="s">
        <v>403</v>
      </c>
      <c r="C43" s="175">
        <v>25</v>
      </c>
      <c r="D43" s="176">
        <v>4524432.0099999988</v>
      </c>
      <c r="E43" s="177">
        <v>5181.92</v>
      </c>
      <c r="F43" s="177">
        <v>24401.07</v>
      </c>
      <c r="G43" s="177">
        <v>4157.16</v>
      </c>
      <c r="H43" s="177">
        <f t="shared" si="7"/>
        <v>4549857.8399999989</v>
      </c>
      <c r="I43" s="163"/>
      <c r="J43" s="194"/>
      <c r="K43" s="163"/>
      <c r="L43" s="163"/>
      <c r="M43" s="176">
        <f t="shared" si="8"/>
        <v>180977.28039999996</v>
      </c>
      <c r="N43" s="178"/>
      <c r="O43" s="163"/>
      <c r="P43" s="163"/>
      <c r="Q43" s="163"/>
    </row>
    <row r="44" spans="1:17">
      <c r="A44" s="164">
        <v>365</v>
      </c>
      <c r="B44" s="175" t="s">
        <v>398</v>
      </c>
      <c r="C44" s="175">
        <v>25</v>
      </c>
      <c r="D44" s="176">
        <v>4821734.8899999987</v>
      </c>
      <c r="E44" s="177">
        <v>10999.3</v>
      </c>
      <c r="F44" s="177">
        <v>47817.56</v>
      </c>
      <c r="G44" s="177">
        <v>32996.26</v>
      </c>
      <c r="H44" s="177">
        <f t="shared" si="7"/>
        <v>4847555.4899999984</v>
      </c>
      <c r="I44" s="163"/>
      <c r="J44" s="194"/>
      <c r="K44" s="163"/>
      <c r="L44" s="163"/>
      <c r="M44" s="176">
        <f t="shared" si="8"/>
        <v>192869.39559999996</v>
      </c>
      <c r="N44" s="178"/>
      <c r="O44" s="163"/>
      <c r="P44" s="163"/>
      <c r="Q44" s="163"/>
    </row>
    <row r="45" spans="1:17">
      <c r="A45" s="164">
        <v>366</v>
      </c>
      <c r="B45" s="175" t="s">
        <v>404</v>
      </c>
      <c r="C45" s="175">
        <v>25</v>
      </c>
      <c r="D45" s="176">
        <v>3262801.2399999998</v>
      </c>
      <c r="E45" s="177">
        <v>299.68</v>
      </c>
      <c r="F45" s="177">
        <v>94671.489999999991</v>
      </c>
      <c r="G45" s="177">
        <v>42186.97</v>
      </c>
      <c r="H45" s="177">
        <f t="shared" si="7"/>
        <v>3315585.44</v>
      </c>
      <c r="I45" s="163"/>
      <c r="J45" s="194"/>
      <c r="K45" s="163"/>
      <c r="L45" s="163"/>
      <c r="M45" s="176">
        <f t="shared" si="8"/>
        <v>130512.04959999998</v>
      </c>
      <c r="N45" s="178"/>
      <c r="O45" s="163"/>
      <c r="P45" s="163"/>
      <c r="Q45" s="163"/>
    </row>
    <row r="46" spans="1:17">
      <c r="A46" s="164">
        <v>367</v>
      </c>
      <c r="B46" s="175" t="s">
        <v>405</v>
      </c>
      <c r="C46" s="175">
        <v>25</v>
      </c>
      <c r="D46" s="176">
        <v>7776083.1500000013</v>
      </c>
      <c r="E46" s="177">
        <v>37004.800000000003</v>
      </c>
      <c r="F46" s="177">
        <v>250414.06</v>
      </c>
      <c r="G46" s="177">
        <v>102511.74</v>
      </c>
      <c r="H46" s="177">
        <f t="shared" si="7"/>
        <v>7960990.2700000005</v>
      </c>
      <c r="I46" s="163"/>
      <c r="J46" s="194"/>
      <c r="K46" s="163"/>
      <c r="L46" s="163"/>
      <c r="M46" s="176">
        <f>+D46/C46</f>
        <v>311043.32600000006</v>
      </c>
      <c r="N46" s="178"/>
      <c r="O46" s="163"/>
      <c r="P46" s="163"/>
      <c r="Q46" s="163"/>
    </row>
    <row r="47" spans="1:17">
      <c r="A47" s="164">
        <v>368</v>
      </c>
      <c r="B47" s="175" t="s">
        <v>406</v>
      </c>
      <c r="C47" s="175">
        <v>25</v>
      </c>
      <c r="D47" s="176">
        <v>10289836</v>
      </c>
      <c r="E47" s="177">
        <f>374433.47-12908.05-41721.12-17829.47-56.17</f>
        <v>301918.65999999997</v>
      </c>
      <c r="F47" s="177">
        <f>12908.05+42319.42+18160.75+27067.46+8167.29+80304.08+232.28+4949.73+12732.81</f>
        <v>206841.87</v>
      </c>
      <c r="G47" s="177">
        <v>49256.62</v>
      </c>
      <c r="H47" s="177">
        <f t="shared" si="7"/>
        <v>10749339.91</v>
      </c>
      <c r="I47" s="163"/>
      <c r="J47" s="194"/>
      <c r="K47" s="163"/>
      <c r="L47" s="163"/>
      <c r="M47" s="176">
        <f t="shared" si="8"/>
        <v>411593.44</v>
      </c>
      <c r="N47" s="178"/>
      <c r="O47" s="163"/>
      <c r="P47" s="163"/>
      <c r="Q47" s="163"/>
    </row>
    <row r="48" spans="1:17">
      <c r="A48" s="164">
        <v>369</v>
      </c>
      <c r="B48" s="175" t="s">
        <v>446</v>
      </c>
      <c r="C48" s="175">
        <v>25</v>
      </c>
      <c r="D48" s="176">
        <f>1537054.32+6117048.27</f>
        <v>7654102.5899999999</v>
      </c>
      <c r="E48" s="177">
        <f>4471.52+252885.4+30767.93</f>
        <v>288124.84999999998</v>
      </c>
      <c r="F48" s="177">
        <v>77098.81</v>
      </c>
      <c r="G48" s="177">
        <f>20302.97+7026.65+3.97</f>
        <v>27333.590000000004</v>
      </c>
      <c r="H48" s="177">
        <f t="shared" si="7"/>
        <v>7991992.6599999992</v>
      </c>
      <c r="I48" s="163"/>
      <c r="J48" s="194"/>
      <c r="K48" s="163"/>
      <c r="L48" s="163"/>
      <c r="M48" s="176">
        <f t="shared" si="8"/>
        <v>306164.10359999997</v>
      </c>
      <c r="N48" s="178"/>
      <c r="O48" s="163"/>
      <c r="P48" s="163"/>
      <c r="Q48" s="163"/>
    </row>
    <row r="49" spans="1:17">
      <c r="A49" s="164">
        <v>370</v>
      </c>
      <c r="B49" s="175" t="s">
        <v>407</v>
      </c>
      <c r="C49" s="175">
        <v>25</v>
      </c>
      <c r="D49" s="176">
        <v>1610657.5499999996</v>
      </c>
      <c r="E49" s="177">
        <v>37214.959999999999</v>
      </c>
      <c r="F49" s="177">
        <v>26783.31</v>
      </c>
      <c r="G49" s="177">
        <v>39376.620000000003</v>
      </c>
      <c r="H49" s="177">
        <f t="shared" si="7"/>
        <v>1635279.1999999995</v>
      </c>
      <c r="I49" s="163"/>
      <c r="J49" s="194"/>
      <c r="K49" s="163"/>
      <c r="L49" s="163"/>
      <c r="M49" s="176">
        <f t="shared" si="8"/>
        <v>64426.301999999981</v>
      </c>
      <c r="N49" s="178"/>
      <c r="O49" s="163"/>
      <c r="P49" s="163"/>
      <c r="Q49" s="163"/>
    </row>
    <row r="50" spans="1:17">
      <c r="A50" s="164">
        <v>371</v>
      </c>
      <c r="B50" s="175" t="s">
        <v>408</v>
      </c>
      <c r="C50" s="175">
        <v>25</v>
      </c>
      <c r="D50" s="176">
        <v>121050.92</v>
      </c>
      <c r="E50" s="177">
        <v>0</v>
      </c>
      <c r="F50" s="177">
        <v>0</v>
      </c>
      <c r="G50" s="177">
        <v>0</v>
      </c>
      <c r="H50" s="177">
        <f t="shared" si="7"/>
        <v>121050.92</v>
      </c>
      <c r="I50" s="163"/>
      <c r="J50" s="194"/>
      <c r="K50" s="163"/>
      <c r="L50" s="163"/>
      <c r="M50" s="176">
        <f t="shared" si="8"/>
        <v>4842.0367999999999</v>
      </c>
      <c r="N50" s="178"/>
      <c r="O50" s="163"/>
      <c r="P50" s="163"/>
      <c r="Q50" s="163"/>
    </row>
    <row r="51" spans="1:17">
      <c r="A51" s="164">
        <v>372</v>
      </c>
      <c r="B51" s="175" t="s">
        <v>409</v>
      </c>
      <c r="C51" s="175">
        <v>10</v>
      </c>
      <c r="D51" s="176">
        <v>8155.58</v>
      </c>
      <c r="E51" s="177">
        <v>0</v>
      </c>
      <c r="F51" s="177">
        <v>0</v>
      </c>
      <c r="G51" s="177">
        <v>0</v>
      </c>
      <c r="H51" s="177">
        <f t="shared" si="7"/>
        <v>8155.58</v>
      </c>
      <c r="I51" s="163"/>
      <c r="J51" s="194"/>
      <c r="K51" s="163"/>
      <c r="L51" s="163"/>
      <c r="M51" s="176">
        <f t="shared" si="8"/>
        <v>815.55799999999999</v>
      </c>
      <c r="N51" s="178"/>
      <c r="O51" s="163"/>
      <c r="P51" s="163"/>
      <c r="Q51" s="163"/>
    </row>
    <row r="52" spans="1:17">
      <c r="A52" s="164">
        <v>373</v>
      </c>
      <c r="B52" s="175" t="s">
        <v>410</v>
      </c>
      <c r="C52" s="175">
        <v>25</v>
      </c>
      <c r="D52" s="176">
        <v>4017305.8300000005</v>
      </c>
      <c r="E52" s="177">
        <v>64398.879999999997</v>
      </c>
      <c r="F52" s="177">
        <v>139874.93</v>
      </c>
      <c r="G52" s="177">
        <v>57668.83</v>
      </c>
      <c r="H52" s="177">
        <f t="shared" si="7"/>
        <v>4163910.8100000005</v>
      </c>
      <c r="I52" s="163"/>
      <c r="J52" s="194"/>
      <c r="K52" s="163"/>
      <c r="L52" s="163"/>
      <c r="M52" s="176">
        <f t="shared" si="8"/>
        <v>160692.23320000002</v>
      </c>
      <c r="N52" s="178"/>
      <c r="O52" s="163"/>
      <c r="P52" s="163"/>
      <c r="Q52" s="163"/>
    </row>
    <row r="53" spans="1:17">
      <c r="A53" s="164">
        <v>374</v>
      </c>
      <c r="B53" s="175" t="s">
        <v>411</v>
      </c>
      <c r="C53" s="175">
        <v>25</v>
      </c>
      <c r="D53" s="176">
        <v>518572.85</v>
      </c>
      <c r="E53" s="177">
        <v>9835.89</v>
      </c>
      <c r="F53" s="177">
        <v>0</v>
      </c>
      <c r="G53" s="177">
        <v>0</v>
      </c>
      <c r="H53" s="177">
        <f t="shared" si="7"/>
        <v>528408.74</v>
      </c>
      <c r="I53" s="163"/>
      <c r="J53" s="194"/>
      <c r="K53" s="163"/>
      <c r="L53" s="163"/>
      <c r="M53" s="176">
        <f t="shared" si="8"/>
        <v>20742.914000000001</v>
      </c>
      <c r="N53" s="178"/>
      <c r="O53" s="163"/>
      <c r="P53" s="163"/>
      <c r="Q53" s="163"/>
    </row>
    <row r="54" spans="1:17">
      <c r="C54" s="175">
        <v>25</v>
      </c>
      <c r="M54" s="176"/>
      <c r="N54" s="178"/>
    </row>
    <row r="55" spans="1:17">
      <c r="A55" s="163"/>
      <c r="B55" s="175" t="s">
        <v>412</v>
      </c>
      <c r="C55" s="175"/>
      <c r="D55" s="177">
        <f>SUM(D39:D54)</f>
        <v>50810728.669999994</v>
      </c>
      <c r="E55" s="177">
        <f>SUM(E39:E54)</f>
        <v>789491.85999999987</v>
      </c>
      <c r="F55" s="177">
        <f>SUM(F39:F54)</f>
        <v>867903.10000000009</v>
      </c>
      <c r="G55" s="177">
        <f>SUM(G39:G54)</f>
        <v>503177.87000000005</v>
      </c>
      <c r="H55" s="177">
        <f>SUM(H39:H54)</f>
        <v>51964945.759999998</v>
      </c>
      <c r="I55" s="163"/>
      <c r="J55" s="164" t="s">
        <v>413</v>
      </c>
      <c r="K55" s="176">
        <v>40163316.29999999</v>
      </c>
      <c r="L55" s="176"/>
      <c r="M55" s="176">
        <f>ROUND(SUM(M40:M54),2)</f>
        <v>2021772.96</v>
      </c>
      <c r="N55" s="178"/>
      <c r="O55" s="176">
        <v>118559.39</v>
      </c>
      <c r="P55" s="176">
        <v>29.31</v>
      </c>
      <c r="Q55" s="176">
        <f>+K55+M55+O55+P55</f>
        <v>42303677.959999993</v>
      </c>
    </row>
    <row r="56" spans="1:17">
      <c r="A56" s="163"/>
      <c r="B56" s="163"/>
      <c r="C56" s="163"/>
      <c r="D56" s="163"/>
      <c r="E56" s="163"/>
      <c r="F56" s="163"/>
      <c r="G56" s="163"/>
      <c r="H56" s="163"/>
      <c r="I56" s="163"/>
      <c r="J56" s="163"/>
      <c r="K56" s="163"/>
      <c r="L56" s="163"/>
      <c r="M56" s="176"/>
      <c r="N56" s="180"/>
      <c r="O56" s="163"/>
      <c r="P56" s="163"/>
      <c r="Q56" s="163"/>
    </row>
    <row r="57" spans="1:17">
      <c r="A57" s="174" t="s">
        <v>414</v>
      </c>
      <c r="B57" s="163"/>
      <c r="C57" s="163"/>
      <c r="D57" s="163"/>
      <c r="E57" s="163"/>
      <c r="F57" s="163"/>
      <c r="G57" s="163"/>
      <c r="H57" s="163"/>
      <c r="I57" s="163"/>
      <c r="J57" s="163"/>
      <c r="K57" s="163"/>
      <c r="L57" s="163"/>
      <c r="M57" s="176"/>
      <c r="N57" s="176"/>
      <c r="O57" s="176"/>
      <c r="P57" s="163"/>
      <c r="Q57" s="163"/>
    </row>
    <row r="58" spans="1:17">
      <c r="A58" s="182">
        <v>389</v>
      </c>
      <c r="B58" s="175" t="s">
        <v>364</v>
      </c>
      <c r="C58" s="175"/>
      <c r="D58" s="176">
        <v>97380.73</v>
      </c>
      <c r="E58" s="177">
        <v>0</v>
      </c>
      <c r="F58" s="177">
        <v>0</v>
      </c>
      <c r="G58" s="177">
        <v>0</v>
      </c>
      <c r="H58" s="177">
        <f t="shared" ref="H58:H71" si="9">+D58+E58+F58-G58</f>
        <v>97380.73</v>
      </c>
      <c r="I58" s="163"/>
      <c r="J58" s="163"/>
      <c r="K58" s="163"/>
      <c r="L58" s="183" t="s">
        <v>415</v>
      </c>
      <c r="M58" s="183" t="s">
        <v>416</v>
      </c>
      <c r="N58" s="183"/>
      <c r="O58" s="163"/>
      <c r="P58" s="163"/>
      <c r="Q58" s="163"/>
    </row>
    <row r="59" spans="1:17">
      <c r="A59" s="182" t="s">
        <v>417</v>
      </c>
      <c r="B59" s="175" t="s">
        <v>418</v>
      </c>
      <c r="C59" s="175">
        <v>45</v>
      </c>
      <c r="D59" s="176">
        <v>69863.63</v>
      </c>
      <c r="E59" s="177">
        <v>0</v>
      </c>
      <c r="F59" s="177">
        <v>0</v>
      </c>
      <c r="G59" s="177">
        <v>0</v>
      </c>
      <c r="H59" s="177">
        <f t="shared" si="9"/>
        <v>69863.63</v>
      </c>
      <c r="I59" s="163"/>
      <c r="J59" s="163"/>
      <c r="K59" s="176"/>
      <c r="L59" s="176">
        <f>+D59/C59</f>
        <v>1552.5251111111113</v>
      </c>
      <c r="M59" s="176">
        <f>+L59/$L$73*$M$73</f>
        <v>2.3069241804710412</v>
      </c>
      <c r="N59" s="176"/>
      <c r="O59" s="176"/>
      <c r="P59" s="176"/>
      <c r="Q59" s="176"/>
    </row>
    <row r="60" spans="1:17">
      <c r="A60" s="182" t="s">
        <v>419</v>
      </c>
      <c r="B60" s="175" t="s">
        <v>420</v>
      </c>
      <c r="C60" s="175">
        <v>45</v>
      </c>
      <c r="D60" s="176">
        <v>8527720.8999999985</v>
      </c>
      <c r="E60" s="177">
        <v>15716.78</v>
      </c>
      <c r="F60" s="177">
        <v>35924.42</v>
      </c>
      <c r="G60" s="177">
        <v>5029</v>
      </c>
      <c r="H60" s="177">
        <f t="shared" si="9"/>
        <v>8574333.0999999978</v>
      </c>
      <c r="I60" s="163"/>
      <c r="J60" s="163"/>
      <c r="K60" s="176"/>
      <c r="L60" s="176">
        <f t="shared" ref="L60:L71" si="10">+D60/C60</f>
        <v>189504.90888888887</v>
      </c>
      <c r="M60" s="176">
        <f t="shared" ref="M60:M71" si="11">+L60/$L$73*$M$73</f>
        <v>281.58865418985908</v>
      </c>
      <c r="N60" s="176"/>
      <c r="O60" s="176"/>
      <c r="P60" s="176"/>
      <c r="Q60" s="176"/>
    </row>
    <row r="61" spans="1:17">
      <c r="A61" s="182">
        <v>391</v>
      </c>
      <c r="B61" s="175" t="s">
        <v>421</v>
      </c>
      <c r="C61" s="175">
        <v>15</v>
      </c>
      <c r="D61" s="176">
        <v>1416895.96</v>
      </c>
      <c r="E61" s="177">
        <f>31373.17-E63-E62</f>
        <v>13198.919999999998</v>
      </c>
      <c r="F61" s="177">
        <f>209049.24-F62-F63</f>
        <v>125751.54999999999</v>
      </c>
      <c r="G61" s="177">
        <f>117023.87-G62-G63</f>
        <v>4515.4199999999892</v>
      </c>
      <c r="H61" s="177">
        <f t="shared" si="9"/>
        <v>1551331.01</v>
      </c>
      <c r="I61" s="163"/>
      <c r="J61" s="194"/>
      <c r="K61" s="176"/>
      <c r="L61" s="176">
        <f t="shared" si="10"/>
        <v>94459.73066666667</v>
      </c>
      <c r="M61" s="176">
        <f t="shared" si="11"/>
        <v>140.35936372053936</v>
      </c>
      <c r="N61" s="176"/>
      <c r="O61" s="176"/>
      <c r="P61" s="176"/>
      <c r="Q61" s="176"/>
    </row>
    <row r="62" spans="1:17">
      <c r="A62" s="182" t="s">
        <v>422</v>
      </c>
      <c r="B62" s="175" t="s">
        <v>423</v>
      </c>
      <c r="C62" s="175">
        <v>5</v>
      </c>
      <c r="D62" s="176">
        <v>1849055.1199999996</v>
      </c>
      <c r="E62" s="177">
        <v>10110.049999999999</v>
      </c>
      <c r="F62" s="177">
        <f>2030.12+67661.51</f>
        <v>69691.62999999999</v>
      </c>
      <c r="G62" s="177">
        <v>109845.96</v>
      </c>
      <c r="H62" s="177">
        <f t="shared" si="9"/>
        <v>1819010.8399999996</v>
      </c>
      <c r="I62" s="163"/>
      <c r="J62" s="194"/>
      <c r="K62" s="176"/>
      <c r="L62" s="176">
        <f t="shared" si="10"/>
        <v>369811.02399999992</v>
      </c>
      <c r="M62" s="176">
        <f t="shared" si="11"/>
        <v>549.50866003049123</v>
      </c>
      <c r="N62" s="176"/>
      <c r="O62" s="176"/>
      <c r="P62" s="176"/>
      <c r="Q62" s="176"/>
    </row>
    <row r="63" spans="1:17">
      <c r="A63" s="182" t="s">
        <v>424</v>
      </c>
      <c r="B63" s="175" t="s">
        <v>425</v>
      </c>
      <c r="C63" s="175">
        <v>5</v>
      </c>
      <c r="D63" s="176">
        <v>1881201.89</v>
      </c>
      <c r="E63" s="177">
        <v>8064.2</v>
      </c>
      <c r="F63" s="177">
        <v>13606.06</v>
      </c>
      <c r="G63" s="177">
        <v>2662.49</v>
      </c>
      <c r="H63" s="177">
        <f t="shared" si="9"/>
        <v>1900209.66</v>
      </c>
      <c r="I63" s="163"/>
      <c r="J63" s="194"/>
      <c r="K63" s="176"/>
      <c r="L63" s="176">
        <f t="shared" si="10"/>
        <v>376240.37799999997</v>
      </c>
      <c r="M63" s="176">
        <f>+L63/$L$73*$M$73</f>
        <v>559.06214944026533</v>
      </c>
      <c r="N63" s="176"/>
      <c r="O63" s="176"/>
      <c r="P63" s="176"/>
      <c r="Q63" s="176"/>
    </row>
    <row r="64" spans="1:17">
      <c r="A64" s="182">
        <v>392</v>
      </c>
      <c r="B64" s="175" t="s">
        <v>426</v>
      </c>
      <c r="C64" s="175">
        <v>10</v>
      </c>
      <c r="D64" s="176">
        <v>3654715.59</v>
      </c>
      <c r="E64" s="177">
        <v>0</v>
      </c>
      <c r="F64" s="177">
        <v>228274.98</v>
      </c>
      <c r="G64" s="177">
        <v>273123.53000000003</v>
      </c>
      <c r="H64" s="177">
        <f t="shared" si="9"/>
        <v>3609867.04</v>
      </c>
      <c r="I64" s="163"/>
      <c r="J64" s="163"/>
      <c r="K64" s="176"/>
      <c r="L64" s="176">
        <f t="shared" si="10"/>
        <v>365471.55900000001</v>
      </c>
      <c r="M64" s="176">
        <f t="shared" si="11"/>
        <v>543.06057318979401</v>
      </c>
      <c r="N64" s="176"/>
      <c r="O64" s="176"/>
      <c r="P64" s="176"/>
      <c r="Q64" s="176"/>
    </row>
    <row r="65" spans="1:17">
      <c r="A65" s="182">
        <v>393</v>
      </c>
      <c r="B65" s="175" t="s">
        <v>427</v>
      </c>
      <c r="C65" s="175">
        <v>15</v>
      </c>
      <c r="D65" s="176">
        <v>384665.02</v>
      </c>
      <c r="E65" s="177">
        <v>0</v>
      </c>
      <c r="F65" s="177">
        <v>0</v>
      </c>
      <c r="G65" s="177">
        <v>0</v>
      </c>
      <c r="H65" s="177">
        <f t="shared" si="9"/>
        <v>384665.02</v>
      </c>
      <c r="I65" s="163"/>
      <c r="J65" s="163"/>
      <c r="K65" s="176"/>
      <c r="L65" s="176">
        <f t="shared" si="10"/>
        <v>25644.334666666669</v>
      </c>
      <c r="M65" s="176">
        <f t="shared" si="11"/>
        <v>38.105364809388369</v>
      </c>
      <c r="N65" s="176"/>
      <c r="O65" s="176"/>
      <c r="P65" s="176"/>
      <c r="Q65" s="176"/>
    </row>
    <row r="66" spans="1:17">
      <c r="A66" s="182">
        <v>394</v>
      </c>
      <c r="B66" s="175" t="s">
        <v>428</v>
      </c>
      <c r="C66" s="175">
        <v>15</v>
      </c>
      <c r="D66" s="176">
        <v>1015884.8099999998</v>
      </c>
      <c r="E66" s="177">
        <f>6280.5+10870.08+11719.74+7018.8+30.69+3892.62</f>
        <v>39812.430000000008</v>
      </c>
      <c r="F66" s="177">
        <v>0</v>
      </c>
      <c r="G66" s="177">
        <v>0</v>
      </c>
      <c r="H66" s="177">
        <f t="shared" si="9"/>
        <v>1055697.2399999998</v>
      </c>
      <c r="I66" s="163"/>
      <c r="J66" s="163"/>
      <c r="K66" s="176"/>
      <c r="L66" s="176">
        <f t="shared" si="10"/>
        <v>67725.653999999995</v>
      </c>
      <c r="M66" s="176">
        <f t="shared" si="11"/>
        <v>100.6347322388872</v>
      </c>
      <c r="N66" s="176"/>
      <c r="O66" s="176"/>
      <c r="P66" s="176"/>
      <c r="Q66" s="176"/>
    </row>
    <row r="67" spans="1:17">
      <c r="A67" s="182">
        <v>395</v>
      </c>
      <c r="B67" s="175" t="s">
        <v>429</v>
      </c>
      <c r="C67" s="175">
        <v>15</v>
      </c>
      <c r="D67" s="176">
        <v>298663.94</v>
      </c>
      <c r="E67" s="177">
        <f>282.74</f>
        <v>282.74</v>
      </c>
      <c r="F67" s="177">
        <v>0</v>
      </c>
      <c r="G67" s="177">
        <v>491.27</v>
      </c>
      <c r="H67" s="177">
        <f t="shared" si="9"/>
        <v>298455.40999999997</v>
      </c>
      <c r="I67" s="163"/>
      <c r="J67" s="163"/>
      <c r="K67" s="176"/>
      <c r="L67" s="176">
        <f t="shared" si="10"/>
        <v>19910.929333333333</v>
      </c>
      <c r="M67" s="176">
        <f t="shared" si="11"/>
        <v>29.585997679511589</v>
      </c>
      <c r="N67" s="176"/>
      <c r="O67" s="176"/>
      <c r="P67" s="176"/>
      <c r="Q67" s="176"/>
    </row>
    <row r="68" spans="1:17">
      <c r="A68" s="182">
        <v>396</v>
      </c>
      <c r="B68" s="175" t="s">
        <v>430</v>
      </c>
      <c r="C68" s="175">
        <v>15</v>
      </c>
      <c r="D68" s="176">
        <v>489547.95</v>
      </c>
      <c r="E68" s="177">
        <v>0</v>
      </c>
      <c r="F68" s="177">
        <v>0</v>
      </c>
      <c r="G68" s="177">
        <v>1671.01</v>
      </c>
      <c r="H68" s="177">
        <f t="shared" si="9"/>
        <v>487876.94</v>
      </c>
      <c r="I68" s="163"/>
      <c r="J68" s="163"/>
      <c r="K68" s="176"/>
      <c r="L68" s="176">
        <f t="shared" si="10"/>
        <v>32636.530000000002</v>
      </c>
      <c r="M68" s="176">
        <f t="shared" si="11"/>
        <v>48.495189987481105</v>
      </c>
      <c r="N68" s="176"/>
      <c r="O68" s="176"/>
      <c r="P68" s="176"/>
      <c r="Q68" s="176"/>
    </row>
    <row r="69" spans="1:17">
      <c r="A69" s="182">
        <v>397</v>
      </c>
      <c r="B69" s="175" t="s">
        <v>431</v>
      </c>
      <c r="C69" s="175">
        <v>15</v>
      </c>
      <c r="D69" s="176">
        <v>927430.33000000007</v>
      </c>
      <c r="E69" s="177">
        <f>3477.5</f>
        <v>3477.5</v>
      </c>
      <c r="F69" s="177">
        <v>0</v>
      </c>
      <c r="G69" s="177">
        <v>15443.8</v>
      </c>
      <c r="H69" s="177">
        <f t="shared" si="9"/>
        <v>915464.03</v>
      </c>
      <c r="I69" s="163"/>
      <c r="J69" s="163"/>
      <c r="K69" s="176"/>
      <c r="L69" s="176">
        <f t="shared" si="10"/>
        <v>61828.688666666669</v>
      </c>
      <c r="M69" s="176">
        <f t="shared" si="11"/>
        <v>91.872328448116875</v>
      </c>
      <c r="N69" s="176"/>
      <c r="O69" s="176"/>
      <c r="P69" s="176"/>
      <c r="Q69" s="176"/>
    </row>
    <row r="70" spans="1:17">
      <c r="A70" s="182">
        <v>398</v>
      </c>
      <c r="B70" s="175" t="s">
        <v>432</v>
      </c>
      <c r="C70" s="175">
        <v>15</v>
      </c>
      <c r="D70" s="176">
        <v>181430.71000000002</v>
      </c>
      <c r="E70" s="177">
        <v>0</v>
      </c>
      <c r="F70" s="177">
        <v>0</v>
      </c>
      <c r="G70" s="177">
        <v>862.65</v>
      </c>
      <c r="H70" s="177">
        <f t="shared" si="9"/>
        <v>180568.06000000003</v>
      </c>
      <c r="I70" s="163"/>
      <c r="J70" s="163"/>
      <c r="K70" s="176"/>
      <c r="L70" s="176">
        <f t="shared" si="10"/>
        <v>12095.380666666668</v>
      </c>
      <c r="M70" s="176">
        <f t="shared" si="11"/>
        <v>17.972737401951306</v>
      </c>
      <c r="N70" s="176"/>
      <c r="O70" s="176"/>
      <c r="P70" s="176"/>
      <c r="Q70" s="176"/>
    </row>
    <row r="71" spans="1:17">
      <c r="A71" s="182">
        <v>399</v>
      </c>
      <c r="B71" s="175" t="s">
        <v>433</v>
      </c>
      <c r="C71" s="175">
        <v>15</v>
      </c>
      <c r="D71" s="176">
        <v>60238.79</v>
      </c>
      <c r="E71" s="177">
        <v>0</v>
      </c>
      <c r="F71" s="177">
        <v>0</v>
      </c>
      <c r="G71" s="177">
        <f>1926+1023.61+57289.18</f>
        <v>60238.79</v>
      </c>
      <c r="H71" s="177">
        <f t="shared" si="9"/>
        <v>0</v>
      </c>
      <c r="I71" s="163"/>
      <c r="J71" s="163"/>
      <c r="K71" s="176"/>
      <c r="L71" s="176">
        <f t="shared" si="10"/>
        <v>4015.9193333333333</v>
      </c>
      <c r="M71" s="176">
        <f t="shared" si="11"/>
        <v>5.9673246832429321</v>
      </c>
      <c r="N71" s="176"/>
      <c r="O71" s="176"/>
      <c r="P71" s="176"/>
      <c r="Q71" s="176"/>
    </row>
    <row r="72" spans="1:17">
      <c r="K72" s="176"/>
      <c r="L72" s="176"/>
      <c r="M72" s="176"/>
      <c r="N72" s="176"/>
      <c r="O72" s="176"/>
      <c r="P72" s="176"/>
      <c r="Q72" s="176"/>
    </row>
    <row r="73" spans="1:17">
      <c r="A73" s="163"/>
      <c r="B73" s="175" t="s">
        <v>434</v>
      </c>
      <c r="C73" s="176"/>
      <c r="D73" s="177">
        <f>SUM(D58:D72)</f>
        <v>20854695.369999997</v>
      </c>
      <c r="E73" s="177">
        <f t="shared" ref="E73:G73" si="12">SUM(E58:E72)</f>
        <v>90662.62000000001</v>
      </c>
      <c r="F73" s="177">
        <f t="shared" si="12"/>
        <v>473248.64</v>
      </c>
      <c r="G73" s="177">
        <f t="shared" si="12"/>
        <v>473883.92000000004</v>
      </c>
      <c r="H73" s="177">
        <f>SUM(H58:H72)</f>
        <v>20944722.709999997</v>
      </c>
      <c r="I73" s="163"/>
      <c r="J73" s="164" t="s">
        <v>435</v>
      </c>
      <c r="K73" s="176">
        <v>20852286.829999998</v>
      </c>
      <c r="L73" s="176">
        <f>SUM(L59:L71)</f>
        <v>1620897.5623333335</v>
      </c>
      <c r="M73" s="176">
        <f>ROUND(+D73-K73-0.02,2)</f>
        <v>2408.52</v>
      </c>
      <c r="N73" s="176" t="s">
        <v>122</v>
      </c>
      <c r="O73" s="176">
        <v>-487468.78</v>
      </c>
      <c r="P73" s="176">
        <v>4301.25</v>
      </c>
      <c r="Q73" s="176">
        <f>+K73+M73+O73+P73</f>
        <v>20371527.819999997</v>
      </c>
    </row>
    <row r="74" spans="1:17">
      <c r="A74" s="163"/>
      <c r="B74" s="163"/>
      <c r="C74" s="163"/>
      <c r="D74" s="163"/>
      <c r="E74" s="163"/>
      <c r="F74" s="163"/>
      <c r="G74" s="163"/>
      <c r="H74" s="163"/>
      <c r="I74" s="163"/>
      <c r="J74" s="163"/>
      <c r="K74" s="163"/>
      <c r="L74" s="163"/>
      <c r="M74" s="180"/>
      <c r="N74" s="180"/>
      <c r="O74" s="163"/>
      <c r="P74" s="163"/>
      <c r="Q74" s="163"/>
    </row>
    <row r="75" spans="1:17">
      <c r="A75" s="163"/>
      <c r="B75" s="175" t="s">
        <v>436</v>
      </c>
      <c r="C75" s="175"/>
      <c r="D75" s="177">
        <f>+D73+D55+D36+D26</f>
        <v>416338615.15999997</v>
      </c>
      <c r="E75" s="177">
        <f t="shared" ref="E75:G75" si="13">+E73+E55+E36+E26</f>
        <v>913009.59999999986</v>
      </c>
      <c r="F75" s="177">
        <f t="shared" si="13"/>
        <v>4789222.33</v>
      </c>
      <c r="G75" s="177">
        <f t="shared" si="13"/>
        <v>1180685.75</v>
      </c>
      <c r="H75" s="177">
        <f t="shared" ref="H75" si="14">+D75+E75+F75-G75</f>
        <v>420860161.33999997</v>
      </c>
      <c r="I75" s="163"/>
      <c r="J75" s="163"/>
      <c r="K75" s="163"/>
      <c r="L75" s="163"/>
      <c r="M75" s="176"/>
      <c r="N75" s="176"/>
      <c r="O75" s="176"/>
      <c r="P75" s="163"/>
      <c r="Q75" s="163"/>
    </row>
    <row r="76" spans="1:17">
      <c r="A76" s="163"/>
      <c r="B76" s="163"/>
      <c r="C76" s="163"/>
      <c r="D76" s="163"/>
      <c r="E76" s="163"/>
      <c r="F76" s="163"/>
      <c r="G76" s="163"/>
      <c r="H76" s="163"/>
      <c r="I76" s="163"/>
      <c r="J76" s="164" t="s">
        <v>437</v>
      </c>
      <c r="K76" s="163"/>
      <c r="L76" s="163"/>
      <c r="M76" s="163"/>
      <c r="N76" s="163"/>
      <c r="O76" s="163"/>
      <c r="P76" s="163"/>
      <c r="Q76" s="163"/>
    </row>
    <row r="77" spans="1:17">
      <c r="A77" s="182">
        <v>107</v>
      </c>
      <c r="B77" s="175" t="s">
        <v>438</v>
      </c>
      <c r="C77" s="175"/>
      <c r="D77" s="184">
        <v>3234526.5799999996</v>
      </c>
      <c r="E77" s="185">
        <v>6292253.8399999999</v>
      </c>
      <c r="F77" s="185">
        <v>-4789222.33</v>
      </c>
      <c r="G77" s="185">
        <v>424425.72</v>
      </c>
      <c r="H77" s="185">
        <f t="shared" ref="H77" si="15">+D77+E77+F77-G77</f>
        <v>4313132.37</v>
      </c>
      <c r="I77" s="163"/>
      <c r="J77" s="164" t="s">
        <v>439</v>
      </c>
      <c r="K77" s="184">
        <v>660488.22</v>
      </c>
      <c r="L77" s="184"/>
      <c r="M77" s="184">
        <v>0</v>
      </c>
      <c r="N77" s="184"/>
      <c r="O77" s="184">
        <v>-660488.22</v>
      </c>
      <c r="P77" s="184">
        <v>0</v>
      </c>
      <c r="Q77" s="184">
        <v>0</v>
      </c>
    </row>
    <row r="79" spans="1:17">
      <c r="A79" s="163"/>
      <c r="B79" s="175" t="s">
        <v>440</v>
      </c>
      <c r="C79" s="175"/>
      <c r="D79" s="186">
        <f>+D75+D77</f>
        <v>419573141.73999995</v>
      </c>
      <c r="E79" s="186">
        <f>+E75+E77</f>
        <v>7205263.4399999995</v>
      </c>
      <c r="F79" s="186">
        <f t="shared" ref="F79:G79" si="16">+F75+F77</f>
        <v>0</v>
      </c>
      <c r="G79" s="186">
        <f t="shared" si="16"/>
        <v>1605111.47</v>
      </c>
      <c r="H79" s="186">
        <f>+H75+H77</f>
        <v>425173293.70999998</v>
      </c>
      <c r="I79" s="163"/>
      <c r="J79" s="164" t="s">
        <v>441</v>
      </c>
      <c r="K79" s="186">
        <f>+K77+K73+K55+K36+K26</f>
        <v>340907274.81</v>
      </c>
      <c r="L79" s="186"/>
      <c r="M79" s="186">
        <f>ROUND(+M77+M73+M55+M36+M26,2)</f>
        <v>10048094.4</v>
      </c>
      <c r="N79" s="186"/>
      <c r="O79" s="186">
        <f>+O77+O73+O55+O36+O26</f>
        <v>-1233021.57</v>
      </c>
      <c r="P79" s="186">
        <f>+P77+P73+P55+P36+P26</f>
        <v>4330.5600000000004</v>
      </c>
      <c r="Q79" s="186">
        <f>+Q77+Q73+Q55+Q36+Q26</f>
        <v>349726678.19999999</v>
      </c>
    </row>
    <row r="80" spans="1:17">
      <c r="D80" s="187"/>
      <c r="E80" s="187"/>
      <c r="F80" s="187"/>
      <c r="G80" s="187"/>
      <c r="H80" s="187"/>
      <c r="K80" s="186"/>
      <c r="L80" s="186"/>
      <c r="M80" s="186"/>
      <c r="N80" s="186"/>
      <c r="O80" s="186"/>
      <c r="P80" s="186"/>
      <c r="Q80" s="186"/>
    </row>
    <row r="81" spans="1:17">
      <c r="A81" s="188" t="s">
        <v>442</v>
      </c>
      <c r="B81" s="175" t="s">
        <v>443</v>
      </c>
      <c r="C81" s="175"/>
      <c r="D81" s="189">
        <v>419573141.74000001</v>
      </c>
      <c r="E81" s="190"/>
      <c r="F81" s="190"/>
      <c r="G81" s="190"/>
      <c r="H81" s="186">
        <f>+H79</f>
        <v>425173293.70999998</v>
      </c>
      <c r="I81" s="163"/>
      <c r="J81" s="163"/>
      <c r="K81" s="186">
        <v>330989010.55000001</v>
      </c>
      <c r="L81" s="186"/>
      <c r="M81" s="186"/>
      <c r="N81" s="186"/>
      <c r="O81" s="186"/>
      <c r="P81" s="186"/>
      <c r="Q81" s="186">
        <f>+Q79</f>
        <v>349726678.19999999</v>
      </c>
    </row>
    <row r="85" spans="1:17">
      <c r="O85" s="191"/>
      <c r="P85" s="192" t="s">
        <v>444</v>
      </c>
      <c r="Q85" s="193">
        <f>+H75-Q81</f>
        <v>71133483.139999986</v>
      </c>
    </row>
    <row r="86" spans="1:17">
      <c r="A86" t="s">
        <v>1234</v>
      </c>
    </row>
  </sheetData>
  <mergeCells count="2">
    <mergeCell ref="A1:H1"/>
    <mergeCell ref="A2:H2"/>
  </mergeCells>
  <pageMargins left="0.7" right="0.7" top="0.75" bottom="0.75" header="0.3" footer="0.3"/>
  <pageSetup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
  <sheetViews>
    <sheetView workbookViewId="0"/>
  </sheetViews>
  <sheetFormatPr defaultRowHeight="15"/>
  <cols>
    <col min="1" max="1" width="12.109375" customWidth="1"/>
  </cols>
  <sheetData>
    <row r="1" spans="1:8" ht="15.75">
      <c r="A1" s="195" t="s">
        <v>321</v>
      </c>
      <c r="B1" s="195"/>
      <c r="C1" s="195"/>
      <c r="D1" s="195"/>
      <c r="E1" s="195"/>
      <c r="F1" s="195"/>
      <c r="G1" s="195"/>
      <c r="H1" s="195"/>
    </row>
    <row r="2" spans="1:8" ht="15.75">
      <c r="A2" s="196" t="s">
        <v>459</v>
      </c>
      <c r="B2" s="196"/>
      <c r="C2" s="196"/>
      <c r="D2" s="196"/>
      <c r="E2" s="196"/>
      <c r="F2" s="196"/>
      <c r="G2" s="196"/>
      <c r="H2" s="196"/>
    </row>
    <row r="3" spans="1:8" ht="18.75">
      <c r="A3" s="197" t="s">
        <v>447</v>
      </c>
      <c r="B3" s="150"/>
      <c r="C3" s="150"/>
    </row>
    <row r="5" spans="1:8">
      <c r="A5" s="155" t="s">
        <v>341</v>
      </c>
    </row>
    <row r="6" spans="1:8">
      <c r="B6" s="151" t="s">
        <v>448</v>
      </c>
    </row>
    <row r="8" spans="1:8">
      <c r="A8" s="151" t="s">
        <v>449</v>
      </c>
      <c r="B8" s="198">
        <v>0</v>
      </c>
    </row>
    <row r="9" spans="1:8">
      <c r="A9" s="151" t="s">
        <v>45</v>
      </c>
      <c r="B9" s="154">
        <v>0</v>
      </c>
      <c r="D9" s="151" t="s">
        <v>450</v>
      </c>
    </row>
    <row r="10" spans="1:8">
      <c r="A10" s="151" t="s">
        <v>451</v>
      </c>
      <c r="B10" s="152">
        <v>0</v>
      </c>
    </row>
    <row r="11" spans="1:8" ht="18">
      <c r="A11" s="151" t="s">
        <v>452</v>
      </c>
      <c r="B11" s="199">
        <v>0</v>
      </c>
    </row>
    <row r="12" spans="1:8">
      <c r="B12" s="200">
        <v>0</v>
      </c>
      <c r="D12" s="151" t="s">
        <v>453</v>
      </c>
    </row>
    <row r="13" spans="1:8">
      <c r="D13" s="151" t="s">
        <v>454</v>
      </c>
    </row>
    <row r="14" spans="1:8">
      <c r="D14" s="151" t="s">
        <v>455</v>
      </c>
    </row>
    <row r="15" spans="1:8">
      <c r="D15" s="151" t="s">
        <v>456</v>
      </c>
    </row>
    <row r="18" spans="1:1" ht="15.75">
      <c r="A18" s="151" t="s">
        <v>457</v>
      </c>
    </row>
    <row r="19" spans="1:1">
      <c r="A19" s="153" t="s">
        <v>458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workbookViewId="0"/>
  </sheetViews>
  <sheetFormatPr defaultRowHeight="15"/>
  <cols>
    <col min="1" max="1" width="39.88671875" customWidth="1"/>
    <col min="2" max="2" width="9.6640625" customWidth="1"/>
  </cols>
  <sheetData>
    <row r="1" spans="1:7" ht="15.75">
      <c r="A1" s="195" t="s">
        <v>321</v>
      </c>
      <c r="B1" s="195"/>
      <c r="C1" s="195"/>
      <c r="D1" s="195"/>
      <c r="E1" s="195"/>
      <c r="F1" s="195"/>
      <c r="G1" s="195"/>
    </row>
    <row r="2" spans="1:7" ht="15.75">
      <c r="A2" s="196" t="s">
        <v>459</v>
      </c>
      <c r="B2" s="196"/>
      <c r="C2" s="196"/>
      <c r="D2" s="196"/>
      <c r="E2" s="196"/>
      <c r="F2" s="196"/>
      <c r="G2" s="196"/>
    </row>
    <row r="4" spans="1:7" ht="18.75">
      <c r="A4" s="197" t="s">
        <v>460</v>
      </c>
      <c r="B4" s="150"/>
      <c r="C4" s="150"/>
    </row>
    <row r="7" spans="1:7" ht="15.75">
      <c r="A7" s="156" t="s">
        <v>461</v>
      </c>
      <c r="B7" s="156" t="s">
        <v>7</v>
      </c>
      <c r="D7" s="151" t="s">
        <v>462</v>
      </c>
    </row>
    <row r="9" spans="1:7">
      <c r="A9" s="201" t="s">
        <v>463</v>
      </c>
      <c r="B9" s="198">
        <v>539081</v>
      </c>
      <c r="D9" s="202"/>
    </row>
    <row r="10" spans="1:7">
      <c r="A10" s="201" t="s">
        <v>472</v>
      </c>
      <c r="B10" s="203">
        <v>3651</v>
      </c>
      <c r="D10" s="202"/>
    </row>
    <row r="11" spans="1:7">
      <c r="A11" s="201" t="s">
        <v>464</v>
      </c>
      <c r="B11" s="203">
        <v>221076</v>
      </c>
      <c r="D11" s="202"/>
      <c r="E11" s="151"/>
    </row>
    <row r="12" spans="1:7">
      <c r="A12" s="151" t="s">
        <v>465</v>
      </c>
      <c r="B12" s="203">
        <f>2033+39449+5924+5775+3176+297</f>
        <v>56654</v>
      </c>
      <c r="D12" s="202"/>
      <c r="E12" s="151"/>
    </row>
    <row r="13" spans="1:7">
      <c r="A13" s="201" t="s">
        <v>466</v>
      </c>
      <c r="B13" s="152">
        <v>25604</v>
      </c>
      <c r="D13" s="202"/>
    </row>
    <row r="14" spans="1:7">
      <c r="A14" s="201" t="s">
        <v>471</v>
      </c>
      <c r="B14" s="152">
        <v>1512</v>
      </c>
      <c r="D14" s="202"/>
    </row>
    <row r="15" spans="1:7">
      <c r="A15" s="201" t="s">
        <v>467</v>
      </c>
      <c r="B15" s="152">
        <v>1210.55</v>
      </c>
      <c r="D15" s="202"/>
    </row>
    <row r="16" spans="1:7">
      <c r="A16" s="201" t="s">
        <v>468</v>
      </c>
      <c r="B16" s="204">
        <f>SUM(B9:B15)</f>
        <v>848788.55</v>
      </c>
      <c r="D16" s="151" t="s">
        <v>469</v>
      </c>
    </row>
    <row r="17" spans="1:4">
      <c r="D17" s="151" t="s">
        <v>453</v>
      </c>
    </row>
    <row r="18" spans="1:4">
      <c r="B18" s="205"/>
      <c r="D18" s="151" t="s">
        <v>470</v>
      </c>
    </row>
    <row r="19" spans="1:4">
      <c r="D19" s="151" t="s">
        <v>455</v>
      </c>
    </row>
    <row r="20" spans="1:4">
      <c r="B20" s="200"/>
      <c r="D20" s="151" t="s">
        <v>456</v>
      </c>
    </row>
    <row r="23" spans="1:4">
      <c r="A23" s="15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28"/>
  <sheetViews>
    <sheetView workbookViewId="0"/>
  </sheetViews>
  <sheetFormatPr defaultRowHeight="15"/>
  <cols>
    <col min="1" max="1" width="29.5546875" customWidth="1"/>
    <col min="2" max="2" width="13.21875" customWidth="1"/>
    <col min="8" max="8" width="10.88671875" customWidth="1"/>
    <col min="9" max="9" width="9.88671875" customWidth="1"/>
    <col min="11" max="11" width="12.33203125" customWidth="1"/>
  </cols>
  <sheetData>
    <row r="1" spans="1:8" ht="15.75">
      <c r="A1" s="195" t="s">
        <v>321</v>
      </c>
      <c r="B1" s="195"/>
      <c r="C1" s="195"/>
      <c r="D1" s="195"/>
      <c r="E1" s="195"/>
      <c r="F1" s="195"/>
      <c r="G1" s="195"/>
      <c r="H1" s="195"/>
    </row>
    <row r="2" spans="1:8" ht="15.75">
      <c r="A2" s="196" t="s">
        <v>459</v>
      </c>
      <c r="B2" s="196"/>
      <c r="C2" s="196"/>
      <c r="D2" s="196"/>
      <c r="E2" s="196"/>
      <c r="F2" s="196"/>
      <c r="G2" s="196"/>
      <c r="H2" s="196"/>
    </row>
    <row r="4" spans="1:8" ht="18.75">
      <c r="A4" s="197" t="s">
        <v>473</v>
      </c>
      <c r="B4" s="150"/>
      <c r="C4" s="150"/>
    </row>
    <row r="7" spans="1:8">
      <c r="B7" s="206" t="s">
        <v>474</v>
      </c>
    </row>
    <row r="9" spans="1:8">
      <c r="A9" s="151" t="s">
        <v>449</v>
      </c>
      <c r="B9" s="198">
        <v>5305130.53</v>
      </c>
      <c r="D9" s="151" t="s">
        <v>475</v>
      </c>
    </row>
    <row r="10" spans="1:8">
      <c r="A10" s="151" t="s">
        <v>45</v>
      </c>
      <c r="B10" s="154">
        <v>249725.04</v>
      </c>
      <c r="D10" s="151" t="s">
        <v>476</v>
      </c>
    </row>
    <row r="11" spans="1:8">
      <c r="A11" s="151" t="s">
        <v>451</v>
      </c>
      <c r="B11" s="152">
        <f>1244260.81-B10</f>
        <v>994535.77</v>
      </c>
      <c r="D11" s="151" t="s">
        <v>477</v>
      </c>
    </row>
    <row r="12" spans="1:8">
      <c r="A12" s="151" t="s">
        <v>478</v>
      </c>
      <c r="B12" s="152">
        <v>124495.37</v>
      </c>
      <c r="D12" s="151" t="s">
        <v>479</v>
      </c>
    </row>
    <row r="13" spans="1:8">
      <c r="A13" s="151" t="s">
        <v>480</v>
      </c>
      <c r="B13" s="152">
        <v>123931.17</v>
      </c>
      <c r="D13" s="151" t="s">
        <v>481</v>
      </c>
    </row>
    <row r="14" spans="1:8">
      <c r="A14" s="151" t="s">
        <v>452</v>
      </c>
      <c r="B14" s="207">
        <f>3026.53+116740.37+366337.16+37568.52</f>
        <v>523672.57999999996</v>
      </c>
      <c r="D14" s="151" t="s">
        <v>482</v>
      </c>
    </row>
    <row r="15" spans="1:8">
      <c r="B15" s="200">
        <f>SUM(B9:B14)</f>
        <v>7321490.46</v>
      </c>
      <c r="D15" s="151" t="s">
        <v>453</v>
      </c>
    </row>
    <row r="16" spans="1:8">
      <c r="A16" s="151" t="s">
        <v>483</v>
      </c>
      <c r="B16" s="207">
        <v>-1976031.27</v>
      </c>
      <c r="D16" s="151" t="s">
        <v>484</v>
      </c>
    </row>
    <row r="17" spans="1:17" ht="17.25">
      <c r="B17" s="208">
        <f>SUM(B15:B16)</f>
        <v>5345459.1899999995</v>
      </c>
      <c r="D17" s="151" t="s">
        <v>455</v>
      </c>
    </row>
    <row r="18" spans="1:17">
      <c r="D18" s="151" t="s">
        <v>456</v>
      </c>
    </row>
    <row r="21" spans="1:17" ht="15.75">
      <c r="A21" s="151" t="s">
        <v>485</v>
      </c>
    </row>
    <row r="22" spans="1:17">
      <c r="A22" s="153" t="s">
        <v>486</v>
      </c>
    </row>
    <row r="25" spans="1:17">
      <c r="A25" s="151" t="s">
        <v>487</v>
      </c>
      <c r="B25" s="151" t="s">
        <v>488</v>
      </c>
      <c r="C25" s="151" t="s">
        <v>489</v>
      </c>
      <c r="D25" s="151" t="s">
        <v>490</v>
      </c>
      <c r="E25" s="151" t="s">
        <v>491</v>
      </c>
      <c r="F25" s="151" t="s">
        <v>492</v>
      </c>
      <c r="G25" s="151" t="s">
        <v>493</v>
      </c>
      <c r="H25" s="151" t="s">
        <v>494</v>
      </c>
      <c r="I25" s="151" t="s">
        <v>495</v>
      </c>
      <c r="J25" s="151" t="s">
        <v>496</v>
      </c>
      <c r="K25" s="151" t="s">
        <v>497</v>
      </c>
      <c r="L25" s="151" t="s">
        <v>498</v>
      </c>
      <c r="M25" s="151" t="s">
        <v>499</v>
      </c>
      <c r="N25" s="151" t="s">
        <v>500</v>
      </c>
      <c r="O25" s="151" t="s">
        <v>501</v>
      </c>
      <c r="P25" s="151" t="s">
        <v>502</v>
      </c>
      <c r="Q25" s="151" t="s">
        <v>503</v>
      </c>
    </row>
    <row r="26" spans="1:17">
      <c r="A26" s="151" t="s">
        <v>504</v>
      </c>
      <c r="B26" s="151" t="s">
        <v>505</v>
      </c>
      <c r="C26" s="151" t="s">
        <v>144</v>
      </c>
      <c r="D26" s="151">
        <v>1</v>
      </c>
      <c r="E26" s="151">
        <v>0</v>
      </c>
      <c r="F26" s="151">
        <v>0</v>
      </c>
      <c r="G26" s="151">
        <v>0</v>
      </c>
      <c r="H26" s="209">
        <v>600</v>
      </c>
      <c r="I26" s="151">
        <v>600</v>
      </c>
      <c r="J26" s="151" t="s">
        <v>506</v>
      </c>
      <c r="K26" s="151">
        <v>600</v>
      </c>
      <c r="L26" s="151" t="s">
        <v>147</v>
      </c>
      <c r="M26" s="151" t="s">
        <v>507</v>
      </c>
      <c r="N26" s="151">
        <v>0</v>
      </c>
      <c r="O26" s="151" t="s">
        <v>508</v>
      </c>
      <c r="P26" s="151" t="s">
        <v>509</v>
      </c>
      <c r="Q26" s="151">
        <v>1</v>
      </c>
    </row>
    <row r="27" spans="1:17">
      <c r="A27" s="151" t="s">
        <v>510</v>
      </c>
      <c r="B27" s="151" t="s">
        <v>505</v>
      </c>
      <c r="C27" s="151" t="s">
        <v>144</v>
      </c>
      <c r="D27" s="151">
        <v>2</v>
      </c>
      <c r="E27" s="151">
        <v>0</v>
      </c>
      <c r="F27" s="151">
        <v>0</v>
      </c>
      <c r="G27" s="151">
        <v>0</v>
      </c>
      <c r="H27" s="209">
        <v>2707.1</v>
      </c>
      <c r="I27" s="151">
        <v>1353.55</v>
      </c>
      <c r="J27" s="151" t="s">
        <v>506</v>
      </c>
      <c r="K27" s="151">
        <v>1313.3166000000001</v>
      </c>
      <c r="L27" s="151" t="s">
        <v>146</v>
      </c>
      <c r="M27" s="151" t="s">
        <v>511</v>
      </c>
      <c r="N27" s="151">
        <v>0</v>
      </c>
      <c r="O27" s="151" t="s">
        <v>512</v>
      </c>
      <c r="P27" s="151" t="s">
        <v>509</v>
      </c>
      <c r="Q27" s="151">
        <v>1</v>
      </c>
    </row>
    <row r="28" spans="1:17">
      <c r="A28" s="151" t="s">
        <v>513</v>
      </c>
      <c r="B28" s="151" t="s">
        <v>505</v>
      </c>
      <c r="C28" s="151" t="s">
        <v>144</v>
      </c>
      <c r="D28" s="151">
        <v>1</v>
      </c>
      <c r="E28" s="151">
        <v>0</v>
      </c>
      <c r="F28" s="151">
        <v>0</v>
      </c>
      <c r="G28" s="151">
        <v>0</v>
      </c>
      <c r="H28" s="209">
        <v>5300</v>
      </c>
      <c r="I28" s="151">
        <v>5300</v>
      </c>
      <c r="J28" s="151" t="s">
        <v>506</v>
      </c>
      <c r="K28" s="151">
        <v>5300</v>
      </c>
      <c r="L28" s="151" t="s">
        <v>147</v>
      </c>
      <c r="M28" s="151" t="s">
        <v>514</v>
      </c>
      <c r="N28" s="151">
        <v>0</v>
      </c>
      <c r="O28" s="151" t="s">
        <v>515</v>
      </c>
      <c r="P28" s="151" t="s">
        <v>509</v>
      </c>
      <c r="Q28" s="151">
        <v>1</v>
      </c>
    </row>
    <row r="29" spans="1:17">
      <c r="A29" s="151" t="s">
        <v>516</v>
      </c>
      <c r="B29" s="151" t="s">
        <v>505</v>
      </c>
      <c r="C29" s="151" t="s">
        <v>144</v>
      </c>
      <c r="D29" s="151">
        <v>2</v>
      </c>
      <c r="E29" s="151">
        <v>0</v>
      </c>
      <c r="F29" s="151">
        <v>0</v>
      </c>
      <c r="G29" s="151">
        <v>0</v>
      </c>
      <c r="H29" s="209">
        <v>10336.200000000001</v>
      </c>
      <c r="I29" s="151">
        <v>5168.1000000000004</v>
      </c>
      <c r="J29" s="151" t="s">
        <v>506</v>
      </c>
      <c r="K29" s="151">
        <v>4876</v>
      </c>
      <c r="L29" s="151" t="s">
        <v>147</v>
      </c>
      <c r="M29" s="151" t="s">
        <v>517</v>
      </c>
      <c r="N29" s="151">
        <v>0</v>
      </c>
      <c r="O29" s="151" t="s">
        <v>518</v>
      </c>
      <c r="P29" s="151" t="s">
        <v>509</v>
      </c>
      <c r="Q29" s="151">
        <v>0</v>
      </c>
    </row>
    <row r="30" spans="1:17">
      <c r="A30" s="151" t="s">
        <v>519</v>
      </c>
      <c r="B30" s="151" t="s">
        <v>505</v>
      </c>
      <c r="C30" s="151" t="s">
        <v>144</v>
      </c>
      <c r="D30" s="151">
        <v>4</v>
      </c>
      <c r="E30" s="151">
        <v>0</v>
      </c>
      <c r="F30" s="151">
        <v>0</v>
      </c>
      <c r="G30" s="151">
        <v>0</v>
      </c>
      <c r="H30" s="209">
        <v>492.8</v>
      </c>
      <c r="I30" s="151">
        <v>0</v>
      </c>
      <c r="J30" s="151" t="s">
        <v>506</v>
      </c>
      <c r="K30" s="151">
        <v>123.2</v>
      </c>
      <c r="L30" s="151" t="s">
        <v>147</v>
      </c>
      <c r="M30" s="151" t="s">
        <v>520</v>
      </c>
      <c r="N30" s="151">
        <v>0</v>
      </c>
      <c r="O30" s="151" t="s">
        <v>521</v>
      </c>
      <c r="P30" s="151" t="s">
        <v>522</v>
      </c>
      <c r="Q30" s="151">
        <v>0</v>
      </c>
    </row>
    <row r="31" spans="1:17">
      <c r="A31" s="151" t="s">
        <v>523</v>
      </c>
      <c r="B31" s="151" t="s">
        <v>524</v>
      </c>
      <c r="C31" s="151" t="s">
        <v>144</v>
      </c>
      <c r="D31" s="151">
        <v>0</v>
      </c>
      <c r="E31" s="151">
        <v>0</v>
      </c>
      <c r="F31" s="151">
        <v>0</v>
      </c>
      <c r="G31" s="151">
        <v>0</v>
      </c>
      <c r="H31" s="209">
        <v>0</v>
      </c>
      <c r="I31" s="151">
        <v>43.6</v>
      </c>
      <c r="J31" s="151" t="s">
        <v>506</v>
      </c>
      <c r="K31" s="151">
        <v>43.6</v>
      </c>
      <c r="L31" s="151" t="s">
        <v>147</v>
      </c>
      <c r="M31" s="151" t="s">
        <v>525</v>
      </c>
      <c r="N31" s="151">
        <v>0</v>
      </c>
      <c r="O31" s="151" t="s">
        <v>526</v>
      </c>
      <c r="P31" s="151" t="s">
        <v>522</v>
      </c>
      <c r="Q31" s="151">
        <v>0</v>
      </c>
    </row>
    <row r="32" spans="1:17">
      <c r="A32" s="151" t="s">
        <v>527</v>
      </c>
      <c r="B32" s="151" t="s">
        <v>524</v>
      </c>
      <c r="C32" s="151" t="s">
        <v>144</v>
      </c>
      <c r="D32" s="151">
        <v>3</v>
      </c>
      <c r="E32" s="151">
        <v>0</v>
      </c>
      <c r="F32" s="151">
        <v>0</v>
      </c>
      <c r="G32" s="151">
        <v>0</v>
      </c>
      <c r="H32" s="209">
        <v>204.38</v>
      </c>
      <c r="I32" s="151">
        <v>68.13</v>
      </c>
      <c r="J32" s="151" t="s">
        <v>506</v>
      </c>
      <c r="K32" s="151">
        <v>68.127200000000002</v>
      </c>
      <c r="L32" s="151" t="s">
        <v>147</v>
      </c>
      <c r="M32" s="151" t="s">
        <v>528</v>
      </c>
      <c r="N32" s="151">
        <v>0</v>
      </c>
      <c r="O32" s="151" t="s">
        <v>529</v>
      </c>
      <c r="P32" s="151" t="s">
        <v>522</v>
      </c>
      <c r="Q32" s="151">
        <v>0</v>
      </c>
    </row>
    <row r="33" spans="1:17">
      <c r="A33" s="151" t="s">
        <v>530</v>
      </c>
      <c r="B33" s="151" t="s">
        <v>524</v>
      </c>
      <c r="C33" s="151" t="s">
        <v>144</v>
      </c>
      <c r="D33" s="151">
        <v>0</v>
      </c>
      <c r="E33" s="151">
        <v>0</v>
      </c>
      <c r="F33" s="151">
        <v>0</v>
      </c>
      <c r="G33" s="151">
        <v>0</v>
      </c>
      <c r="H33" s="209">
        <v>0</v>
      </c>
      <c r="I33" s="151">
        <v>127.84</v>
      </c>
      <c r="J33" s="151" t="s">
        <v>506</v>
      </c>
      <c r="K33" s="151">
        <v>0</v>
      </c>
      <c r="L33" s="151" t="s">
        <v>147</v>
      </c>
      <c r="M33" s="151" t="s">
        <v>531</v>
      </c>
      <c r="N33" s="151">
        <v>0</v>
      </c>
      <c r="O33" s="151" t="s">
        <v>526</v>
      </c>
      <c r="P33" s="151" t="s">
        <v>522</v>
      </c>
      <c r="Q33" s="151">
        <v>0</v>
      </c>
    </row>
    <row r="34" spans="1:17">
      <c r="A34" s="151" t="s">
        <v>532</v>
      </c>
      <c r="B34" s="151" t="s">
        <v>524</v>
      </c>
      <c r="C34" s="151" t="s">
        <v>144</v>
      </c>
      <c r="D34" s="151">
        <v>8</v>
      </c>
      <c r="E34" s="151">
        <v>0</v>
      </c>
      <c r="F34" s="151">
        <v>0</v>
      </c>
      <c r="G34" s="151">
        <v>0</v>
      </c>
      <c r="H34" s="209">
        <v>712.74</v>
      </c>
      <c r="I34" s="151">
        <v>89.09</v>
      </c>
      <c r="J34" s="151" t="s">
        <v>533</v>
      </c>
      <c r="K34" s="151">
        <v>89.092500000000001</v>
      </c>
      <c r="L34" s="151" t="s">
        <v>147</v>
      </c>
      <c r="M34" s="151" t="s">
        <v>534</v>
      </c>
      <c r="N34" s="151">
        <v>0</v>
      </c>
      <c r="O34" s="151" t="s">
        <v>529</v>
      </c>
      <c r="P34" s="151" t="s">
        <v>522</v>
      </c>
      <c r="Q34" s="151">
        <v>0</v>
      </c>
    </row>
    <row r="35" spans="1:17">
      <c r="A35" s="151" t="s">
        <v>535</v>
      </c>
      <c r="B35" s="151" t="s">
        <v>505</v>
      </c>
      <c r="C35" s="151" t="s">
        <v>144</v>
      </c>
      <c r="D35" s="151">
        <v>60</v>
      </c>
      <c r="E35" s="151">
        <v>0</v>
      </c>
      <c r="F35" s="151">
        <v>0</v>
      </c>
      <c r="G35" s="151">
        <v>0</v>
      </c>
      <c r="H35" s="209">
        <v>322.2</v>
      </c>
      <c r="I35" s="151">
        <v>5.37</v>
      </c>
      <c r="J35" s="151" t="s">
        <v>506</v>
      </c>
      <c r="K35" s="151">
        <v>5.37</v>
      </c>
      <c r="L35" s="151" t="s">
        <v>147</v>
      </c>
      <c r="M35" s="151" t="s">
        <v>536</v>
      </c>
      <c r="N35" s="151">
        <v>0</v>
      </c>
      <c r="O35" s="151" t="s">
        <v>537</v>
      </c>
      <c r="P35" s="151" t="s">
        <v>522</v>
      </c>
      <c r="Q35" s="151">
        <v>0</v>
      </c>
    </row>
    <row r="36" spans="1:17">
      <c r="A36" s="151" t="s">
        <v>538</v>
      </c>
      <c r="B36" s="151" t="s">
        <v>505</v>
      </c>
      <c r="C36" s="151" t="s">
        <v>144</v>
      </c>
      <c r="D36" s="151">
        <v>0</v>
      </c>
      <c r="E36" s="151">
        <v>0</v>
      </c>
      <c r="F36" s="151">
        <v>0</v>
      </c>
      <c r="G36" s="151">
        <v>0</v>
      </c>
      <c r="H36" s="209">
        <v>0</v>
      </c>
      <c r="I36" s="151">
        <v>5.82</v>
      </c>
      <c r="J36" s="151" t="s">
        <v>506</v>
      </c>
      <c r="K36" s="151">
        <v>5.82</v>
      </c>
      <c r="L36" s="151" t="s">
        <v>147</v>
      </c>
      <c r="M36" s="151" t="s">
        <v>539</v>
      </c>
      <c r="N36" s="151">
        <v>0</v>
      </c>
      <c r="O36" s="151" t="s">
        <v>540</v>
      </c>
      <c r="P36" s="151" t="s">
        <v>522</v>
      </c>
      <c r="Q36" s="151">
        <v>0</v>
      </c>
    </row>
    <row r="37" spans="1:17">
      <c r="A37" s="151" t="s">
        <v>541</v>
      </c>
      <c r="B37" s="151" t="s">
        <v>524</v>
      </c>
      <c r="C37" s="151" t="s">
        <v>144</v>
      </c>
      <c r="D37" s="151">
        <v>0</v>
      </c>
      <c r="E37" s="151">
        <v>0</v>
      </c>
      <c r="F37" s="151">
        <v>0</v>
      </c>
      <c r="G37" s="151">
        <v>0</v>
      </c>
      <c r="H37" s="209">
        <v>0</v>
      </c>
      <c r="I37" s="151">
        <v>0</v>
      </c>
      <c r="J37" s="151" t="s">
        <v>506</v>
      </c>
      <c r="K37" s="151">
        <v>0</v>
      </c>
      <c r="L37" s="151" t="s">
        <v>147</v>
      </c>
      <c r="M37" s="151" t="s">
        <v>542</v>
      </c>
      <c r="N37" s="151">
        <v>0</v>
      </c>
      <c r="O37" s="151" t="s">
        <v>543</v>
      </c>
      <c r="P37" s="151" t="s">
        <v>522</v>
      </c>
      <c r="Q37" s="151">
        <v>0</v>
      </c>
    </row>
    <row r="38" spans="1:17">
      <c r="A38" s="151" t="s">
        <v>544</v>
      </c>
      <c r="B38" s="151" t="s">
        <v>505</v>
      </c>
      <c r="C38" s="151" t="s">
        <v>144</v>
      </c>
      <c r="D38" s="151">
        <v>0</v>
      </c>
      <c r="E38" s="151">
        <v>0</v>
      </c>
      <c r="F38" s="151">
        <v>0</v>
      </c>
      <c r="G38" s="151">
        <v>0</v>
      </c>
      <c r="H38" s="209">
        <v>0</v>
      </c>
      <c r="I38" s="151">
        <v>0</v>
      </c>
      <c r="J38" s="151" t="s">
        <v>506</v>
      </c>
      <c r="K38" s="151">
        <v>4.96</v>
      </c>
      <c r="L38" s="151" t="s">
        <v>147</v>
      </c>
      <c r="M38" s="151" t="s">
        <v>545</v>
      </c>
      <c r="N38" s="151">
        <v>0</v>
      </c>
      <c r="O38" s="151" t="s">
        <v>540</v>
      </c>
      <c r="P38" s="151" t="s">
        <v>522</v>
      </c>
      <c r="Q38" s="151">
        <v>0</v>
      </c>
    </row>
    <row r="39" spans="1:17">
      <c r="A39" s="151" t="s">
        <v>546</v>
      </c>
      <c r="B39" s="151" t="s">
        <v>505</v>
      </c>
      <c r="C39" s="151" t="s">
        <v>144</v>
      </c>
      <c r="D39" s="151">
        <v>65</v>
      </c>
      <c r="E39" s="151">
        <v>0</v>
      </c>
      <c r="F39" s="151">
        <v>0</v>
      </c>
      <c r="G39" s="151">
        <v>0</v>
      </c>
      <c r="H39" s="209">
        <v>302.89999999999998</v>
      </c>
      <c r="I39" s="151">
        <v>4.66</v>
      </c>
      <c r="J39" s="151" t="s">
        <v>506</v>
      </c>
      <c r="K39" s="151">
        <v>4.66</v>
      </c>
      <c r="L39" s="151" t="s">
        <v>147</v>
      </c>
      <c r="M39" s="151" t="s">
        <v>547</v>
      </c>
      <c r="N39" s="151">
        <v>0</v>
      </c>
      <c r="O39" s="151" t="s">
        <v>548</v>
      </c>
      <c r="P39" s="151" t="s">
        <v>522</v>
      </c>
      <c r="Q39" s="151">
        <v>0</v>
      </c>
    </row>
    <row r="40" spans="1:17">
      <c r="A40" s="151" t="s">
        <v>549</v>
      </c>
      <c r="B40" s="151" t="s">
        <v>505</v>
      </c>
      <c r="C40" s="151" t="s">
        <v>144</v>
      </c>
      <c r="D40" s="151">
        <v>0</v>
      </c>
      <c r="E40" s="151">
        <v>0</v>
      </c>
      <c r="F40" s="151">
        <v>0</v>
      </c>
      <c r="G40" s="151">
        <v>0</v>
      </c>
      <c r="H40" s="209">
        <v>0</v>
      </c>
      <c r="I40" s="151">
        <v>0</v>
      </c>
      <c r="J40" s="151" t="s">
        <v>506</v>
      </c>
      <c r="K40" s="151">
        <v>6.83</v>
      </c>
      <c r="L40" s="151" t="s">
        <v>147</v>
      </c>
      <c r="M40" s="151" t="s">
        <v>550</v>
      </c>
      <c r="N40" s="151">
        <v>0</v>
      </c>
      <c r="O40" s="151" t="s">
        <v>540</v>
      </c>
      <c r="P40" s="151" t="s">
        <v>522</v>
      </c>
      <c r="Q40" s="151">
        <v>0</v>
      </c>
    </row>
    <row r="41" spans="1:17">
      <c r="A41" s="151" t="s">
        <v>551</v>
      </c>
      <c r="B41" s="151" t="s">
        <v>505</v>
      </c>
      <c r="C41" s="151" t="s">
        <v>144</v>
      </c>
      <c r="D41" s="151">
        <v>60</v>
      </c>
      <c r="E41" s="151">
        <v>0</v>
      </c>
      <c r="F41" s="151">
        <v>0</v>
      </c>
      <c r="G41" s="151">
        <v>0</v>
      </c>
      <c r="H41" s="209">
        <v>157.19999999999999</v>
      </c>
      <c r="I41" s="151">
        <v>2.62</v>
      </c>
      <c r="J41" s="151" t="s">
        <v>506</v>
      </c>
      <c r="K41" s="151">
        <v>2.62</v>
      </c>
      <c r="L41" s="151" t="s">
        <v>147</v>
      </c>
      <c r="M41" s="151" t="s">
        <v>552</v>
      </c>
      <c r="N41" s="151">
        <v>0</v>
      </c>
      <c r="O41" s="151" t="s">
        <v>553</v>
      </c>
      <c r="P41" s="151" t="s">
        <v>522</v>
      </c>
      <c r="Q41" s="151">
        <v>0</v>
      </c>
    </row>
    <row r="42" spans="1:17">
      <c r="A42" s="151" t="s">
        <v>554</v>
      </c>
      <c r="B42" s="151" t="s">
        <v>505</v>
      </c>
      <c r="C42" s="151" t="s">
        <v>144</v>
      </c>
      <c r="D42" s="151">
        <v>50</v>
      </c>
      <c r="E42" s="151">
        <v>0</v>
      </c>
      <c r="F42" s="151">
        <v>0</v>
      </c>
      <c r="G42" s="151">
        <v>0</v>
      </c>
      <c r="H42" s="209">
        <v>137</v>
      </c>
      <c r="I42" s="151">
        <v>2.74</v>
      </c>
      <c r="J42" s="151" t="s">
        <v>506</v>
      </c>
      <c r="K42" s="151">
        <v>2.74</v>
      </c>
      <c r="L42" s="151" t="s">
        <v>147</v>
      </c>
      <c r="M42" s="151" t="s">
        <v>555</v>
      </c>
      <c r="N42" s="151">
        <v>0</v>
      </c>
      <c r="O42" s="151" t="s">
        <v>537</v>
      </c>
      <c r="P42" s="151" t="s">
        <v>522</v>
      </c>
      <c r="Q42" s="151">
        <v>0</v>
      </c>
    </row>
    <row r="43" spans="1:17">
      <c r="A43" s="151" t="s">
        <v>556</v>
      </c>
      <c r="B43" s="151" t="s">
        <v>505</v>
      </c>
      <c r="C43" s="151" t="s">
        <v>144</v>
      </c>
      <c r="D43" s="151">
        <v>40</v>
      </c>
      <c r="E43" s="151">
        <v>0</v>
      </c>
      <c r="F43" s="151">
        <v>0</v>
      </c>
      <c r="G43" s="151">
        <v>0</v>
      </c>
      <c r="H43" s="209">
        <v>168</v>
      </c>
      <c r="I43" s="151">
        <v>4.2</v>
      </c>
      <c r="J43" s="151" t="s">
        <v>506</v>
      </c>
      <c r="K43" s="151">
        <v>4.2</v>
      </c>
      <c r="L43" s="151" t="s">
        <v>147</v>
      </c>
      <c r="M43" s="151" t="s">
        <v>557</v>
      </c>
      <c r="N43" s="151">
        <v>0</v>
      </c>
      <c r="O43" s="151" t="s">
        <v>553</v>
      </c>
      <c r="P43" s="151" t="s">
        <v>522</v>
      </c>
      <c r="Q43" s="151">
        <v>0</v>
      </c>
    </row>
    <row r="44" spans="1:17">
      <c r="A44" s="151" t="s">
        <v>558</v>
      </c>
      <c r="B44" s="151" t="s">
        <v>505</v>
      </c>
      <c r="C44" s="151" t="s">
        <v>144</v>
      </c>
      <c r="D44" s="151">
        <v>31</v>
      </c>
      <c r="E44" s="151">
        <v>0</v>
      </c>
      <c r="F44" s="151">
        <v>0</v>
      </c>
      <c r="G44" s="151">
        <v>0</v>
      </c>
      <c r="H44" s="209">
        <v>142.6</v>
      </c>
      <c r="I44" s="151">
        <v>4.5999999999999996</v>
      </c>
      <c r="J44" s="151" t="s">
        <v>506</v>
      </c>
      <c r="K44" s="151">
        <v>4.5999999999999996</v>
      </c>
      <c r="L44" s="151" t="s">
        <v>147</v>
      </c>
      <c r="M44" s="151" t="s">
        <v>559</v>
      </c>
      <c r="N44" s="151">
        <v>0</v>
      </c>
      <c r="O44" s="151" t="s">
        <v>553</v>
      </c>
      <c r="P44" s="151" t="s">
        <v>522</v>
      </c>
      <c r="Q44" s="151">
        <v>0</v>
      </c>
    </row>
    <row r="45" spans="1:17">
      <c r="A45" s="151" t="s">
        <v>560</v>
      </c>
      <c r="B45" s="151" t="s">
        <v>505</v>
      </c>
      <c r="C45" s="151" t="s">
        <v>144</v>
      </c>
      <c r="D45" s="151">
        <v>50</v>
      </c>
      <c r="E45" s="151">
        <v>0</v>
      </c>
      <c r="F45" s="151">
        <v>0</v>
      </c>
      <c r="G45" s="151">
        <v>0</v>
      </c>
      <c r="H45" s="209">
        <v>184.5</v>
      </c>
      <c r="I45" s="151">
        <v>3.69</v>
      </c>
      <c r="J45" s="151" t="s">
        <v>506</v>
      </c>
      <c r="K45" s="151">
        <v>3.69</v>
      </c>
      <c r="L45" s="151" t="s">
        <v>147</v>
      </c>
      <c r="M45" s="151" t="s">
        <v>561</v>
      </c>
      <c r="N45" s="151">
        <v>0</v>
      </c>
      <c r="O45" s="151" t="s">
        <v>553</v>
      </c>
      <c r="P45" s="151" t="s">
        <v>522</v>
      </c>
      <c r="Q45" s="151">
        <v>0</v>
      </c>
    </row>
    <row r="46" spans="1:17">
      <c r="A46" s="151" t="s">
        <v>562</v>
      </c>
      <c r="B46" s="151" t="s">
        <v>505</v>
      </c>
      <c r="C46" s="151" t="s">
        <v>144</v>
      </c>
      <c r="D46" s="151">
        <v>50</v>
      </c>
      <c r="E46" s="151">
        <v>0</v>
      </c>
      <c r="F46" s="151">
        <v>0</v>
      </c>
      <c r="G46" s="151">
        <v>0</v>
      </c>
      <c r="H46" s="209">
        <v>195</v>
      </c>
      <c r="I46" s="151">
        <v>3.9</v>
      </c>
      <c r="J46" s="151" t="s">
        <v>506</v>
      </c>
      <c r="K46" s="151">
        <v>3.9</v>
      </c>
      <c r="L46" s="151" t="s">
        <v>147</v>
      </c>
      <c r="M46" s="151" t="s">
        <v>563</v>
      </c>
      <c r="N46" s="151">
        <v>0</v>
      </c>
      <c r="O46" s="151" t="s">
        <v>564</v>
      </c>
      <c r="P46" s="151" t="s">
        <v>522</v>
      </c>
      <c r="Q46" s="151">
        <v>0</v>
      </c>
    </row>
    <row r="47" spans="1:17">
      <c r="A47" s="151" t="s">
        <v>565</v>
      </c>
      <c r="B47" s="151" t="s">
        <v>524</v>
      </c>
      <c r="C47" s="151" t="s">
        <v>144</v>
      </c>
      <c r="D47" s="151">
        <v>46</v>
      </c>
      <c r="E47" s="151">
        <v>0</v>
      </c>
      <c r="F47" s="151">
        <v>0</v>
      </c>
      <c r="G47" s="151">
        <v>0</v>
      </c>
      <c r="H47" s="209">
        <v>147.19999999999999</v>
      </c>
      <c r="I47" s="151">
        <v>3.2</v>
      </c>
      <c r="J47" s="151" t="s">
        <v>506</v>
      </c>
      <c r="K47" s="151">
        <v>3.2</v>
      </c>
      <c r="L47" s="151" t="s">
        <v>146</v>
      </c>
      <c r="M47" s="151" t="s">
        <v>566</v>
      </c>
      <c r="N47" s="151">
        <v>0</v>
      </c>
      <c r="O47" s="151" t="s">
        <v>529</v>
      </c>
      <c r="P47" s="151" t="s">
        <v>522</v>
      </c>
      <c r="Q47" s="151">
        <v>50</v>
      </c>
    </row>
    <row r="48" spans="1:17">
      <c r="A48" s="151" t="s">
        <v>567</v>
      </c>
      <c r="B48" s="151" t="s">
        <v>524</v>
      </c>
      <c r="C48" s="151" t="s">
        <v>144</v>
      </c>
      <c r="D48" s="151">
        <v>12</v>
      </c>
      <c r="E48" s="151">
        <v>0</v>
      </c>
      <c r="F48" s="151">
        <v>0</v>
      </c>
      <c r="G48" s="151">
        <v>6</v>
      </c>
      <c r="H48" s="209">
        <v>781.02</v>
      </c>
      <c r="I48" s="151">
        <v>65.81</v>
      </c>
      <c r="J48" s="151" t="s">
        <v>506</v>
      </c>
      <c r="K48" s="151">
        <v>36.590000000000003</v>
      </c>
      <c r="L48" s="151" t="s">
        <v>147</v>
      </c>
      <c r="M48" s="151" t="s">
        <v>568</v>
      </c>
      <c r="N48" s="151">
        <v>0</v>
      </c>
      <c r="O48" s="151" t="s">
        <v>569</v>
      </c>
      <c r="P48" s="151" t="s">
        <v>522</v>
      </c>
      <c r="Q48" s="151">
        <v>12</v>
      </c>
    </row>
    <row r="49" spans="1:17">
      <c r="A49" s="151" t="s">
        <v>570</v>
      </c>
      <c r="B49" s="151" t="s">
        <v>524</v>
      </c>
      <c r="C49" s="151" t="s">
        <v>144</v>
      </c>
      <c r="D49" s="151">
        <v>44</v>
      </c>
      <c r="E49" s="151">
        <v>0</v>
      </c>
      <c r="F49" s="151">
        <v>0</v>
      </c>
      <c r="G49" s="151">
        <v>10</v>
      </c>
      <c r="H49" s="209">
        <v>120.13</v>
      </c>
      <c r="I49" s="151">
        <v>2.73</v>
      </c>
      <c r="J49" s="151" t="s">
        <v>506</v>
      </c>
      <c r="K49" s="151">
        <v>2.7302</v>
      </c>
      <c r="L49" s="151" t="s">
        <v>147</v>
      </c>
      <c r="M49" s="151" t="s">
        <v>571</v>
      </c>
      <c r="N49" s="151">
        <v>0</v>
      </c>
      <c r="O49" s="151" t="s">
        <v>572</v>
      </c>
      <c r="P49" s="151" t="s">
        <v>522</v>
      </c>
      <c r="Q49" s="151">
        <v>30</v>
      </c>
    </row>
    <row r="50" spans="1:17">
      <c r="A50" s="151" t="s">
        <v>573</v>
      </c>
      <c r="B50" s="151" t="s">
        <v>524</v>
      </c>
      <c r="C50" s="151" t="s">
        <v>144</v>
      </c>
      <c r="D50" s="151">
        <v>17</v>
      </c>
      <c r="E50" s="151">
        <v>0</v>
      </c>
      <c r="F50" s="151">
        <v>0</v>
      </c>
      <c r="G50" s="151">
        <v>5</v>
      </c>
      <c r="H50" s="209">
        <v>393.3</v>
      </c>
      <c r="I50" s="151">
        <v>23.14</v>
      </c>
      <c r="J50" s="151" t="s">
        <v>506</v>
      </c>
      <c r="K50" s="151">
        <v>23.135000000000002</v>
      </c>
      <c r="L50" s="151" t="s">
        <v>146</v>
      </c>
      <c r="M50" s="151" t="s">
        <v>574</v>
      </c>
      <c r="N50" s="151">
        <v>0</v>
      </c>
      <c r="O50" s="151" t="s">
        <v>575</v>
      </c>
      <c r="P50" s="151" t="s">
        <v>522</v>
      </c>
      <c r="Q50" s="151">
        <v>15</v>
      </c>
    </row>
    <row r="51" spans="1:17">
      <c r="A51" s="151" t="s">
        <v>576</v>
      </c>
      <c r="B51" s="151" t="s">
        <v>524</v>
      </c>
      <c r="C51" s="151" t="s">
        <v>144</v>
      </c>
      <c r="D51" s="151">
        <v>25</v>
      </c>
      <c r="E51" s="151">
        <v>0</v>
      </c>
      <c r="F51" s="151">
        <v>0</v>
      </c>
      <c r="G51" s="151">
        <v>10</v>
      </c>
      <c r="H51" s="209">
        <v>385</v>
      </c>
      <c r="I51" s="151">
        <v>15.4</v>
      </c>
      <c r="J51" s="151" t="s">
        <v>506</v>
      </c>
      <c r="K51" s="151">
        <v>15.4</v>
      </c>
      <c r="L51" s="151" t="s">
        <v>147</v>
      </c>
      <c r="M51" s="151" t="s">
        <v>577</v>
      </c>
      <c r="N51" s="151">
        <v>0</v>
      </c>
      <c r="O51" s="151" t="s">
        <v>578</v>
      </c>
      <c r="P51" s="151" t="s">
        <v>522</v>
      </c>
      <c r="Q51" s="151">
        <v>20</v>
      </c>
    </row>
    <row r="52" spans="1:17">
      <c r="A52" s="151" t="s">
        <v>579</v>
      </c>
      <c r="B52" s="151" t="s">
        <v>524</v>
      </c>
      <c r="C52" s="151" t="s">
        <v>144</v>
      </c>
      <c r="D52" s="151">
        <v>22</v>
      </c>
      <c r="E52" s="151">
        <v>0</v>
      </c>
      <c r="F52" s="151">
        <v>0</v>
      </c>
      <c r="G52" s="151">
        <v>3</v>
      </c>
      <c r="H52" s="209">
        <v>715.44</v>
      </c>
      <c r="I52" s="151">
        <v>32.520000000000003</v>
      </c>
      <c r="J52" s="151" t="s">
        <v>506</v>
      </c>
      <c r="K52" s="151">
        <v>32.520000000000003</v>
      </c>
      <c r="L52" s="151" t="s">
        <v>147</v>
      </c>
      <c r="M52" s="151" t="s">
        <v>580</v>
      </c>
      <c r="N52" s="151">
        <v>0</v>
      </c>
      <c r="O52" s="151" t="s">
        <v>581</v>
      </c>
      <c r="P52" s="151" t="s">
        <v>522</v>
      </c>
      <c r="Q52" s="151">
        <v>15</v>
      </c>
    </row>
    <row r="53" spans="1:17">
      <c r="A53" s="151" t="s">
        <v>582</v>
      </c>
      <c r="B53" s="151" t="s">
        <v>524</v>
      </c>
      <c r="C53" s="151" t="s">
        <v>144</v>
      </c>
      <c r="D53" s="151">
        <v>19</v>
      </c>
      <c r="E53" s="151">
        <v>0</v>
      </c>
      <c r="F53" s="151">
        <v>0</v>
      </c>
      <c r="G53" s="151">
        <v>6</v>
      </c>
      <c r="H53" s="209">
        <v>1739.27</v>
      </c>
      <c r="I53" s="151">
        <v>91.54</v>
      </c>
      <c r="J53" s="151" t="s">
        <v>506</v>
      </c>
      <c r="K53" s="151">
        <v>91.549000000000007</v>
      </c>
      <c r="L53" s="151" t="s">
        <v>147</v>
      </c>
      <c r="M53" s="151" t="s">
        <v>583</v>
      </c>
      <c r="N53" s="151">
        <v>0</v>
      </c>
      <c r="O53" s="151" t="s">
        <v>581</v>
      </c>
      <c r="P53" s="151" t="s">
        <v>522</v>
      </c>
      <c r="Q53" s="151">
        <v>18</v>
      </c>
    </row>
    <row r="54" spans="1:17">
      <c r="A54" s="151" t="s">
        <v>584</v>
      </c>
      <c r="B54" s="151" t="s">
        <v>524</v>
      </c>
      <c r="C54" s="151" t="s">
        <v>144</v>
      </c>
      <c r="D54" s="151">
        <v>12</v>
      </c>
      <c r="E54" s="151">
        <v>0</v>
      </c>
      <c r="F54" s="151">
        <v>0</v>
      </c>
      <c r="G54" s="151">
        <v>1</v>
      </c>
      <c r="H54" s="209">
        <v>1042.08</v>
      </c>
      <c r="I54" s="151">
        <v>86.84</v>
      </c>
      <c r="J54" s="151" t="s">
        <v>506</v>
      </c>
      <c r="K54" s="151">
        <v>86.84</v>
      </c>
      <c r="L54" s="151" t="s">
        <v>147</v>
      </c>
      <c r="M54" s="151" t="s">
        <v>585</v>
      </c>
      <c r="N54" s="151">
        <v>0</v>
      </c>
      <c r="O54" s="151" t="s">
        <v>581</v>
      </c>
      <c r="P54" s="151" t="s">
        <v>522</v>
      </c>
      <c r="Q54" s="151">
        <v>3</v>
      </c>
    </row>
    <row r="55" spans="1:17">
      <c r="A55" s="151" t="s">
        <v>586</v>
      </c>
      <c r="B55" s="151" t="s">
        <v>524</v>
      </c>
      <c r="C55" s="151" t="s">
        <v>144</v>
      </c>
      <c r="D55" s="151">
        <v>6</v>
      </c>
      <c r="E55" s="151">
        <v>0</v>
      </c>
      <c r="F55" s="151">
        <v>0</v>
      </c>
      <c r="G55" s="151">
        <v>0</v>
      </c>
      <c r="H55" s="209">
        <v>469.2</v>
      </c>
      <c r="I55" s="151">
        <v>78.2</v>
      </c>
      <c r="J55" s="151" t="s">
        <v>506</v>
      </c>
      <c r="K55" s="151">
        <v>78.2</v>
      </c>
      <c r="L55" s="151" t="s">
        <v>147</v>
      </c>
      <c r="M55" s="151" t="s">
        <v>587</v>
      </c>
      <c r="N55" s="151">
        <v>0</v>
      </c>
      <c r="O55" s="151" t="s">
        <v>581</v>
      </c>
      <c r="P55" s="151" t="s">
        <v>522</v>
      </c>
      <c r="Q55" s="151">
        <v>1</v>
      </c>
    </row>
    <row r="56" spans="1:17">
      <c r="A56" s="151" t="s">
        <v>588</v>
      </c>
      <c r="B56" s="151" t="s">
        <v>524</v>
      </c>
      <c r="C56" s="151" t="s">
        <v>144</v>
      </c>
      <c r="D56" s="151">
        <v>18</v>
      </c>
      <c r="E56" s="151">
        <v>0</v>
      </c>
      <c r="F56" s="151">
        <v>0</v>
      </c>
      <c r="G56" s="151">
        <v>3</v>
      </c>
      <c r="H56" s="209">
        <v>1637.09</v>
      </c>
      <c r="I56" s="151">
        <v>79.33</v>
      </c>
      <c r="J56" s="151" t="s">
        <v>506</v>
      </c>
      <c r="K56" s="151">
        <v>98.557599999999994</v>
      </c>
      <c r="L56" s="151" t="s">
        <v>144</v>
      </c>
      <c r="M56" s="151" t="s">
        <v>589</v>
      </c>
      <c r="N56" s="151">
        <v>0</v>
      </c>
      <c r="O56" s="151" t="s">
        <v>590</v>
      </c>
      <c r="P56" s="151" t="s">
        <v>522</v>
      </c>
      <c r="Q56" s="151">
        <v>15</v>
      </c>
    </row>
    <row r="57" spans="1:17">
      <c r="A57" s="151" t="s">
        <v>591</v>
      </c>
      <c r="B57" s="151" t="s">
        <v>524</v>
      </c>
      <c r="C57" s="151" t="s">
        <v>144</v>
      </c>
      <c r="D57" s="151">
        <v>16</v>
      </c>
      <c r="E57" s="151">
        <v>0</v>
      </c>
      <c r="F57" s="151">
        <v>0</v>
      </c>
      <c r="G57" s="151">
        <v>8</v>
      </c>
      <c r="H57" s="209">
        <v>2610.41</v>
      </c>
      <c r="I57" s="151">
        <v>171.2</v>
      </c>
      <c r="J57" s="151" t="s">
        <v>506</v>
      </c>
      <c r="K57" s="151">
        <v>108.6486</v>
      </c>
      <c r="L57" s="151" t="s">
        <v>145</v>
      </c>
      <c r="M57" s="151" t="s">
        <v>592</v>
      </c>
      <c r="N57" s="151">
        <v>0</v>
      </c>
      <c r="O57" s="151" t="s">
        <v>593</v>
      </c>
      <c r="P57" s="151" t="s">
        <v>522</v>
      </c>
      <c r="Q57" s="151">
        <v>12</v>
      </c>
    </row>
    <row r="58" spans="1:17">
      <c r="A58" s="151" t="s">
        <v>594</v>
      </c>
      <c r="B58" s="151" t="s">
        <v>524</v>
      </c>
      <c r="C58" s="151" t="s">
        <v>144</v>
      </c>
      <c r="D58" s="151">
        <v>10</v>
      </c>
      <c r="E58" s="151">
        <v>0</v>
      </c>
      <c r="F58" s="151">
        <v>0</v>
      </c>
      <c r="G58" s="151">
        <v>3</v>
      </c>
      <c r="H58" s="209">
        <v>4619.3999999999996</v>
      </c>
      <c r="I58" s="151">
        <v>461.94</v>
      </c>
      <c r="J58" s="151" t="s">
        <v>506</v>
      </c>
      <c r="K58" s="151">
        <v>461.94</v>
      </c>
      <c r="L58" s="151" t="s">
        <v>147</v>
      </c>
      <c r="M58" s="151" t="s">
        <v>595</v>
      </c>
      <c r="N58" s="151">
        <v>0</v>
      </c>
      <c r="O58" s="151" t="s">
        <v>575</v>
      </c>
      <c r="P58" s="151" t="s">
        <v>522</v>
      </c>
      <c r="Q58" s="151">
        <v>9</v>
      </c>
    </row>
    <row r="59" spans="1:17">
      <c r="A59" s="151" t="s">
        <v>596</v>
      </c>
      <c r="B59" s="151" t="s">
        <v>524</v>
      </c>
      <c r="C59" s="151" t="s">
        <v>144</v>
      </c>
      <c r="D59" s="151">
        <v>3</v>
      </c>
      <c r="E59" s="151">
        <v>0</v>
      </c>
      <c r="F59" s="151">
        <v>0</v>
      </c>
      <c r="G59" s="151">
        <v>2</v>
      </c>
      <c r="H59" s="209">
        <v>1216.6199999999999</v>
      </c>
      <c r="I59" s="151">
        <v>405.54</v>
      </c>
      <c r="J59" s="151" t="s">
        <v>506</v>
      </c>
      <c r="K59" s="151">
        <v>405.54</v>
      </c>
      <c r="L59" s="151" t="s">
        <v>147</v>
      </c>
      <c r="M59" s="151" t="s">
        <v>597</v>
      </c>
      <c r="N59" s="151">
        <v>0</v>
      </c>
      <c r="O59" s="151" t="s">
        <v>598</v>
      </c>
      <c r="P59" s="151" t="s">
        <v>522</v>
      </c>
      <c r="Q59" s="151">
        <v>5</v>
      </c>
    </row>
    <row r="60" spans="1:17">
      <c r="A60" s="151" t="s">
        <v>599</v>
      </c>
      <c r="B60" s="151" t="s">
        <v>524</v>
      </c>
      <c r="C60" s="151" t="s">
        <v>144</v>
      </c>
      <c r="D60" s="151">
        <v>60</v>
      </c>
      <c r="E60" s="151">
        <v>0</v>
      </c>
      <c r="F60" s="151">
        <v>0</v>
      </c>
      <c r="G60" s="151">
        <v>25</v>
      </c>
      <c r="H60" s="209">
        <v>1152.3900000000001</v>
      </c>
      <c r="I60" s="151">
        <v>19.21</v>
      </c>
      <c r="J60" s="151" t="s">
        <v>506</v>
      </c>
      <c r="K60" s="151">
        <v>16.370999999999999</v>
      </c>
      <c r="L60" s="151" t="s">
        <v>145</v>
      </c>
      <c r="M60" s="151" t="s">
        <v>600</v>
      </c>
      <c r="N60" s="151">
        <v>0</v>
      </c>
      <c r="O60" s="151" t="s">
        <v>590</v>
      </c>
      <c r="P60" s="151" t="s">
        <v>522</v>
      </c>
      <c r="Q60" s="151">
        <v>75</v>
      </c>
    </row>
    <row r="61" spans="1:17">
      <c r="A61" s="151" t="s">
        <v>601</v>
      </c>
      <c r="B61" s="151" t="s">
        <v>524</v>
      </c>
      <c r="C61" s="151" t="s">
        <v>144</v>
      </c>
      <c r="D61" s="151">
        <v>296</v>
      </c>
      <c r="E61" s="151">
        <v>0</v>
      </c>
      <c r="F61" s="151">
        <v>0</v>
      </c>
      <c r="G61" s="151">
        <v>10</v>
      </c>
      <c r="H61" s="209">
        <v>748.88</v>
      </c>
      <c r="I61" s="151">
        <v>2.5299999999999998</v>
      </c>
      <c r="J61" s="151" t="s">
        <v>506</v>
      </c>
      <c r="K61" s="151">
        <v>2.5299999999999998</v>
      </c>
      <c r="L61" s="151" t="s">
        <v>147</v>
      </c>
      <c r="M61" s="151" t="s">
        <v>602</v>
      </c>
      <c r="N61" s="151">
        <v>0</v>
      </c>
      <c r="O61" s="151" t="s">
        <v>529</v>
      </c>
      <c r="P61" s="151" t="s">
        <v>522</v>
      </c>
      <c r="Q61" s="151">
        <v>35</v>
      </c>
    </row>
    <row r="62" spans="1:17">
      <c r="A62" s="151" t="s">
        <v>603</v>
      </c>
      <c r="B62" s="151" t="s">
        <v>524</v>
      </c>
      <c r="C62" s="151" t="s">
        <v>144</v>
      </c>
      <c r="D62" s="151">
        <v>11</v>
      </c>
      <c r="E62" s="151">
        <v>0</v>
      </c>
      <c r="F62" s="151">
        <v>0</v>
      </c>
      <c r="G62" s="151">
        <v>0</v>
      </c>
      <c r="H62" s="209">
        <v>48.4</v>
      </c>
      <c r="I62" s="151">
        <v>4.4000000000000004</v>
      </c>
      <c r="J62" s="151" t="s">
        <v>506</v>
      </c>
      <c r="K62" s="151">
        <v>4.4000000000000004</v>
      </c>
      <c r="L62" s="151" t="s">
        <v>147</v>
      </c>
      <c r="M62" s="151" t="s">
        <v>604</v>
      </c>
      <c r="N62" s="151">
        <v>0</v>
      </c>
      <c r="O62" s="151" t="s">
        <v>529</v>
      </c>
      <c r="P62" s="151" t="s">
        <v>522</v>
      </c>
      <c r="Q62" s="151">
        <v>0</v>
      </c>
    </row>
    <row r="63" spans="1:17">
      <c r="A63" s="151" t="s">
        <v>605</v>
      </c>
      <c r="B63" s="151" t="s">
        <v>524</v>
      </c>
      <c r="C63" s="151" t="s">
        <v>144</v>
      </c>
      <c r="D63" s="151">
        <v>11</v>
      </c>
      <c r="E63" s="151">
        <v>0</v>
      </c>
      <c r="F63" s="151">
        <v>0</v>
      </c>
      <c r="G63" s="151">
        <v>0</v>
      </c>
      <c r="H63" s="209">
        <v>90.64</v>
      </c>
      <c r="I63" s="151">
        <v>8.24</v>
      </c>
      <c r="J63" s="151" t="s">
        <v>506</v>
      </c>
      <c r="K63" s="151">
        <v>8.24</v>
      </c>
      <c r="L63" s="151" t="s">
        <v>147</v>
      </c>
      <c r="M63" s="151" t="s">
        <v>606</v>
      </c>
      <c r="N63" s="151">
        <v>0</v>
      </c>
      <c r="O63" s="151" t="s">
        <v>607</v>
      </c>
      <c r="P63" s="151" t="s">
        <v>522</v>
      </c>
      <c r="Q63" s="151">
        <v>0</v>
      </c>
    </row>
    <row r="64" spans="1:17">
      <c r="A64" s="151" t="s">
        <v>608</v>
      </c>
      <c r="B64" s="151" t="s">
        <v>524</v>
      </c>
      <c r="C64" s="151" t="s">
        <v>144</v>
      </c>
      <c r="D64" s="151">
        <v>6</v>
      </c>
      <c r="E64" s="151">
        <v>0</v>
      </c>
      <c r="F64" s="151">
        <v>0</v>
      </c>
      <c r="G64" s="151">
        <v>3</v>
      </c>
      <c r="H64" s="209">
        <v>132.32</v>
      </c>
      <c r="I64" s="151">
        <v>22.06</v>
      </c>
      <c r="J64" s="151" t="s">
        <v>506</v>
      </c>
      <c r="K64" s="151">
        <v>22.0563</v>
      </c>
      <c r="L64" s="151" t="s">
        <v>147</v>
      </c>
      <c r="M64" s="151" t="s">
        <v>609</v>
      </c>
      <c r="N64" s="151">
        <v>0</v>
      </c>
      <c r="O64" s="151" t="s">
        <v>610</v>
      </c>
      <c r="P64" s="151" t="s">
        <v>522</v>
      </c>
      <c r="Q64" s="151">
        <v>12</v>
      </c>
    </row>
    <row r="65" spans="1:17">
      <c r="A65" s="151" t="s">
        <v>611</v>
      </c>
      <c r="B65" s="151" t="s">
        <v>524</v>
      </c>
      <c r="C65" s="151" t="s">
        <v>144</v>
      </c>
      <c r="D65" s="151">
        <v>9</v>
      </c>
      <c r="E65" s="151">
        <v>0</v>
      </c>
      <c r="F65" s="151">
        <v>0</v>
      </c>
      <c r="G65" s="151">
        <v>3</v>
      </c>
      <c r="H65" s="209">
        <v>1192.67</v>
      </c>
      <c r="I65" s="151">
        <v>132.52000000000001</v>
      </c>
      <c r="J65" s="151" t="s">
        <v>506</v>
      </c>
      <c r="K65" s="151">
        <v>59.358499999999999</v>
      </c>
      <c r="L65" s="151" t="s">
        <v>147</v>
      </c>
      <c r="M65" s="151" t="s">
        <v>612</v>
      </c>
      <c r="N65" s="151">
        <v>0</v>
      </c>
      <c r="O65" s="151" t="s">
        <v>613</v>
      </c>
      <c r="P65" s="151" t="s">
        <v>522</v>
      </c>
      <c r="Q65" s="151">
        <v>12</v>
      </c>
    </row>
    <row r="66" spans="1:17">
      <c r="A66" s="151" t="s">
        <v>614</v>
      </c>
      <c r="B66" s="151" t="s">
        <v>524</v>
      </c>
      <c r="C66" s="151" t="s">
        <v>144</v>
      </c>
      <c r="D66" s="151">
        <v>12</v>
      </c>
      <c r="E66" s="151">
        <v>0</v>
      </c>
      <c r="F66" s="151">
        <v>0</v>
      </c>
      <c r="G66" s="151">
        <v>3</v>
      </c>
      <c r="H66" s="209">
        <v>261.05</v>
      </c>
      <c r="I66" s="151">
        <v>21.75</v>
      </c>
      <c r="J66" s="151" t="s">
        <v>506</v>
      </c>
      <c r="K66" s="151">
        <v>21.7544</v>
      </c>
      <c r="L66" s="151" t="s">
        <v>147</v>
      </c>
      <c r="M66" s="151" t="s">
        <v>615</v>
      </c>
      <c r="N66" s="151">
        <v>0</v>
      </c>
      <c r="O66" s="151" t="s">
        <v>616</v>
      </c>
      <c r="P66" s="151" t="s">
        <v>522</v>
      </c>
      <c r="Q66" s="151">
        <v>12</v>
      </c>
    </row>
    <row r="67" spans="1:17">
      <c r="A67" s="151" t="s">
        <v>617</v>
      </c>
      <c r="B67" s="151" t="s">
        <v>505</v>
      </c>
      <c r="C67" s="151" t="s">
        <v>144</v>
      </c>
      <c r="D67" s="151">
        <v>3</v>
      </c>
      <c r="E67" s="151">
        <v>0</v>
      </c>
      <c r="F67" s="151">
        <v>0</v>
      </c>
      <c r="G67" s="151">
        <v>0</v>
      </c>
      <c r="H67" s="209">
        <v>3597.19</v>
      </c>
      <c r="I67" s="151">
        <v>1199.06</v>
      </c>
      <c r="J67" s="151" t="s">
        <v>506</v>
      </c>
      <c r="K67" s="151">
        <v>1199.07</v>
      </c>
      <c r="L67" s="151" t="s">
        <v>144</v>
      </c>
      <c r="M67" s="151" t="s">
        <v>618</v>
      </c>
      <c r="N67" s="151">
        <v>0</v>
      </c>
      <c r="O67" s="151" t="s">
        <v>619</v>
      </c>
      <c r="P67" s="151" t="s">
        <v>522</v>
      </c>
      <c r="Q67" s="151">
        <v>0</v>
      </c>
    </row>
    <row r="68" spans="1:17">
      <c r="A68" s="151" t="s">
        <v>620</v>
      </c>
      <c r="B68" s="151" t="s">
        <v>505</v>
      </c>
      <c r="C68" s="151" t="s">
        <v>144</v>
      </c>
      <c r="D68" s="151">
        <v>13</v>
      </c>
      <c r="E68" s="151">
        <v>0</v>
      </c>
      <c r="F68" s="151">
        <v>0</v>
      </c>
      <c r="G68" s="151">
        <v>4</v>
      </c>
      <c r="H68" s="209">
        <v>20906.73</v>
      </c>
      <c r="I68" s="151">
        <v>1608.21</v>
      </c>
      <c r="J68" s="151" t="s">
        <v>506</v>
      </c>
      <c r="K68" s="151">
        <v>297.57</v>
      </c>
      <c r="L68" s="151" t="s">
        <v>144</v>
      </c>
      <c r="M68" s="151" t="s">
        <v>621</v>
      </c>
      <c r="N68" s="151">
        <v>0</v>
      </c>
      <c r="O68" s="151" t="s">
        <v>622</v>
      </c>
      <c r="P68" s="151" t="s">
        <v>522</v>
      </c>
      <c r="Q68" s="151">
        <v>8</v>
      </c>
    </row>
    <row r="69" spans="1:17">
      <c r="A69" s="151" t="s">
        <v>623</v>
      </c>
      <c r="B69" s="151" t="s">
        <v>505</v>
      </c>
      <c r="C69" s="151" t="s">
        <v>144</v>
      </c>
      <c r="D69" s="151">
        <v>3</v>
      </c>
      <c r="E69" s="151">
        <v>0</v>
      </c>
      <c r="F69" s="151">
        <v>0</v>
      </c>
      <c r="G69" s="151">
        <v>0</v>
      </c>
      <c r="H69" s="209">
        <v>2139.9</v>
      </c>
      <c r="I69" s="151">
        <v>713.3</v>
      </c>
      <c r="J69" s="151" t="s">
        <v>506</v>
      </c>
      <c r="K69" s="151">
        <v>713.3</v>
      </c>
      <c r="L69" s="151" t="s">
        <v>144</v>
      </c>
      <c r="M69" s="151" t="s">
        <v>624</v>
      </c>
      <c r="N69" s="151">
        <v>0</v>
      </c>
      <c r="O69" s="151" t="s">
        <v>619</v>
      </c>
      <c r="P69" s="151" t="s">
        <v>522</v>
      </c>
      <c r="Q69" s="151">
        <v>0</v>
      </c>
    </row>
    <row r="70" spans="1:17">
      <c r="A70" s="151" t="s">
        <v>625</v>
      </c>
      <c r="B70" s="151" t="s">
        <v>505</v>
      </c>
      <c r="C70" s="151" t="s">
        <v>144</v>
      </c>
      <c r="D70" s="151">
        <v>3</v>
      </c>
      <c r="E70" s="151">
        <v>0</v>
      </c>
      <c r="F70" s="151">
        <v>0</v>
      </c>
      <c r="G70" s="151">
        <v>2</v>
      </c>
      <c r="H70" s="209">
        <v>4665.75</v>
      </c>
      <c r="I70" s="151">
        <v>1540.8</v>
      </c>
      <c r="J70" s="151" t="s">
        <v>506</v>
      </c>
      <c r="K70" s="151">
        <v>1285.6400000000001</v>
      </c>
      <c r="L70" s="151" t="s">
        <v>144</v>
      </c>
      <c r="M70" s="151" t="s">
        <v>626</v>
      </c>
      <c r="N70" s="151">
        <v>0</v>
      </c>
      <c r="O70" s="151" t="s">
        <v>622</v>
      </c>
      <c r="P70" s="151" t="s">
        <v>522</v>
      </c>
      <c r="Q70" s="151">
        <v>6</v>
      </c>
    </row>
    <row r="71" spans="1:17">
      <c r="A71" s="151" t="s">
        <v>627</v>
      </c>
      <c r="B71" s="151" t="s">
        <v>505</v>
      </c>
      <c r="C71" s="151" t="s">
        <v>144</v>
      </c>
      <c r="D71" s="151">
        <v>3</v>
      </c>
      <c r="E71" s="151">
        <v>0</v>
      </c>
      <c r="F71" s="151">
        <v>0</v>
      </c>
      <c r="G71" s="151">
        <v>1</v>
      </c>
      <c r="H71" s="209">
        <v>6671.97</v>
      </c>
      <c r="I71" s="151">
        <v>2314.41</v>
      </c>
      <c r="J71" s="151" t="s">
        <v>506</v>
      </c>
      <c r="K71" s="151">
        <v>1584.7</v>
      </c>
      <c r="L71" s="151" t="s">
        <v>144</v>
      </c>
      <c r="M71" s="151" t="s">
        <v>628</v>
      </c>
      <c r="N71" s="151">
        <v>0</v>
      </c>
      <c r="O71" s="151" t="s">
        <v>622</v>
      </c>
      <c r="P71" s="151" t="s">
        <v>522</v>
      </c>
      <c r="Q71" s="151">
        <v>4</v>
      </c>
    </row>
    <row r="72" spans="1:17">
      <c r="A72" s="151" t="s">
        <v>629</v>
      </c>
      <c r="B72" s="151" t="s">
        <v>505</v>
      </c>
      <c r="C72" s="151" t="s">
        <v>144</v>
      </c>
      <c r="D72" s="151">
        <v>0</v>
      </c>
      <c r="E72" s="151">
        <v>0</v>
      </c>
      <c r="F72" s="151">
        <v>0</v>
      </c>
      <c r="G72" s="151">
        <v>0</v>
      </c>
      <c r="H72" s="209">
        <v>0</v>
      </c>
      <c r="I72" s="151">
        <v>0</v>
      </c>
      <c r="J72" s="151" t="s">
        <v>506</v>
      </c>
      <c r="K72" s="151">
        <v>0</v>
      </c>
      <c r="L72" s="151" t="s">
        <v>144</v>
      </c>
      <c r="M72" s="151" t="s">
        <v>630</v>
      </c>
      <c r="N72" s="151">
        <v>0</v>
      </c>
      <c r="O72" s="151" t="s">
        <v>631</v>
      </c>
      <c r="P72" s="151" t="s">
        <v>522</v>
      </c>
      <c r="Q72" s="151">
        <v>0</v>
      </c>
    </row>
    <row r="73" spans="1:17">
      <c r="A73" s="151" t="s">
        <v>632</v>
      </c>
      <c r="B73" s="151" t="s">
        <v>505</v>
      </c>
      <c r="C73" s="151" t="s">
        <v>144</v>
      </c>
      <c r="D73" s="151">
        <v>2</v>
      </c>
      <c r="E73" s="151">
        <v>0</v>
      </c>
      <c r="F73" s="151">
        <v>0</v>
      </c>
      <c r="G73" s="151">
        <v>1</v>
      </c>
      <c r="H73" s="209">
        <v>5309.34</v>
      </c>
      <c r="I73" s="151">
        <v>2654.67</v>
      </c>
      <c r="J73" s="151" t="s">
        <v>506</v>
      </c>
      <c r="K73" s="151">
        <v>2636.98</v>
      </c>
      <c r="L73" s="151" t="s">
        <v>144</v>
      </c>
      <c r="M73" s="151" t="s">
        <v>633</v>
      </c>
      <c r="N73" s="151">
        <v>0</v>
      </c>
      <c r="O73" s="151" t="s">
        <v>521</v>
      </c>
      <c r="P73" s="151" t="s">
        <v>522</v>
      </c>
      <c r="Q73" s="151">
        <v>2</v>
      </c>
    </row>
    <row r="74" spans="1:17">
      <c r="A74" s="151" t="s">
        <v>634</v>
      </c>
      <c r="B74" s="151" t="s">
        <v>505</v>
      </c>
      <c r="C74" s="151" t="s">
        <v>144</v>
      </c>
      <c r="D74" s="151">
        <v>0</v>
      </c>
      <c r="E74" s="151">
        <v>0</v>
      </c>
      <c r="F74" s="151">
        <v>0</v>
      </c>
      <c r="G74" s="151">
        <v>0</v>
      </c>
      <c r="H74" s="209">
        <v>0</v>
      </c>
      <c r="I74" s="151">
        <v>0</v>
      </c>
      <c r="J74" s="151" t="s">
        <v>506</v>
      </c>
      <c r="K74" s="151">
        <v>2696.98</v>
      </c>
      <c r="L74" s="151" t="s">
        <v>144</v>
      </c>
      <c r="M74" s="151" t="s">
        <v>635</v>
      </c>
      <c r="N74" s="151">
        <v>0</v>
      </c>
      <c r="O74" s="151" t="s">
        <v>631</v>
      </c>
      <c r="P74" s="151" t="s">
        <v>522</v>
      </c>
      <c r="Q74" s="151">
        <v>0</v>
      </c>
    </row>
    <row r="75" spans="1:17">
      <c r="A75" s="151" t="s">
        <v>636</v>
      </c>
      <c r="B75" s="151" t="s">
        <v>505</v>
      </c>
      <c r="C75" s="151" t="s">
        <v>144</v>
      </c>
      <c r="D75" s="151">
        <v>3</v>
      </c>
      <c r="E75" s="151">
        <v>0</v>
      </c>
      <c r="F75" s="151">
        <v>0</v>
      </c>
      <c r="G75" s="151">
        <v>0</v>
      </c>
      <c r="H75" s="209">
        <v>2063.4</v>
      </c>
      <c r="I75" s="151">
        <v>687.8</v>
      </c>
      <c r="J75" s="151" t="s">
        <v>506</v>
      </c>
      <c r="K75" s="151">
        <v>687.8</v>
      </c>
      <c r="L75" s="151" t="s">
        <v>144</v>
      </c>
      <c r="M75" s="151" t="s">
        <v>637</v>
      </c>
      <c r="N75" s="151">
        <v>0</v>
      </c>
      <c r="O75" s="151" t="s">
        <v>619</v>
      </c>
      <c r="P75" s="151" t="s">
        <v>522</v>
      </c>
      <c r="Q75" s="151">
        <v>0</v>
      </c>
    </row>
    <row r="76" spans="1:17">
      <c r="A76" s="151" t="s">
        <v>638</v>
      </c>
      <c r="B76" s="151" t="s">
        <v>505</v>
      </c>
      <c r="C76" s="151" t="s">
        <v>144</v>
      </c>
      <c r="D76" s="151">
        <v>3</v>
      </c>
      <c r="E76" s="151">
        <v>0</v>
      </c>
      <c r="F76" s="151">
        <v>0</v>
      </c>
      <c r="G76" s="151">
        <v>0</v>
      </c>
      <c r="H76" s="209">
        <v>8405.92</v>
      </c>
      <c r="I76" s="151">
        <v>3053.78</v>
      </c>
      <c r="J76" s="151" t="s">
        <v>506</v>
      </c>
      <c r="K76" s="151">
        <v>1922.73</v>
      </c>
      <c r="L76" s="151" t="s">
        <v>144</v>
      </c>
      <c r="M76" s="151" t="s">
        <v>639</v>
      </c>
      <c r="N76" s="151">
        <v>0</v>
      </c>
      <c r="O76" s="151" t="s">
        <v>622</v>
      </c>
      <c r="P76" s="151" t="s">
        <v>522</v>
      </c>
      <c r="Q76" s="151">
        <v>1</v>
      </c>
    </row>
    <row r="77" spans="1:17">
      <c r="A77" s="151" t="s">
        <v>640</v>
      </c>
      <c r="B77" s="151" t="s">
        <v>505</v>
      </c>
      <c r="C77" s="151" t="s">
        <v>144</v>
      </c>
      <c r="D77" s="151">
        <v>4</v>
      </c>
      <c r="E77" s="151">
        <v>0</v>
      </c>
      <c r="F77" s="151">
        <v>0</v>
      </c>
      <c r="G77" s="151">
        <v>0</v>
      </c>
      <c r="H77" s="209">
        <v>11067.59</v>
      </c>
      <c r="I77" s="151">
        <v>3563.1</v>
      </c>
      <c r="J77" s="151" t="s">
        <v>506</v>
      </c>
      <c r="K77" s="151">
        <v>1970.7</v>
      </c>
      <c r="L77" s="151" t="s">
        <v>144</v>
      </c>
      <c r="M77" s="151" t="s">
        <v>641</v>
      </c>
      <c r="N77" s="151">
        <v>0</v>
      </c>
      <c r="O77" s="151" t="s">
        <v>622</v>
      </c>
      <c r="P77" s="151" t="s">
        <v>522</v>
      </c>
      <c r="Q77" s="151">
        <v>0</v>
      </c>
    </row>
    <row r="78" spans="1:17">
      <c r="A78" s="151" t="s">
        <v>642</v>
      </c>
      <c r="B78" s="151" t="s">
        <v>505</v>
      </c>
      <c r="C78" s="151" t="s">
        <v>144</v>
      </c>
      <c r="D78" s="151">
        <v>1</v>
      </c>
      <c r="E78" s="151">
        <v>0</v>
      </c>
      <c r="F78" s="151">
        <v>0</v>
      </c>
      <c r="G78" s="151">
        <v>0</v>
      </c>
      <c r="H78" s="209">
        <v>3915.13</v>
      </c>
      <c r="I78" s="151">
        <v>3915.13</v>
      </c>
      <c r="J78" s="151" t="s">
        <v>506</v>
      </c>
      <c r="K78" s="151">
        <v>0</v>
      </c>
      <c r="L78" s="151" t="s">
        <v>144</v>
      </c>
      <c r="M78" s="151" t="s">
        <v>643</v>
      </c>
      <c r="N78" s="151">
        <v>0</v>
      </c>
      <c r="O78" s="151" t="s">
        <v>631</v>
      </c>
      <c r="P78" s="151" t="s">
        <v>522</v>
      </c>
      <c r="Q78" s="151">
        <v>0</v>
      </c>
    </row>
    <row r="79" spans="1:17">
      <c r="A79" s="151" t="s">
        <v>644</v>
      </c>
      <c r="B79" s="151" t="s">
        <v>505</v>
      </c>
      <c r="C79" s="151" t="s">
        <v>144</v>
      </c>
      <c r="D79" s="151">
        <v>0</v>
      </c>
      <c r="E79" s="151">
        <v>0</v>
      </c>
      <c r="F79" s="151">
        <v>0</v>
      </c>
      <c r="G79" s="151">
        <v>0</v>
      </c>
      <c r="H79" s="209">
        <v>0</v>
      </c>
      <c r="I79" s="151">
        <v>3333.05</v>
      </c>
      <c r="J79" s="151" t="s">
        <v>506</v>
      </c>
      <c r="K79" s="151">
        <v>0</v>
      </c>
      <c r="L79" s="151" t="s">
        <v>144</v>
      </c>
      <c r="M79" s="151" t="s">
        <v>645</v>
      </c>
      <c r="N79" s="151">
        <v>0</v>
      </c>
      <c r="O79" s="151" t="s">
        <v>646</v>
      </c>
      <c r="P79" s="151" t="s">
        <v>522</v>
      </c>
      <c r="Q79" s="151">
        <v>0</v>
      </c>
    </row>
    <row r="80" spans="1:17">
      <c r="A80" s="151" t="s">
        <v>647</v>
      </c>
      <c r="B80" s="151" t="s">
        <v>505</v>
      </c>
      <c r="C80" s="151" t="s">
        <v>144</v>
      </c>
      <c r="D80" s="151">
        <v>0</v>
      </c>
      <c r="E80" s="151">
        <v>0</v>
      </c>
      <c r="F80" s="151">
        <v>0</v>
      </c>
      <c r="G80" s="151">
        <v>0</v>
      </c>
      <c r="H80" s="209">
        <v>0</v>
      </c>
      <c r="I80" s="151">
        <v>0</v>
      </c>
      <c r="J80" s="151" t="s">
        <v>506</v>
      </c>
      <c r="K80" s="151">
        <v>3465.14</v>
      </c>
      <c r="L80" s="151" t="s">
        <v>144</v>
      </c>
      <c r="M80" s="151" t="s">
        <v>648</v>
      </c>
      <c r="N80" s="151">
        <v>0</v>
      </c>
      <c r="O80" s="151" t="s">
        <v>631</v>
      </c>
      <c r="P80" s="151" t="s">
        <v>522</v>
      </c>
      <c r="Q80" s="151">
        <v>0</v>
      </c>
    </row>
    <row r="81" spans="1:17">
      <c r="A81" s="151" t="s">
        <v>649</v>
      </c>
      <c r="B81" s="151" t="s">
        <v>505</v>
      </c>
      <c r="C81" s="151" t="s">
        <v>144</v>
      </c>
      <c r="D81" s="151">
        <v>1</v>
      </c>
      <c r="E81" s="151">
        <v>0</v>
      </c>
      <c r="F81" s="151">
        <v>0</v>
      </c>
      <c r="G81" s="151">
        <v>0</v>
      </c>
      <c r="H81" s="209">
        <v>3722.22</v>
      </c>
      <c r="I81" s="151">
        <v>3722.22</v>
      </c>
      <c r="J81" s="151" t="s">
        <v>506</v>
      </c>
      <c r="K81" s="151">
        <v>3722.22</v>
      </c>
      <c r="L81" s="151" t="s">
        <v>144</v>
      </c>
      <c r="M81" s="151" t="s">
        <v>650</v>
      </c>
      <c r="N81" s="151">
        <v>0</v>
      </c>
      <c r="O81" s="151" t="s">
        <v>622</v>
      </c>
      <c r="P81" s="151" t="s">
        <v>522</v>
      </c>
      <c r="Q81" s="151">
        <v>0</v>
      </c>
    </row>
    <row r="82" spans="1:17">
      <c r="A82" s="151" t="s">
        <v>651</v>
      </c>
      <c r="B82" s="151" t="s">
        <v>505</v>
      </c>
      <c r="C82" s="151" t="s">
        <v>144</v>
      </c>
      <c r="D82" s="151">
        <v>1</v>
      </c>
      <c r="E82" s="151">
        <v>0</v>
      </c>
      <c r="F82" s="151">
        <v>0</v>
      </c>
      <c r="G82" s="151">
        <v>0</v>
      </c>
      <c r="H82" s="209">
        <v>3997.26</v>
      </c>
      <c r="I82" s="151">
        <v>3997.26</v>
      </c>
      <c r="J82" s="151" t="s">
        <v>506</v>
      </c>
      <c r="K82" s="151">
        <v>3997.26</v>
      </c>
      <c r="L82" s="151" t="s">
        <v>144</v>
      </c>
      <c r="M82" s="151" t="s">
        <v>652</v>
      </c>
      <c r="N82" s="151">
        <v>0</v>
      </c>
      <c r="O82" s="151" t="s">
        <v>622</v>
      </c>
      <c r="P82" s="151" t="s">
        <v>522</v>
      </c>
      <c r="Q82" s="151">
        <v>0</v>
      </c>
    </row>
    <row r="83" spans="1:17">
      <c r="A83" s="151" t="s">
        <v>653</v>
      </c>
      <c r="B83" s="151" t="s">
        <v>524</v>
      </c>
      <c r="C83" s="151" t="s">
        <v>144</v>
      </c>
      <c r="D83" s="151">
        <v>35</v>
      </c>
      <c r="E83" s="151">
        <v>0</v>
      </c>
      <c r="F83" s="151">
        <v>0</v>
      </c>
      <c r="G83" s="151">
        <v>5</v>
      </c>
      <c r="H83" s="209">
        <v>354.79</v>
      </c>
      <c r="I83" s="151">
        <v>8.0299999999999994</v>
      </c>
      <c r="J83" s="151" t="s">
        <v>506</v>
      </c>
      <c r="K83" s="151">
        <v>27.724499999999999</v>
      </c>
      <c r="L83" s="151" t="s">
        <v>146</v>
      </c>
      <c r="M83" s="151" t="s">
        <v>654</v>
      </c>
      <c r="N83" s="151">
        <v>0</v>
      </c>
      <c r="O83" s="151" t="s">
        <v>655</v>
      </c>
      <c r="P83" s="151" t="s">
        <v>522</v>
      </c>
      <c r="Q83" s="151">
        <v>30</v>
      </c>
    </row>
    <row r="84" spans="1:17">
      <c r="A84" s="151" t="s">
        <v>656</v>
      </c>
      <c r="B84" s="151" t="s">
        <v>524</v>
      </c>
      <c r="C84" s="151" t="s">
        <v>144</v>
      </c>
      <c r="D84" s="151">
        <v>15</v>
      </c>
      <c r="E84" s="151">
        <v>0</v>
      </c>
      <c r="F84" s="151">
        <v>0</v>
      </c>
      <c r="G84" s="151">
        <v>6</v>
      </c>
      <c r="H84" s="209">
        <v>1418.9</v>
      </c>
      <c r="I84" s="151">
        <v>104.86</v>
      </c>
      <c r="J84" s="151" t="s">
        <v>506</v>
      </c>
      <c r="K84" s="151">
        <v>41.850999999999999</v>
      </c>
      <c r="L84" s="151" t="s">
        <v>145</v>
      </c>
      <c r="M84" s="151" t="s">
        <v>657</v>
      </c>
      <c r="N84" s="151">
        <v>0</v>
      </c>
      <c r="O84" s="151" t="s">
        <v>658</v>
      </c>
      <c r="P84" s="151" t="s">
        <v>522</v>
      </c>
      <c r="Q84" s="151">
        <v>15</v>
      </c>
    </row>
    <row r="85" spans="1:17">
      <c r="A85" s="151" t="s">
        <v>659</v>
      </c>
      <c r="B85" s="151" t="s">
        <v>524</v>
      </c>
      <c r="C85" s="151" t="s">
        <v>144</v>
      </c>
      <c r="D85" s="151">
        <v>23</v>
      </c>
      <c r="E85" s="151">
        <v>0</v>
      </c>
      <c r="F85" s="151">
        <v>0</v>
      </c>
      <c r="G85" s="151">
        <v>5</v>
      </c>
      <c r="H85" s="209">
        <v>1354.59</v>
      </c>
      <c r="I85" s="151">
        <v>58.85</v>
      </c>
      <c r="J85" s="151" t="s">
        <v>506</v>
      </c>
      <c r="K85" s="151">
        <v>27.245699999999999</v>
      </c>
      <c r="L85" s="151" t="s">
        <v>145</v>
      </c>
      <c r="M85" s="151" t="s">
        <v>660</v>
      </c>
      <c r="N85" s="151">
        <v>0</v>
      </c>
      <c r="O85" s="151" t="s">
        <v>661</v>
      </c>
      <c r="P85" s="151" t="s">
        <v>522</v>
      </c>
      <c r="Q85" s="151">
        <v>25</v>
      </c>
    </row>
    <row r="86" spans="1:17">
      <c r="A86" s="151" t="s">
        <v>662</v>
      </c>
      <c r="B86" s="151" t="s">
        <v>524</v>
      </c>
      <c r="C86" s="151" t="s">
        <v>144</v>
      </c>
      <c r="D86" s="151">
        <v>16</v>
      </c>
      <c r="E86" s="151">
        <v>0</v>
      </c>
      <c r="F86" s="151">
        <v>0</v>
      </c>
      <c r="G86" s="151">
        <v>6</v>
      </c>
      <c r="H86" s="209">
        <v>220.21</v>
      </c>
      <c r="I86" s="151">
        <v>15.52</v>
      </c>
      <c r="J86" s="151" t="s">
        <v>506</v>
      </c>
      <c r="K86" s="151">
        <v>8.9685000000000006</v>
      </c>
      <c r="L86" s="151" t="s">
        <v>146</v>
      </c>
      <c r="M86" s="151" t="s">
        <v>663</v>
      </c>
      <c r="N86" s="151">
        <v>0</v>
      </c>
      <c r="O86" s="151" t="s">
        <v>664</v>
      </c>
      <c r="P86" s="151" t="s">
        <v>522</v>
      </c>
      <c r="Q86" s="151">
        <v>16</v>
      </c>
    </row>
    <row r="87" spans="1:17">
      <c r="A87" s="151" t="s">
        <v>665</v>
      </c>
      <c r="B87" s="151" t="s">
        <v>524</v>
      </c>
      <c r="C87" s="151" t="s">
        <v>144</v>
      </c>
      <c r="D87" s="151">
        <v>16</v>
      </c>
      <c r="E87" s="151">
        <v>0</v>
      </c>
      <c r="F87" s="151">
        <v>0</v>
      </c>
      <c r="G87" s="151">
        <v>12</v>
      </c>
      <c r="H87" s="209">
        <v>784.32</v>
      </c>
      <c r="I87" s="151">
        <v>49.02</v>
      </c>
      <c r="J87" s="151" t="s">
        <v>506</v>
      </c>
      <c r="K87" s="151">
        <v>49.02</v>
      </c>
      <c r="L87" s="151" t="s">
        <v>146</v>
      </c>
      <c r="M87" s="151" t="s">
        <v>666</v>
      </c>
      <c r="N87" s="151">
        <v>0</v>
      </c>
      <c r="O87" s="151" t="s">
        <v>667</v>
      </c>
      <c r="P87" s="151" t="s">
        <v>522</v>
      </c>
      <c r="Q87" s="151">
        <v>24</v>
      </c>
    </row>
    <row r="88" spans="1:17">
      <c r="A88" s="151" t="s">
        <v>668</v>
      </c>
      <c r="B88" s="151" t="s">
        <v>524</v>
      </c>
      <c r="C88" s="151" t="s">
        <v>144</v>
      </c>
      <c r="D88" s="151">
        <v>17</v>
      </c>
      <c r="E88" s="151">
        <v>0</v>
      </c>
      <c r="F88" s="151">
        <v>0</v>
      </c>
      <c r="G88" s="151">
        <v>12</v>
      </c>
      <c r="H88" s="209">
        <v>514.30999999999995</v>
      </c>
      <c r="I88" s="151">
        <v>30.25</v>
      </c>
      <c r="J88" s="151" t="s">
        <v>506</v>
      </c>
      <c r="K88" s="151">
        <v>30.253299999999999</v>
      </c>
      <c r="L88" s="151" t="s">
        <v>146</v>
      </c>
      <c r="M88" s="151" t="s">
        <v>669</v>
      </c>
      <c r="N88" s="151">
        <v>0</v>
      </c>
      <c r="O88" s="151" t="s">
        <v>670</v>
      </c>
      <c r="P88" s="151" t="s">
        <v>522</v>
      </c>
      <c r="Q88" s="151">
        <v>24</v>
      </c>
    </row>
    <row r="89" spans="1:17">
      <c r="A89" s="151" t="s">
        <v>671</v>
      </c>
      <c r="B89" s="151" t="s">
        <v>524</v>
      </c>
      <c r="C89" s="151" t="s">
        <v>144</v>
      </c>
      <c r="D89" s="151">
        <v>15</v>
      </c>
      <c r="E89" s="151">
        <v>0</v>
      </c>
      <c r="F89" s="151">
        <v>0</v>
      </c>
      <c r="G89" s="151">
        <v>12</v>
      </c>
      <c r="H89" s="209">
        <v>352.2</v>
      </c>
      <c r="I89" s="151">
        <v>23.48</v>
      </c>
      <c r="J89" s="151" t="s">
        <v>506</v>
      </c>
      <c r="K89" s="151">
        <v>23.48</v>
      </c>
      <c r="L89" s="151" t="s">
        <v>144</v>
      </c>
      <c r="M89" s="151" t="s">
        <v>672</v>
      </c>
      <c r="N89" s="151">
        <v>0</v>
      </c>
      <c r="O89" s="151" t="s">
        <v>673</v>
      </c>
      <c r="P89" s="151" t="s">
        <v>522</v>
      </c>
      <c r="Q89" s="151">
        <v>24</v>
      </c>
    </row>
    <row r="90" spans="1:17">
      <c r="A90" s="151" t="s">
        <v>674</v>
      </c>
      <c r="B90" s="151" t="s">
        <v>524</v>
      </c>
      <c r="C90" s="151" t="s">
        <v>144</v>
      </c>
      <c r="D90" s="151">
        <v>7</v>
      </c>
      <c r="E90" s="151">
        <v>0</v>
      </c>
      <c r="F90" s="151">
        <v>0</v>
      </c>
      <c r="G90" s="151">
        <v>3</v>
      </c>
      <c r="H90" s="209">
        <v>269.77999999999997</v>
      </c>
      <c r="I90" s="151">
        <v>38.54</v>
      </c>
      <c r="J90" s="151" t="s">
        <v>506</v>
      </c>
      <c r="K90" s="151">
        <v>38.54</v>
      </c>
      <c r="L90" s="151" t="s">
        <v>144</v>
      </c>
      <c r="M90" s="151" t="s">
        <v>675</v>
      </c>
      <c r="N90" s="151">
        <v>0</v>
      </c>
      <c r="O90" s="151" t="s">
        <v>676</v>
      </c>
      <c r="P90" s="151" t="s">
        <v>522</v>
      </c>
      <c r="Q90" s="151">
        <v>6</v>
      </c>
    </row>
    <row r="91" spans="1:17">
      <c r="A91" s="151" t="s">
        <v>677</v>
      </c>
      <c r="B91" s="151" t="s">
        <v>524</v>
      </c>
      <c r="C91" s="151" t="s">
        <v>144</v>
      </c>
      <c r="D91" s="151">
        <v>17</v>
      </c>
      <c r="E91" s="151">
        <v>0</v>
      </c>
      <c r="F91" s="151">
        <v>0</v>
      </c>
      <c r="G91" s="151">
        <v>3</v>
      </c>
      <c r="H91" s="209">
        <v>238.68</v>
      </c>
      <c r="I91" s="151">
        <v>14.04</v>
      </c>
      <c r="J91" s="151" t="s">
        <v>506</v>
      </c>
      <c r="K91" s="151">
        <v>14.04</v>
      </c>
      <c r="L91" s="151" t="s">
        <v>146</v>
      </c>
      <c r="M91" s="151" t="s">
        <v>678</v>
      </c>
      <c r="N91" s="151">
        <v>0</v>
      </c>
      <c r="O91" s="151" t="s">
        <v>679</v>
      </c>
      <c r="P91" s="151" t="s">
        <v>522</v>
      </c>
      <c r="Q91" s="151">
        <v>9</v>
      </c>
    </row>
    <row r="92" spans="1:17">
      <c r="A92" s="151" t="s">
        <v>680</v>
      </c>
      <c r="B92" s="151" t="s">
        <v>524</v>
      </c>
      <c r="C92" s="151" t="s">
        <v>144</v>
      </c>
      <c r="D92" s="151">
        <v>5</v>
      </c>
      <c r="E92" s="151">
        <v>0</v>
      </c>
      <c r="F92" s="151">
        <v>0</v>
      </c>
      <c r="G92" s="151">
        <v>1</v>
      </c>
      <c r="H92" s="209">
        <v>299.14999999999998</v>
      </c>
      <c r="I92" s="151">
        <v>59.83</v>
      </c>
      <c r="J92" s="151" t="s">
        <v>506</v>
      </c>
      <c r="K92" s="151">
        <v>59.83</v>
      </c>
      <c r="L92" s="151" t="s">
        <v>146</v>
      </c>
      <c r="M92" s="151" t="s">
        <v>681</v>
      </c>
      <c r="N92" s="151">
        <v>0</v>
      </c>
      <c r="O92" s="151" t="s">
        <v>682</v>
      </c>
      <c r="P92" s="151" t="s">
        <v>522</v>
      </c>
      <c r="Q92" s="151">
        <v>4</v>
      </c>
    </row>
    <row r="93" spans="1:17">
      <c r="A93" s="151" t="s">
        <v>683</v>
      </c>
      <c r="B93" s="151" t="s">
        <v>524</v>
      </c>
      <c r="C93" s="151" t="s">
        <v>144</v>
      </c>
      <c r="D93" s="151">
        <v>6</v>
      </c>
      <c r="E93" s="151">
        <v>0</v>
      </c>
      <c r="F93" s="151">
        <v>0</v>
      </c>
      <c r="G93" s="151">
        <v>2</v>
      </c>
      <c r="H93" s="209">
        <v>58.38</v>
      </c>
      <c r="I93" s="151">
        <v>9.73</v>
      </c>
      <c r="J93" s="151" t="s">
        <v>506</v>
      </c>
      <c r="K93" s="151">
        <v>9.73</v>
      </c>
      <c r="L93" s="151" t="s">
        <v>147</v>
      </c>
      <c r="M93" s="151" t="s">
        <v>684</v>
      </c>
      <c r="N93" s="151">
        <v>0</v>
      </c>
      <c r="O93" s="151" t="s">
        <v>667</v>
      </c>
      <c r="P93" s="151" t="s">
        <v>522</v>
      </c>
      <c r="Q93" s="151">
        <v>5</v>
      </c>
    </row>
    <row r="94" spans="1:17">
      <c r="A94" s="151" t="s">
        <v>685</v>
      </c>
      <c r="B94" s="151" t="s">
        <v>524</v>
      </c>
      <c r="C94" s="151" t="s">
        <v>144</v>
      </c>
      <c r="D94" s="151">
        <v>35</v>
      </c>
      <c r="E94" s="151">
        <v>0</v>
      </c>
      <c r="F94" s="151">
        <v>0</v>
      </c>
      <c r="G94" s="151">
        <v>3</v>
      </c>
      <c r="H94" s="209">
        <v>10210.200000000001</v>
      </c>
      <c r="I94" s="151">
        <v>273.92</v>
      </c>
      <c r="J94" s="151" t="s">
        <v>506</v>
      </c>
      <c r="K94" s="151">
        <v>282.2</v>
      </c>
      <c r="L94" s="151" t="s">
        <v>144</v>
      </c>
      <c r="M94" s="151" t="s">
        <v>686</v>
      </c>
      <c r="N94" s="151">
        <v>0</v>
      </c>
      <c r="O94" s="151" t="s">
        <v>687</v>
      </c>
      <c r="P94" s="151" t="s">
        <v>522</v>
      </c>
      <c r="Q94" s="151">
        <v>6</v>
      </c>
    </row>
    <row r="95" spans="1:17">
      <c r="A95" s="151" t="s">
        <v>688</v>
      </c>
      <c r="B95" s="151" t="s">
        <v>505</v>
      </c>
      <c r="C95" s="151" t="s">
        <v>144</v>
      </c>
      <c r="D95" s="151">
        <v>6587</v>
      </c>
      <c r="E95" s="151">
        <v>0</v>
      </c>
      <c r="F95" s="151">
        <v>0</v>
      </c>
      <c r="G95" s="151">
        <v>5000</v>
      </c>
      <c r="H95" s="209">
        <v>4313.9799999999996</v>
      </c>
      <c r="I95" s="151">
        <v>0.65</v>
      </c>
      <c r="J95" s="151" t="s">
        <v>689</v>
      </c>
      <c r="K95" s="151">
        <v>0.65</v>
      </c>
      <c r="L95" s="151" t="s">
        <v>144</v>
      </c>
      <c r="M95" s="151" t="s">
        <v>690</v>
      </c>
      <c r="N95" s="151">
        <v>0</v>
      </c>
      <c r="O95" s="151" t="s">
        <v>691</v>
      </c>
      <c r="P95" s="151" t="s">
        <v>522</v>
      </c>
      <c r="Q95" s="151">
        <v>7500</v>
      </c>
    </row>
    <row r="96" spans="1:17">
      <c r="A96" s="151" t="s">
        <v>692</v>
      </c>
      <c r="B96" s="151" t="s">
        <v>505</v>
      </c>
      <c r="C96" s="151" t="s">
        <v>144</v>
      </c>
      <c r="D96" s="151">
        <v>7320</v>
      </c>
      <c r="E96" s="151">
        <v>0</v>
      </c>
      <c r="F96" s="151">
        <v>0</v>
      </c>
      <c r="G96" s="151">
        <v>2000</v>
      </c>
      <c r="H96" s="209">
        <v>10197.5</v>
      </c>
      <c r="I96" s="151">
        <v>1.39</v>
      </c>
      <c r="J96" s="151" t="s">
        <v>689</v>
      </c>
      <c r="K96" s="151">
        <v>1.39</v>
      </c>
      <c r="L96" s="151" t="s">
        <v>144</v>
      </c>
      <c r="M96" s="151" t="s">
        <v>693</v>
      </c>
      <c r="N96" s="151">
        <v>0</v>
      </c>
      <c r="O96" s="151" t="s">
        <v>694</v>
      </c>
      <c r="P96" s="151" t="s">
        <v>522</v>
      </c>
      <c r="Q96" s="151">
        <v>7000</v>
      </c>
    </row>
    <row r="97" spans="1:17">
      <c r="A97" s="151" t="s">
        <v>695</v>
      </c>
      <c r="B97" s="151" t="s">
        <v>505</v>
      </c>
      <c r="C97" s="151" t="s">
        <v>144</v>
      </c>
      <c r="D97" s="151">
        <v>2000</v>
      </c>
      <c r="E97" s="151">
        <v>0</v>
      </c>
      <c r="F97" s="151">
        <v>0</v>
      </c>
      <c r="G97" s="151">
        <v>500</v>
      </c>
      <c r="H97" s="209">
        <v>2802</v>
      </c>
      <c r="I97" s="151">
        <v>1.4</v>
      </c>
      <c r="J97" s="151" t="s">
        <v>689</v>
      </c>
      <c r="K97" s="151">
        <v>1.4</v>
      </c>
      <c r="L97" s="151" t="s">
        <v>144</v>
      </c>
      <c r="M97" s="151" t="s">
        <v>696</v>
      </c>
      <c r="N97" s="151">
        <v>0</v>
      </c>
      <c r="O97" s="151" t="s">
        <v>697</v>
      </c>
      <c r="P97" s="151" t="s">
        <v>522</v>
      </c>
      <c r="Q97" s="151">
        <v>2500</v>
      </c>
    </row>
    <row r="98" spans="1:17">
      <c r="A98" s="151" t="s">
        <v>698</v>
      </c>
      <c r="B98" s="151" t="s">
        <v>524</v>
      </c>
      <c r="C98" s="151" t="s">
        <v>144</v>
      </c>
      <c r="D98" s="151">
        <v>1630</v>
      </c>
      <c r="E98" s="151">
        <v>0</v>
      </c>
      <c r="F98" s="151">
        <v>0</v>
      </c>
      <c r="G98" s="151">
        <v>200</v>
      </c>
      <c r="H98" s="209">
        <v>691.31</v>
      </c>
      <c r="I98" s="151">
        <v>0.42</v>
      </c>
      <c r="J98" s="151" t="s">
        <v>689</v>
      </c>
      <c r="K98" s="151">
        <v>0.4269</v>
      </c>
      <c r="L98" s="151" t="s">
        <v>144</v>
      </c>
      <c r="M98" s="151" t="s">
        <v>699</v>
      </c>
      <c r="N98" s="151">
        <v>0</v>
      </c>
      <c r="O98" s="151" t="s">
        <v>700</v>
      </c>
      <c r="P98" s="151" t="s">
        <v>522</v>
      </c>
      <c r="Q98" s="151">
        <v>3200</v>
      </c>
    </row>
    <row r="99" spans="1:17">
      <c r="A99" s="151" t="s">
        <v>701</v>
      </c>
      <c r="B99" s="151" t="s">
        <v>524</v>
      </c>
      <c r="C99" s="151" t="s">
        <v>144</v>
      </c>
      <c r="D99" s="151">
        <v>2500</v>
      </c>
      <c r="E99" s="151">
        <v>0</v>
      </c>
      <c r="F99" s="151">
        <v>0</v>
      </c>
      <c r="G99" s="151">
        <v>500</v>
      </c>
      <c r="H99" s="209">
        <v>464.03</v>
      </c>
      <c r="I99" s="151">
        <v>0.19</v>
      </c>
      <c r="J99" s="151" t="s">
        <v>689</v>
      </c>
      <c r="K99" s="151">
        <v>0.18609999999999999</v>
      </c>
      <c r="L99" s="151" t="s">
        <v>144</v>
      </c>
      <c r="M99" s="151" t="s">
        <v>702</v>
      </c>
      <c r="N99" s="151">
        <v>0</v>
      </c>
      <c r="O99" s="151" t="s">
        <v>703</v>
      </c>
      <c r="P99" s="151" t="s">
        <v>522</v>
      </c>
      <c r="Q99" s="151">
        <v>1000</v>
      </c>
    </row>
    <row r="100" spans="1:17">
      <c r="A100" s="151" t="s">
        <v>704</v>
      </c>
      <c r="B100" s="151" t="s">
        <v>524</v>
      </c>
      <c r="C100" s="151" t="s">
        <v>144</v>
      </c>
      <c r="D100" s="151">
        <v>18</v>
      </c>
      <c r="E100" s="151">
        <v>0</v>
      </c>
      <c r="F100" s="151">
        <v>0</v>
      </c>
      <c r="G100" s="151">
        <v>0</v>
      </c>
      <c r="H100" s="209">
        <v>495</v>
      </c>
      <c r="I100" s="151">
        <v>0</v>
      </c>
      <c r="J100" s="151" t="s">
        <v>689</v>
      </c>
      <c r="K100" s="151">
        <v>27.47</v>
      </c>
      <c r="L100" s="151" t="s">
        <v>144</v>
      </c>
      <c r="M100" s="151" t="s">
        <v>705</v>
      </c>
      <c r="N100" s="151">
        <v>0</v>
      </c>
      <c r="O100" s="151" t="s">
        <v>706</v>
      </c>
      <c r="P100" s="151" t="s">
        <v>522</v>
      </c>
      <c r="Q100" s="151">
        <v>0</v>
      </c>
    </row>
    <row r="101" spans="1:17">
      <c r="A101" s="151" t="s">
        <v>707</v>
      </c>
      <c r="B101" s="151" t="s">
        <v>505</v>
      </c>
      <c r="C101" s="151" t="s">
        <v>144</v>
      </c>
      <c r="D101" s="151">
        <v>2</v>
      </c>
      <c r="E101" s="151">
        <v>0</v>
      </c>
      <c r="F101" s="151">
        <v>0</v>
      </c>
      <c r="G101" s="151">
        <v>0</v>
      </c>
      <c r="H101" s="209">
        <v>17001</v>
      </c>
      <c r="I101" s="151">
        <v>8500.5</v>
      </c>
      <c r="J101" s="151" t="s">
        <v>708</v>
      </c>
      <c r="K101" s="151">
        <v>8500.5</v>
      </c>
      <c r="L101" s="151" t="s">
        <v>144</v>
      </c>
      <c r="M101" s="151" t="s">
        <v>709</v>
      </c>
      <c r="N101" s="151">
        <v>0</v>
      </c>
      <c r="O101" s="151" t="s">
        <v>710</v>
      </c>
      <c r="P101" s="151" t="s">
        <v>522</v>
      </c>
      <c r="Q101" s="151">
        <v>1</v>
      </c>
    </row>
    <row r="102" spans="1:17">
      <c r="A102" s="151" t="s">
        <v>711</v>
      </c>
      <c r="B102" s="151" t="s">
        <v>524</v>
      </c>
      <c r="C102" s="151" t="s">
        <v>144</v>
      </c>
      <c r="D102" s="151">
        <v>1</v>
      </c>
      <c r="E102" s="151">
        <v>0</v>
      </c>
      <c r="F102" s="151">
        <v>0</v>
      </c>
      <c r="G102" s="151">
        <v>0</v>
      </c>
      <c r="H102" s="209">
        <v>1954.89</v>
      </c>
      <c r="I102" s="151">
        <v>1954.89</v>
      </c>
      <c r="J102" s="151" t="s">
        <v>506</v>
      </c>
      <c r="K102" s="151">
        <v>1954.89</v>
      </c>
      <c r="L102" s="151" t="s">
        <v>147</v>
      </c>
      <c r="M102" s="151" t="s">
        <v>712</v>
      </c>
      <c r="N102" s="151">
        <v>0</v>
      </c>
      <c r="O102" s="151" t="s">
        <v>713</v>
      </c>
      <c r="P102" s="151" t="s">
        <v>714</v>
      </c>
      <c r="Q102" s="151">
        <v>1</v>
      </c>
    </row>
    <row r="103" spans="1:17">
      <c r="A103" s="151" t="s">
        <v>715</v>
      </c>
      <c r="B103" s="151" t="s">
        <v>524</v>
      </c>
      <c r="C103" s="151" t="s">
        <v>144</v>
      </c>
      <c r="D103" s="151">
        <v>1</v>
      </c>
      <c r="E103" s="151">
        <v>0</v>
      </c>
      <c r="F103" s="151">
        <v>0</v>
      </c>
      <c r="G103" s="151">
        <v>0</v>
      </c>
      <c r="H103" s="209">
        <v>15</v>
      </c>
      <c r="I103" s="151">
        <v>15</v>
      </c>
      <c r="J103" s="151" t="s">
        <v>506</v>
      </c>
      <c r="K103" s="151">
        <v>15</v>
      </c>
      <c r="L103" s="151" t="s">
        <v>147</v>
      </c>
      <c r="M103" s="151" t="s">
        <v>716</v>
      </c>
      <c r="N103" s="151">
        <v>0</v>
      </c>
      <c r="O103" s="151" t="s">
        <v>717</v>
      </c>
      <c r="P103" s="151" t="s">
        <v>714</v>
      </c>
      <c r="Q103" s="151">
        <v>1</v>
      </c>
    </row>
    <row r="104" spans="1:17">
      <c r="A104" s="151" t="s">
        <v>718</v>
      </c>
      <c r="B104" s="151" t="s">
        <v>524</v>
      </c>
      <c r="C104" s="151" t="s">
        <v>144</v>
      </c>
      <c r="D104" s="151">
        <v>10</v>
      </c>
      <c r="E104" s="151">
        <v>0</v>
      </c>
      <c r="F104" s="151">
        <v>0</v>
      </c>
      <c r="G104" s="151">
        <v>2</v>
      </c>
      <c r="H104" s="209">
        <v>381.61</v>
      </c>
      <c r="I104" s="151">
        <v>39.06</v>
      </c>
      <c r="J104" s="151" t="s">
        <v>506</v>
      </c>
      <c r="K104" s="151">
        <v>32.796599999999998</v>
      </c>
      <c r="L104" s="151" t="s">
        <v>147</v>
      </c>
      <c r="M104" s="151" t="s">
        <v>719</v>
      </c>
      <c r="N104" s="151">
        <v>0</v>
      </c>
      <c r="O104" s="151" t="s">
        <v>720</v>
      </c>
      <c r="P104" s="151" t="s">
        <v>714</v>
      </c>
      <c r="Q104" s="151">
        <v>4</v>
      </c>
    </row>
    <row r="105" spans="1:17">
      <c r="A105" s="151" t="s">
        <v>721</v>
      </c>
      <c r="B105" s="151" t="s">
        <v>524</v>
      </c>
      <c r="C105" s="151" t="s">
        <v>144</v>
      </c>
      <c r="D105" s="151">
        <v>6</v>
      </c>
      <c r="E105" s="151">
        <v>0</v>
      </c>
      <c r="F105" s="151">
        <v>0</v>
      </c>
      <c r="G105" s="151">
        <v>1</v>
      </c>
      <c r="H105" s="209">
        <v>231.12</v>
      </c>
      <c r="I105" s="151">
        <v>38.520000000000003</v>
      </c>
      <c r="J105" s="151" t="s">
        <v>506</v>
      </c>
      <c r="K105" s="151">
        <v>38.520000000000003</v>
      </c>
      <c r="L105" s="151" t="s">
        <v>147</v>
      </c>
      <c r="M105" s="151" t="s">
        <v>722</v>
      </c>
      <c r="N105" s="151">
        <v>0</v>
      </c>
      <c r="O105" s="151" t="s">
        <v>720</v>
      </c>
      <c r="P105" s="151" t="s">
        <v>714</v>
      </c>
      <c r="Q105" s="151">
        <v>5</v>
      </c>
    </row>
    <row r="106" spans="1:17">
      <c r="A106" s="151" t="s">
        <v>723</v>
      </c>
      <c r="B106" s="151" t="s">
        <v>524</v>
      </c>
      <c r="C106" s="151" t="s">
        <v>144</v>
      </c>
      <c r="D106" s="151">
        <v>4</v>
      </c>
      <c r="E106" s="151">
        <v>0</v>
      </c>
      <c r="F106" s="151">
        <v>0</v>
      </c>
      <c r="G106" s="151">
        <v>0</v>
      </c>
      <c r="H106" s="209">
        <v>235.4</v>
      </c>
      <c r="I106" s="151">
        <v>58.85</v>
      </c>
      <c r="J106" s="151" t="s">
        <v>506</v>
      </c>
      <c r="K106" s="151">
        <v>58.85</v>
      </c>
      <c r="L106" s="151" t="s">
        <v>147</v>
      </c>
      <c r="M106" s="151" t="s">
        <v>724</v>
      </c>
      <c r="N106" s="151">
        <v>0</v>
      </c>
      <c r="O106" s="151" t="s">
        <v>720</v>
      </c>
      <c r="P106" s="151" t="s">
        <v>714</v>
      </c>
      <c r="Q106" s="151">
        <v>2</v>
      </c>
    </row>
    <row r="107" spans="1:17">
      <c r="A107" s="151" t="s">
        <v>725</v>
      </c>
      <c r="B107" s="151" t="s">
        <v>524</v>
      </c>
      <c r="C107" s="151" t="s">
        <v>144</v>
      </c>
      <c r="D107" s="151">
        <v>2</v>
      </c>
      <c r="E107" s="151">
        <v>0</v>
      </c>
      <c r="F107" s="151">
        <v>0</v>
      </c>
      <c r="G107" s="151">
        <v>0</v>
      </c>
      <c r="H107" s="209">
        <v>76</v>
      </c>
      <c r="I107" s="151">
        <v>38</v>
      </c>
      <c r="J107" s="151" t="s">
        <v>506</v>
      </c>
      <c r="K107" s="151">
        <v>38</v>
      </c>
      <c r="L107" s="151" t="s">
        <v>147</v>
      </c>
      <c r="M107" s="151" t="s">
        <v>726</v>
      </c>
      <c r="N107" s="151">
        <v>0</v>
      </c>
      <c r="O107" s="151" t="s">
        <v>720</v>
      </c>
      <c r="P107" s="151" t="s">
        <v>714</v>
      </c>
      <c r="Q107" s="151">
        <v>2</v>
      </c>
    </row>
    <row r="108" spans="1:17">
      <c r="A108" s="151" t="s">
        <v>727</v>
      </c>
      <c r="B108" s="151" t="s">
        <v>524</v>
      </c>
      <c r="C108" s="151" t="s">
        <v>144</v>
      </c>
      <c r="D108" s="151">
        <v>1</v>
      </c>
      <c r="E108" s="151">
        <v>0</v>
      </c>
      <c r="F108" s="151">
        <v>0</v>
      </c>
      <c r="G108" s="151">
        <v>0</v>
      </c>
      <c r="H108" s="209">
        <v>954.98</v>
      </c>
      <c r="I108" s="151">
        <v>954.98</v>
      </c>
      <c r="J108" s="151" t="s">
        <v>506</v>
      </c>
      <c r="K108" s="151">
        <v>954.97500000000002</v>
      </c>
      <c r="L108" s="151" t="s">
        <v>147</v>
      </c>
      <c r="M108" s="151" t="s">
        <v>728</v>
      </c>
      <c r="N108" s="151">
        <v>0</v>
      </c>
      <c r="O108" s="151" t="s">
        <v>729</v>
      </c>
      <c r="P108" s="151" t="s">
        <v>714</v>
      </c>
      <c r="Q108" s="151">
        <v>1</v>
      </c>
    </row>
    <row r="109" spans="1:17">
      <c r="A109" s="151" t="s">
        <v>730</v>
      </c>
      <c r="B109" s="151" t="s">
        <v>524</v>
      </c>
      <c r="C109" s="151" t="s">
        <v>144</v>
      </c>
      <c r="D109" s="151">
        <v>1</v>
      </c>
      <c r="E109" s="151">
        <v>0</v>
      </c>
      <c r="F109" s="151">
        <v>0</v>
      </c>
      <c r="G109" s="151">
        <v>0</v>
      </c>
      <c r="H109" s="209">
        <v>1093.54</v>
      </c>
      <c r="I109" s="151">
        <v>1093.54</v>
      </c>
      <c r="J109" s="151" t="s">
        <v>506</v>
      </c>
      <c r="K109" s="151">
        <v>1093.54</v>
      </c>
      <c r="L109" s="151" t="s">
        <v>147</v>
      </c>
      <c r="M109" s="151" t="s">
        <v>731</v>
      </c>
      <c r="N109" s="151">
        <v>0</v>
      </c>
      <c r="O109" s="151" t="s">
        <v>729</v>
      </c>
      <c r="P109" s="151" t="s">
        <v>714</v>
      </c>
      <c r="Q109" s="151">
        <v>1</v>
      </c>
    </row>
    <row r="110" spans="1:17">
      <c r="A110" s="151" t="s">
        <v>732</v>
      </c>
      <c r="B110" s="151" t="s">
        <v>524</v>
      </c>
      <c r="C110" s="151" t="s">
        <v>144</v>
      </c>
      <c r="D110" s="151">
        <v>1</v>
      </c>
      <c r="E110" s="151">
        <v>0</v>
      </c>
      <c r="F110" s="151">
        <v>0</v>
      </c>
      <c r="G110" s="151">
        <v>0</v>
      </c>
      <c r="H110" s="209">
        <v>27.5</v>
      </c>
      <c r="I110" s="151">
        <v>27.5</v>
      </c>
      <c r="J110" s="151" t="s">
        <v>506</v>
      </c>
      <c r="K110" s="151">
        <v>27.5</v>
      </c>
      <c r="L110" s="151" t="s">
        <v>147</v>
      </c>
      <c r="M110" s="151" t="s">
        <v>733</v>
      </c>
      <c r="N110" s="151">
        <v>0</v>
      </c>
      <c r="O110" s="151" t="s">
        <v>720</v>
      </c>
      <c r="P110" s="151" t="s">
        <v>714</v>
      </c>
      <c r="Q110" s="151">
        <v>1</v>
      </c>
    </row>
    <row r="111" spans="1:17">
      <c r="A111" s="151" t="s">
        <v>734</v>
      </c>
      <c r="B111" s="151" t="s">
        <v>524</v>
      </c>
      <c r="C111" s="151" t="s">
        <v>144</v>
      </c>
      <c r="D111" s="151">
        <v>1</v>
      </c>
      <c r="E111" s="151">
        <v>0</v>
      </c>
      <c r="F111" s="151">
        <v>0</v>
      </c>
      <c r="G111" s="151">
        <v>0</v>
      </c>
      <c r="H111" s="209">
        <v>265.36</v>
      </c>
      <c r="I111" s="151">
        <v>265.36</v>
      </c>
      <c r="J111" s="151" t="s">
        <v>506</v>
      </c>
      <c r="K111" s="151">
        <v>212</v>
      </c>
      <c r="L111" s="151" t="s">
        <v>147</v>
      </c>
      <c r="M111" s="151" t="s">
        <v>735</v>
      </c>
      <c r="N111" s="151">
        <v>0</v>
      </c>
      <c r="O111" s="151" t="s">
        <v>736</v>
      </c>
      <c r="P111" s="151" t="s">
        <v>714</v>
      </c>
      <c r="Q111" s="151">
        <v>1</v>
      </c>
    </row>
    <row r="112" spans="1:17">
      <c r="A112" s="151" t="s">
        <v>737</v>
      </c>
      <c r="B112" s="151" t="s">
        <v>524</v>
      </c>
      <c r="C112" s="151" t="s">
        <v>144</v>
      </c>
      <c r="D112" s="151">
        <v>1</v>
      </c>
      <c r="E112" s="151">
        <v>0</v>
      </c>
      <c r="F112" s="151">
        <v>0</v>
      </c>
      <c r="G112" s="151">
        <v>0</v>
      </c>
      <c r="H112" s="209">
        <v>265.36</v>
      </c>
      <c r="I112" s="151">
        <v>265.36</v>
      </c>
      <c r="J112" s="151" t="s">
        <v>506</v>
      </c>
      <c r="K112" s="151">
        <v>212</v>
      </c>
      <c r="L112" s="151" t="s">
        <v>147</v>
      </c>
      <c r="M112" s="151" t="s">
        <v>738</v>
      </c>
      <c r="N112" s="151">
        <v>0</v>
      </c>
      <c r="O112" s="151" t="s">
        <v>736</v>
      </c>
      <c r="P112" s="151" t="s">
        <v>714</v>
      </c>
      <c r="Q112" s="151">
        <v>1</v>
      </c>
    </row>
    <row r="113" spans="1:17">
      <c r="A113" s="151" t="s">
        <v>739</v>
      </c>
      <c r="B113" s="151" t="s">
        <v>524</v>
      </c>
      <c r="C113" s="151" t="s">
        <v>144</v>
      </c>
      <c r="D113" s="151">
        <v>1</v>
      </c>
      <c r="E113" s="151">
        <v>0</v>
      </c>
      <c r="F113" s="151">
        <v>0</v>
      </c>
      <c r="G113" s="151">
        <v>0</v>
      </c>
      <c r="H113" s="209">
        <v>80</v>
      </c>
      <c r="I113" s="151">
        <v>80</v>
      </c>
      <c r="J113" s="151" t="s">
        <v>506</v>
      </c>
      <c r="K113" s="151">
        <v>80</v>
      </c>
      <c r="L113" s="151" t="s">
        <v>147</v>
      </c>
      <c r="M113" s="151" t="s">
        <v>740</v>
      </c>
      <c r="N113" s="151">
        <v>0</v>
      </c>
      <c r="O113" s="151" t="s">
        <v>720</v>
      </c>
      <c r="P113" s="151" t="s">
        <v>714</v>
      </c>
      <c r="Q113" s="151">
        <v>1</v>
      </c>
    </row>
    <row r="114" spans="1:17">
      <c r="A114" s="151" t="s">
        <v>741</v>
      </c>
      <c r="B114" s="151" t="s">
        <v>524</v>
      </c>
      <c r="C114" s="151" t="s">
        <v>144</v>
      </c>
      <c r="D114" s="151">
        <v>1</v>
      </c>
      <c r="E114" s="151">
        <v>0</v>
      </c>
      <c r="F114" s="151">
        <v>0</v>
      </c>
      <c r="G114" s="151">
        <v>0</v>
      </c>
      <c r="H114" s="209">
        <v>530</v>
      </c>
      <c r="I114" s="151">
        <v>530</v>
      </c>
      <c r="J114" s="151" t="s">
        <v>506</v>
      </c>
      <c r="K114" s="151">
        <v>530</v>
      </c>
      <c r="L114" s="151" t="s">
        <v>147</v>
      </c>
      <c r="M114" s="151" t="s">
        <v>742</v>
      </c>
      <c r="N114" s="151">
        <v>0</v>
      </c>
      <c r="O114" s="151" t="s">
        <v>743</v>
      </c>
      <c r="P114" s="151" t="s">
        <v>714</v>
      </c>
      <c r="Q114" s="151">
        <v>0</v>
      </c>
    </row>
    <row r="115" spans="1:17">
      <c r="A115" s="151" t="s">
        <v>744</v>
      </c>
      <c r="B115" s="151" t="s">
        <v>524</v>
      </c>
      <c r="C115" s="151" t="s">
        <v>144</v>
      </c>
      <c r="D115" s="151">
        <v>2</v>
      </c>
      <c r="E115" s="151">
        <v>0</v>
      </c>
      <c r="F115" s="151">
        <v>0</v>
      </c>
      <c r="G115" s="151">
        <v>0</v>
      </c>
      <c r="H115" s="209">
        <v>14.6</v>
      </c>
      <c r="I115" s="151">
        <v>7.3</v>
      </c>
      <c r="J115" s="151" t="s">
        <v>506</v>
      </c>
      <c r="K115" s="151">
        <v>7.3</v>
      </c>
      <c r="L115" s="151" t="s">
        <v>147</v>
      </c>
      <c r="M115" s="151" t="s">
        <v>745</v>
      </c>
      <c r="N115" s="151">
        <v>0</v>
      </c>
      <c r="O115" s="151" t="s">
        <v>746</v>
      </c>
      <c r="P115" s="151" t="s">
        <v>714</v>
      </c>
      <c r="Q115" s="151">
        <v>1</v>
      </c>
    </row>
    <row r="116" spans="1:17">
      <c r="A116" s="151" t="s">
        <v>747</v>
      </c>
      <c r="B116" s="151" t="s">
        <v>524</v>
      </c>
      <c r="C116" s="151" t="s">
        <v>144</v>
      </c>
      <c r="D116" s="151">
        <v>1</v>
      </c>
      <c r="E116" s="151">
        <v>0</v>
      </c>
      <c r="F116" s="151">
        <v>0</v>
      </c>
      <c r="G116" s="151">
        <v>0</v>
      </c>
      <c r="H116" s="209">
        <v>5538.5</v>
      </c>
      <c r="I116" s="151">
        <v>5538.5</v>
      </c>
      <c r="J116" s="151" t="s">
        <v>506</v>
      </c>
      <c r="K116" s="151">
        <v>5538.5</v>
      </c>
      <c r="L116" s="151" t="s">
        <v>147</v>
      </c>
      <c r="M116" s="151" t="s">
        <v>748</v>
      </c>
      <c r="N116" s="151">
        <v>0</v>
      </c>
      <c r="O116" s="151" t="s">
        <v>749</v>
      </c>
      <c r="P116" s="151" t="s">
        <v>714</v>
      </c>
      <c r="Q116" s="151">
        <v>1</v>
      </c>
    </row>
    <row r="117" spans="1:17">
      <c r="A117" s="151" t="s">
        <v>750</v>
      </c>
      <c r="B117" s="151" t="s">
        <v>524</v>
      </c>
      <c r="C117" s="151" t="s">
        <v>144</v>
      </c>
      <c r="D117" s="151">
        <v>1</v>
      </c>
      <c r="E117" s="151">
        <v>0</v>
      </c>
      <c r="F117" s="151">
        <v>0</v>
      </c>
      <c r="G117" s="151">
        <v>0</v>
      </c>
      <c r="H117" s="209">
        <v>80.25</v>
      </c>
      <c r="I117" s="151">
        <v>80.25</v>
      </c>
      <c r="J117" s="151" t="s">
        <v>506</v>
      </c>
      <c r="K117" s="151">
        <v>80.25</v>
      </c>
      <c r="L117" s="151" t="s">
        <v>147</v>
      </c>
      <c r="M117" s="151" t="s">
        <v>751</v>
      </c>
      <c r="N117" s="151">
        <v>0</v>
      </c>
      <c r="O117" s="151" t="s">
        <v>752</v>
      </c>
      <c r="P117" s="151" t="s">
        <v>714</v>
      </c>
      <c r="Q117" s="151">
        <v>1</v>
      </c>
    </row>
    <row r="118" spans="1:17">
      <c r="A118" s="151" t="s">
        <v>753</v>
      </c>
      <c r="B118" s="151" t="s">
        <v>524</v>
      </c>
      <c r="C118" s="151" t="s">
        <v>144</v>
      </c>
      <c r="D118" s="151">
        <v>65</v>
      </c>
      <c r="E118" s="151">
        <v>0</v>
      </c>
      <c r="F118" s="151">
        <v>0</v>
      </c>
      <c r="G118" s="151">
        <v>11</v>
      </c>
      <c r="H118" s="209">
        <v>266.5</v>
      </c>
      <c r="I118" s="151">
        <v>4.0999999999999996</v>
      </c>
      <c r="J118" s="151" t="s">
        <v>506</v>
      </c>
      <c r="K118" s="151">
        <v>3.83</v>
      </c>
      <c r="L118" s="151" t="s">
        <v>147</v>
      </c>
      <c r="M118" s="151" t="s">
        <v>754</v>
      </c>
      <c r="N118" s="151">
        <v>0</v>
      </c>
      <c r="O118" s="151" t="s">
        <v>755</v>
      </c>
      <c r="P118" s="151" t="s">
        <v>522</v>
      </c>
      <c r="Q118" s="151">
        <v>12</v>
      </c>
    </row>
    <row r="119" spans="1:17">
      <c r="A119" s="151" t="s">
        <v>756</v>
      </c>
      <c r="B119" s="151" t="s">
        <v>524</v>
      </c>
      <c r="C119" s="151" t="s">
        <v>144</v>
      </c>
      <c r="D119" s="151">
        <v>71</v>
      </c>
      <c r="E119" s="151">
        <v>0</v>
      </c>
      <c r="F119" s="151">
        <v>0</v>
      </c>
      <c r="G119" s="151">
        <v>47</v>
      </c>
      <c r="H119" s="209">
        <v>111.47</v>
      </c>
      <c r="I119" s="151">
        <v>1.57</v>
      </c>
      <c r="J119" s="151" t="s">
        <v>506</v>
      </c>
      <c r="K119" s="151">
        <v>0</v>
      </c>
      <c r="L119" s="151" t="s">
        <v>147</v>
      </c>
      <c r="M119" s="151" t="s">
        <v>757</v>
      </c>
      <c r="N119" s="151">
        <v>0</v>
      </c>
      <c r="O119" s="151" t="s">
        <v>755</v>
      </c>
      <c r="P119" s="151" t="s">
        <v>522</v>
      </c>
      <c r="Q119" s="151">
        <v>48</v>
      </c>
    </row>
    <row r="120" spans="1:17">
      <c r="A120" s="151" t="s">
        <v>758</v>
      </c>
      <c r="B120" s="151" t="e">
        <v>#N/A</v>
      </c>
      <c r="C120" s="151" t="s">
        <v>144</v>
      </c>
      <c r="D120" s="151">
        <v>13</v>
      </c>
      <c r="E120" s="151">
        <v>0</v>
      </c>
      <c r="F120" s="151">
        <v>0</v>
      </c>
      <c r="G120" s="151"/>
      <c r="H120" s="209">
        <v>0</v>
      </c>
      <c r="I120" s="151">
        <v>0</v>
      </c>
      <c r="J120" s="151" t="s">
        <v>506</v>
      </c>
      <c r="K120" s="151">
        <v>0</v>
      </c>
      <c r="L120" s="151" t="s">
        <v>147</v>
      </c>
      <c r="M120" s="151" t="s">
        <v>759</v>
      </c>
      <c r="N120" s="151">
        <v>0</v>
      </c>
      <c r="O120" s="151" t="s">
        <v>760</v>
      </c>
      <c r="P120" s="151" t="s">
        <v>522</v>
      </c>
      <c r="Q120" s="151"/>
    </row>
    <row r="121" spans="1:17">
      <c r="A121" s="151" t="s">
        <v>761</v>
      </c>
      <c r="B121" s="151" t="s">
        <v>524</v>
      </c>
      <c r="C121" s="151" t="s">
        <v>144</v>
      </c>
      <c r="D121" s="151">
        <v>1</v>
      </c>
      <c r="E121" s="151">
        <v>0</v>
      </c>
      <c r="F121" s="151">
        <v>0</v>
      </c>
      <c r="G121" s="151">
        <v>0</v>
      </c>
      <c r="H121" s="209">
        <v>385.2</v>
      </c>
      <c r="I121" s="151">
        <v>385.2</v>
      </c>
      <c r="J121" s="151" t="s">
        <v>506</v>
      </c>
      <c r="K121" s="151">
        <v>53.4</v>
      </c>
      <c r="L121" s="151" t="s">
        <v>147</v>
      </c>
      <c r="M121" s="151" t="s">
        <v>762</v>
      </c>
      <c r="N121" s="151">
        <v>0</v>
      </c>
      <c r="O121" s="151" t="s">
        <v>763</v>
      </c>
      <c r="P121" s="151" t="s">
        <v>714</v>
      </c>
      <c r="Q121" s="151">
        <v>1</v>
      </c>
    </row>
    <row r="122" spans="1:17">
      <c r="A122" s="151" t="s">
        <v>764</v>
      </c>
      <c r="B122" s="151" t="s">
        <v>524</v>
      </c>
      <c r="C122" s="151" t="s">
        <v>144</v>
      </c>
      <c r="D122" s="151">
        <v>2</v>
      </c>
      <c r="E122" s="151">
        <v>0</v>
      </c>
      <c r="F122" s="151">
        <v>0</v>
      </c>
      <c r="G122" s="151">
        <v>0</v>
      </c>
      <c r="H122" s="209">
        <v>216</v>
      </c>
      <c r="I122" s="151">
        <v>108</v>
      </c>
      <c r="J122" s="151" t="s">
        <v>506</v>
      </c>
      <c r="K122" s="151">
        <v>108</v>
      </c>
      <c r="L122" s="151" t="s">
        <v>147</v>
      </c>
      <c r="M122" s="151" t="s">
        <v>765</v>
      </c>
      <c r="N122" s="151">
        <v>0</v>
      </c>
      <c r="O122" s="151" t="s">
        <v>763</v>
      </c>
      <c r="P122" s="151" t="s">
        <v>714</v>
      </c>
      <c r="Q122" s="151">
        <v>1</v>
      </c>
    </row>
    <row r="123" spans="1:17">
      <c r="A123" s="151" t="s">
        <v>766</v>
      </c>
      <c r="B123" s="151" t="s">
        <v>524</v>
      </c>
      <c r="C123" s="151" t="s">
        <v>144</v>
      </c>
      <c r="D123" s="151">
        <v>1</v>
      </c>
      <c r="E123" s="151">
        <v>0</v>
      </c>
      <c r="F123" s="151">
        <v>0</v>
      </c>
      <c r="G123" s="151">
        <v>0</v>
      </c>
      <c r="H123" s="209">
        <v>1.68</v>
      </c>
      <c r="I123" s="151">
        <v>1.68</v>
      </c>
      <c r="J123" s="151" t="s">
        <v>506</v>
      </c>
      <c r="K123" s="151">
        <v>1.68</v>
      </c>
      <c r="L123" s="151" t="s">
        <v>147</v>
      </c>
      <c r="M123" s="151" t="s">
        <v>767</v>
      </c>
      <c r="N123" s="151">
        <v>0</v>
      </c>
      <c r="O123" s="151" t="s">
        <v>763</v>
      </c>
      <c r="P123" s="151" t="s">
        <v>714</v>
      </c>
      <c r="Q123" s="151">
        <v>5</v>
      </c>
    </row>
    <row r="124" spans="1:17">
      <c r="A124" s="151" t="s">
        <v>768</v>
      </c>
      <c r="B124" s="151" t="s">
        <v>524</v>
      </c>
      <c r="C124" s="151" t="s">
        <v>144</v>
      </c>
      <c r="D124" s="151">
        <v>12</v>
      </c>
      <c r="E124" s="151">
        <v>0</v>
      </c>
      <c r="F124" s="151">
        <v>0</v>
      </c>
      <c r="G124" s="151">
        <v>0</v>
      </c>
      <c r="H124" s="209">
        <v>42.6</v>
      </c>
      <c r="I124" s="151">
        <v>3.55</v>
      </c>
      <c r="J124" s="151" t="s">
        <v>506</v>
      </c>
      <c r="K124" s="151">
        <v>3.55</v>
      </c>
      <c r="L124" s="151" t="s">
        <v>147</v>
      </c>
      <c r="M124" s="151" t="s">
        <v>769</v>
      </c>
      <c r="N124" s="151">
        <v>0</v>
      </c>
      <c r="O124" s="151" t="s">
        <v>763</v>
      </c>
      <c r="P124" s="151" t="s">
        <v>714</v>
      </c>
      <c r="Q124" s="151">
        <v>2</v>
      </c>
    </row>
    <row r="125" spans="1:17">
      <c r="A125" s="151" t="s">
        <v>770</v>
      </c>
      <c r="B125" s="151" t="s">
        <v>524</v>
      </c>
      <c r="C125" s="151" t="s">
        <v>144</v>
      </c>
      <c r="D125" s="151">
        <v>1</v>
      </c>
      <c r="E125" s="151">
        <v>0</v>
      </c>
      <c r="F125" s="151">
        <v>0</v>
      </c>
      <c r="G125" s="151">
        <v>0</v>
      </c>
      <c r="H125" s="209">
        <v>2.38</v>
      </c>
      <c r="I125" s="151">
        <v>2.38</v>
      </c>
      <c r="J125" s="151" t="s">
        <v>506</v>
      </c>
      <c r="K125" s="151">
        <v>2.38</v>
      </c>
      <c r="L125" s="151" t="s">
        <v>147</v>
      </c>
      <c r="M125" s="151" t="s">
        <v>771</v>
      </c>
      <c r="N125" s="151">
        <v>0</v>
      </c>
      <c r="O125" s="151" t="s">
        <v>763</v>
      </c>
      <c r="P125" s="151" t="s">
        <v>714</v>
      </c>
      <c r="Q125" s="151">
        <v>1</v>
      </c>
    </row>
    <row r="126" spans="1:17">
      <c r="A126" s="151" t="s">
        <v>772</v>
      </c>
      <c r="B126" s="151" t="s">
        <v>524</v>
      </c>
      <c r="C126" s="151" t="s">
        <v>144</v>
      </c>
      <c r="D126" s="151">
        <v>14</v>
      </c>
      <c r="E126" s="151">
        <v>0</v>
      </c>
      <c r="F126" s="151">
        <v>0</v>
      </c>
      <c r="G126" s="151">
        <v>0</v>
      </c>
      <c r="H126" s="209">
        <v>35.840000000000003</v>
      </c>
      <c r="I126" s="151">
        <v>2.56</v>
      </c>
      <c r="J126" s="151" t="s">
        <v>506</v>
      </c>
      <c r="K126" s="151">
        <v>2.56</v>
      </c>
      <c r="L126" s="151" t="s">
        <v>147</v>
      </c>
      <c r="M126" s="151" t="s">
        <v>773</v>
      </c>
      <c r="N126" s="151">
        <v>0</v>
      </c>
      <c r="O126" s="151" t="s">
        <v>763</v>
      </c>
      <c r="P126" s="151" t="s">
        <v>714</v>
      </c>
      <c r="Q126" s="151">
        <v>2</v>
      </c>
    </row>
    <row r="127" spans="1:17">
      <c r="A127" s="151" t="s">
        <v>774</v>
      </c>
      <c r="B127" s="151" t="s">
        <v>524</v>
      </c>
      <c r="C127" s="151" t="s">
        <v>144</v>
      </c>
      <c r="D127" s="151">
        <v>1</v>
      </c>
      <c r="E127" s="151">
        <v>0</v>
      </c>
      <c r="F127" s="151">
        <v>0</v>
      </c>
      <c r="G127" s="151">
        <v>0</v>
      </c>
      <c r="H127" s="209">
        <v>4745</v>
      </c>
      <c r="I127" s="151">
        <v>0</v>
      </c>
      <c r="J127" s="151" t="s">
        <v>506</v>
      </c>
      <c r="K127" s="151">
        <v>4745</v>
      </c>
      <c r="L127" s="151" t="s">
        <v>147</v>
      </c>
      <c r="M127" s="151" t="s">
        <v>775</v>
      </c>
      <c r="N127" s="151">
        <v>0</v>
      </c>
      <c r="O127" s="151" t="s">
        <v>776</v>
      </c>
      <c r="P127" s="151" t="s">
        <v>714</v>
      </c>
      <c r="Q127" s="151">
        <v>0</v>
      </c>
    </row>
    <row r="128" spans="1:17">
      <c r="A128" s="151" t="s">
        <v>777</v>
      </c>
      <c r="B128" s="151" t="s">
        <v>524</v>
      </c>
      <c r="C128" s="151" t="s">
        <v>144</v>
      </c>
      <c r="D128" s="151">
        <v>4</v>
      </c>
      <c r="E128" s="151">
        <v>0</v>
      </c>
      <c r="F128" s="151">
        <v>0</v>
      </c>
      <c r="G128" s="151">
        <v>0</v>
      </c>
      <c r="H128" s="209">
        <v>100</v>
      </c>
      <c r="I128" s="151">
        <v>25</v>
      </c>
      <c r="J128" s="151" t="s">
        <v>506</v>
      </c>
      <c r="K128" s="151">
        <v>25</v>
      </c>
      <c r="L128" s="151" t="s">
        <v>147</v>
      </c>
      <c r="M128" s="151" t="s">
        <v>778</v>
      </c>
      <c r="N128" s="151">
        <v>0</v>
      </c>
      <c r="O128" s="151" t="s">
        <v>763</v>
      </c>
      <c r="P128" s="151" t="s">
        <v>714</v>
      </c>
      <c r="Q128" s="151">
        <v>2</v>
      </c>
    </row>
    <row r="129" spans="1:17">
      <c r="A129" s="151" t="s">
        <v>779</v>
      </c>
      <c r="B129" s="151" t="s">
        <v>524</v>
      </c>
      <c r="C129" s="151" t="s">
        <v>144</v>
      </c>
      <c r="D129" s="151">
        <v>1</v>
      </c>
      <c r="E129" s="151">
        <v>0</v>
      </c>
      <c r="F129" s="151">
        <v>0</v>
      </c>
      <c r="G129" s="151">
        <v>0</v>
      </c>
      <c r="H129" s="209">
        <v>15375</v>
      </c>
      <c r="I129" s="151">
        <v>15375</v>
      </c>
      <c r="J129" s="151" t="s">
        <v>506</v>
      </c>
      <c r="K129" s="151">
        <v>15375</v>
      </c>
      <c r="L129" s="151" t="s">
        <v>147</v>
      </c>
      <c r="M129" s="151" t="s">
        <v>780</v>
      </c>
      <c r="N129" s="151">
        <v>0</v>
      </c>
      <c r="O129" s="151" t="s">
        <v>781</v>
      </c>
      <c r="P129" s="151" t="s">
        <v>714</v>
      </c>
      <c r="Q129" s="151">
        <v>1</v>
      </c>
    </row>
    <row r="130" spans="1:17">
      <c r="A130" s="151" t="s">
        <v>782</v>
      </c>
      <c r="B130" s="151" t="s">
        <v>524</v>
      </c>
      <c r="C130" s="151" t="s">
        <v>144</v>
      </c>
      <c r="D130" s="151">
        <v>1</v>
      </c>
      <c r="E130" s="151">
        <v>0</v>
      </c>
      <c r="F130" s="151">
        <v>0</v>
      </c>
      <c r="G130" s="151">
        <v>0</v>
      </c>
      <c r="H130" s="209">
        <v>5000</v>
      </c>
      <c r="I130" s="151">
        <v>5000</v>
      </c>
      <c r="J130" s="151" t="s">
        <v>506</v>
      </c>
      <c r="K130" s="151">
        <v>5000</v>
      </c>
      <c r="L130" s="151" t="s">
        <v>147</v>
      </c>
      <c r="M130" s="151" t="s">
        <v>783</v>
      </c>
      <c r="N130" s="151">
        <v>0</v>
      </c>
      <c r="O130" s="151" t="s">
        <v>784</v>
      </c>
      <c r="P130" s="151" t="s">
        <v>714</v>
      </c>
      <c r="Q130" s="151">
        <v>1</v>
      </c>
    </row>
    <row r="131" spans="1:17">
      <c r="A131" s="151" t="s">
        <v>785</v>
      </c>
      <c r="B131" s="151" t="s">
        <v>524</v>
      </c>
      <c r="C131" s="151" t="s">
        <v>144</v>
      </c>
      <c r="D131" s="151">
        <v>2</v>
      </c>
      <c r="E131" s="151">
        <v>0</v>
      </c>
      <c r="F131" s="151">
        <v>0</v>
      </c>
      <c r="G131" s="151">
        <v>1</v>
      </c>
      <c r="H131" s="209">
        <v>8.99</v>
      </c>
      <c r="I131" s="151">
        <v>4.5</v>
      </c>
      <c r="J131" s="151" t="s">
        <v>506</v>
      </c>
      <c r="K131" s="151">
        <v>3.0314999999999999</v>
      </c>
      <c r="L131" s="151" t="s">
        <v>147</v>
      </c>
      <c r="M131" s="151" t="s">
        <v>786</v>
      </c>
      <c r="N131" s="151">
        <v>0</v>
      </c>
      <c r="O131" s="151" t="s">
        <v>787</v>
      </c>
      <c r="P131" s="151" t="s">
        <v>714</v>
      </c>
      <c r="Q131" s="151">
        <v>2</v>
      </c>
    </row>
    <row r="132" spans="1:17">
      <c r="A132" s="151" t="s">
        <v>788</v>
      </c>
      <c r="B132" s="151" t="s">
        <v>524</v>
      </c>
      <c r="C132" s="151" t="s">
        <v>144</v>
      </c>
      <c r="D132" s="151">
        <v>1</v>
      </c>
      <c r="E132" s="151">
        <v>0</v>
      </c>
      <c r="F132" s="151">
        <v>0</v>
      </c>
      <c r="G132" s="151">
        <v>0</v>
      </c>
      <c r="H132" s="209">
        <v>298.52999999999997</v>
      </c>
      <c r="I132" s="151">
        <v>298.52999999999997</v>
      </c>
      <c r="J132" s="151" t="s">
        <v>506</v>
      </c>
      <c r="K132" s="151">
        <v>148.72999999999999</v>
      </c>
      <c r="L132" s="151" t="s">
        <v>147</v>
      </c>
      <c r="M132" s="151" t="s">
        <v>789</v>
      </c>
      <c r="N132" s="151">
        <v>0</v>
      </c>
      <c r="O132" s="151" t="s">
        <v>790</v>
      </c>
      <c r="P132" s="151" t="s">
        <v>714</v>
      </c>
      <c r="Q132" s="151">
        <v>1</v>
      </c>
    </row>
    <row r="133" spans="1:17">
      <c r="A133" s="151" t="s">
        <v>791</v>
      </c>
      <c r="B133" s="151" t="s">
        <v>524</v>
      </c>
      <c r="C133" s="151" t="s">
        <v>144</v>
      </c>
      <c r="D133" s="151">
        <v>8</v>
      </c>
      <c r="E133" s="151">
        <v>0</v>
      </c>
      <c r="F133" s="151">
        <v>0</v>
      </c>
      <c r="G133" s="151">
        <v>1</v>
      </c>
      <c r="H133" s="209">
        <v>59.56</v>
      </c>
      <c r="I133" s="151">
        <v>7.44</v>
      </c>
      <c r="J133" s="151" t="s">
        <v>533</v>
      </c>
      <c r="K133" s="151">
        <v>7.4444999999999997</v>
      </c>
      <c r="L133" s="151" t="s">
        <v>147</v>
      </c>
      <c r="M133" s="151" t="s">
        <v>792</v>
      </c>
      <c r="N133" s="151">
        <v>0</v>
      </c>
      <c r="O133" s="151" t="s">
        <v>790</v>
      </c>
      <c r="P133" s="151" t="s">
        <v>714</v>
      </c>
      <c r="Q133" s="151">
        <v>2</v>
      </c>
    </row>
    <row r="134" spans="1:17">
      <c r="A134" s="151" t="s">
        <v>793</v>
      </c>
      <c r="B134" s="151" t="s">
        <v>524</v>
      </c>
      <c r="C134" s="151" t="s">
        <v>144</v>
      </c>
      <c r="D134" s="151">
        <v>2</v>
      </c>
      <c r="E134" s="151">
        <v>0</v>
      </c>
      <c r="F134" s="151">
        <v>0</v>
      </c>
      <c r="G134" s="151">
        <v>1</v>
      </c>
      <c r="H134" s="209">
        <v>57.75</v>
      </c>
      <c r="I134" s="151">
        <v>28.875</v>
      </c>
      <c r="J134" s="151" t="s">
        <v>506</v>
      </c>
      <c r="K134" s="151">
        <v>28.875</v>
      </c>
      <c r="L134" s="151" t="s">
        <v>147</v>
      </c>
      <c r="M134" s="151" t="s">
        <v>794</v>
      </c>
      <c r="N134" s="151">
        <v>0</v>
      </c>
      <c r="O134" s="151" t="s">
        <v>763</v>
      </c>
      <c r="P134" s="151" t="s">
        <v>714</v>
      </c>
      <c r="Q134" s="151">
        <v>2</v>
      </c>
    </row>
    <row r="135" spans="1:17">
      <c r="A135" s="151" t="s">
        <v>795</v>
      </c>
      <c r="B135" s="151" t="s">
        <v>524</v>
      </c>
      <c r="C135" s="151" t="s">
        <v>144</v>
      </c>
      <c r="D135" s="151">
        <v>2</v>
      </c>
      <c r="E135" s="151">
        <v>0</v>
      </c>
      <c r="F135" s="151">
        <v>0</v>
      </c>
      <c r="G135" s="151">
        <v>1</v>
      </c>
      <c r="H135" s="209">
        <v>1493.64</v>
      </c>
      <c r="I135" s="151">
        <v>746.81</v>
      </c>
      <c r="J135" s="151" t="s">
        <v>506</v>
      </c>
      <c r="K135" s="151">
        <v>746.8125</v>
      </c>
      <c r="L135" s="151" t="s">
        <v>147</v>
      </c>
      <c r="M135" s="151" t="s">
        <v>796</v>
      </c>
      <c r="N135" s="151">
        <v>0</v>
      </c>
      <c r="O135" s="151" t="s">
        <v>763</v>
      </c>
      <c r="P135" s="151" t="s">
        <v>714</v>
      </c>
      <c r="Q135" s="151">
        <v>2</v>
      </c>
    </row>
    <row r="136" spans="1:17">
      <c r="A136" s="151" t="s">
        <v>797</v>
      </c>
      <c r="B136" s="151" t="s">
        <v>524</v>
      </c>
      <c r="C136" s="151" t="s">
        <v>144</v>
      </c>
      <c r="D136" s="151">
        <v>170</v>
      </c>
      <c r="E136" s="151">
        <v>0</v>
      </c>
      <c r="F136" s="151">
        <v>0</v>
      </c>
      <c r="G136" s="151">
        <v>5</v>
      </c>
      <c r="H136" s="209">
        <v>6606.19</v>
      </c>
      <c r="I136" s="151">
        <v>38.840000000000003</v>
      </c>
      <c r="J136" s="151" t="s">
        <v>506</v>
      </c>
      <c r="K136" s="151">
        <v>14.94</v>
      </c>
      <c r="L136" s="151" t="s">
        <v>145</v>
      </c>
      <c r="M136" s="151" t="s">
        <v>798</v>
      </c>
      <c r="N136" s="151">
        <v>0</v>
      </c>
      <c r="O136" s="151" t="s">
        <v>578</v>
      </c>
      <c r="P136" s="151" t="s">
        <v>522</v>
      </c>
      <c r="Q136" s="151">
        <v>25</v>
      </c>
    </row>
    <row r="137" spans="1:17">
      <c r="A137" s="151" t="s">
        <v>799</v>
      </c>
      <c r="B137" s="151" t="s">
        <v>524</v>
      </c>
      <c r="C137" s="151" t="s">
        <v>144</v>
      </c>
      <c r="D137" s="151">
        <v>6</v>
      </c>
      <c r="E137" s="151">
        <v>0</v>
      </c>
      <c r="F137" s="151">
        <v>0</v>
      </c>
      <c r="G137" s="151">
        <v>3</v>
      </c>
      <c r="H137" s="209">
        <v>2408.64</v>
      </c>
      <c r="I137" s="151">
        <v>401.44</v>
      </c>
      <c r="J137" s="151" t="s">
        <v>506</v>
      </c>
      <c r="K137" s="151">
        <v>401.44</v>
      </c>
      <c r="L137" s="151" t="s">
        <v>147</v>
      </c>
      <c r="M137" s="151" t="s">
        <v>800</v>
      </c>
      <c r="N137" s="151">
        <v>0</v>
      </c>
      <c r="O137" s="151" t="s">
        <v>593</v>
      </c>
      <c r="P137" s="151" t="s">
        <v>522</v>
      </c>
      <c r="Q137" s="151">
        <v>9</v>
      </c>
    </row>
    <row r="138" spans="1:17">
      <c r="A138" s="151" t="s">
        <v>801</v>
      </c>
      <c r="B138" s="151" t="s">
        <v>524</v>
      </c>
      <c r="C138" s="151" t="s">
        <v>144</v>
      </c>
      <c r="D138" s="151">
        <v>9</v>
      </c>
      <c r="E138" s="151">
        <v>0</v>
      </c>
      <c r="F138" s="151">
        <v>0</v>
      </c>
      <c r="G138" s="151">
        <v>6</v>
      </c>
      <c r="H138" s="209">
        <v>2049.84</v>
      </c>
      <c r="I138" s="151">
        <v>227.76</v>
      </c>
      <c r="J138" s="151" t="s">
        <v>506</v>
      </c>
      <c r="K138" s="151">
        <v>227.76</v>
      </c>
      <c r="L138" s="151" t="s">
        <v>147</v>
      </c>
      <c r="M138" s="151" t="s">
        <v>802</v>
      </c>
      <c r="N138" s="151">
        <v>0</v>
      </c>
      <c r="O138" s="151" t="s">
        <v>803</v>
      </c>
      <c r="P138" s="151" t="s">
        <v>522</v>
      </c>
      <c r="Q138" s="151">
        <v>18</v>
      </c>
    </row>
    <row r="139" spans="1:17">
      <c r="A139" s="151" t="s">
        <v>804</v>
      </c>
      <c r="B139" s="151" t="s">
        <v>524</v>
      </c>
      <c r="C139" s="151" t="s">
        <v>144</v>
      </c>
      <c r="D139" s="151">
        <v>63</v>
      </c>
      <c r="E139" s="151">
        <v>0</v>
      </c>
      <c r="F139" s="151">
        <v>0</v>
      </c>
      <c r="G139" s="151">
        <v>0</v>
      </c>
      <c r="H139" s="209">
        <v>924.84</v>
      </c>
      <c r="I139" s="151">
        <v>14.68</v>
      </c>
      <c r="J139" s="151" t="s">
        <v>689</v>
      </c>
      <c r="K139" s="151">
        <v>14.68</v>
      </c>
      <c r="L139" s="151" t="s">
        <v>144</v>
      </c>
      <c r="M139" s="151" t="s">
        <v>805</v>
      </c>
      <c r="N139" s="151">
        <v>0</v>
      </c>
      <c r="O139" s="151" t="s">
        <v>806</v>
      </c>
      <c r="P139" s="151" t="s">
        <v>522</v>
      </c>
      <c r="Q139" s="151">
        <v>0</v>
      </c>
    </row>
    <row r="140" spans="1:17">
      <c r="A140" s="151" t="s">
        <v>807</v>
      </c>
      <c r="B140" s="151" t="s">
        <v>524</v>
      </c>
      <c r="C140" s="151" t="s">
        <v>144</v>
      </c>
      <c r="D140" s="151">
        <v>1</v>
      </c>
      <c r="E140" s="151">
        <v>0</v>
      </c>
      <c r="F140" s="151">
        <v>0</v>
      </c>
      <c r="G140" s="151">
        <v>0</v>
      </c>
      <c r="H140" s="209">
        <v>6013.4</v>
      </c>
      <c r="I140" s="151">
        <v>6013.4</v>
      </c>
      <c r="J140" s="151" t="s">
        <v>506</v>
      </c>
      <c r="K140" s="151">
        <v>2889</v>
      </c>
      <c r="L140" s="151" t="s">
        <v>147</v>
      </c>
      <c r="M140" s="151" t="s">
        <v>808</v>
      </c>
      <c r="N140" s="151">
        <v>0</v>
      </c>
      <c r="O140" s="151" t="s">
        <v>809</v>
      </c>
      <c r="P140" s="151" t="s">
        <v>522</v>
      </c>
      <c r="Q140" s="151">
        <v>1</v>
      </c>
    </row>
    <row r="141" spans="1:17">
      <c r="A141" s="151" t="s">
        <v>810</v>
      </c>
      <c r="B141" s="151" t="s">
        <v>524</v>
      </c>
      <c r="C141" s="151" t="s">
        <v>144</v>
      </c>
      <c r="D141" s="151">
        <v>2</v>
      </c>
      <c r="E141" s="151">
        <v>0</v>
      </c>
      <c r="F141" s="151">
        <v>0</v>
      </c>
      <c r="G141" s="151">
        <v>0</v>
      </c>
      <c r="H141" s="209">
        <v>54</v>
      </c>
      <c r="I141" s="151">
        <v>27</v>
      </c>
      <c r="J141" s="151" t="s">
        <v>506</v>
      </c>
      <c r="K141" s="151">
        <v>27</v>
      </c>
      <c r="L141" s="151" t="s">
        <v>147</v>
      </c>
      <c r="M141" s="151" t="s">
        <v>811</v>
      </c>
      <c r="N141" s="151">
        <v>0</v>
      </c>
      <c r="O141" s="151" t="s">
        <v>812</v>
      </c>
      <c r="P141" s="151" t="s">
        <v>714</v>
      </c>
      <c r="Q141" s="151">
        <v>4</v>
      </c>
    </row>
    <row r="142" spans="1:17">
      <c r="A142" s="151" t="s">
        <v>813</v>
      </c>
      <c r="B142" s="151" t="s">
        <v>524</v>
      </c>
      <c r="C142" s="151" t="s">
        <v>144</v>
      </c>
      <c r="D142" s="151">
        <v>1</v>
      </c>
      <c r="E142" s="151">
        <v>0</v>
      </c>
      <c r="F142" s="151">
        <v>0</v>
      </c>
      <c r="G142" s="151">
        <v>0</v>
      </c>
      <c r="H142" s="209">
        <v>30</v>
      </c>
      <c r="I142" s="151">
        <v>30</v>
      </c>
      <c r="J142" s="151" t="s">
        <v>506</v>
      </c>
      <c r="K142" s="151">
        <v>30</v>
      </c>
      <c r="L142" s="151" t="s">
        <v>147</v>
      </c>
      <c r="M142" s="151" t="s">
        <v>814</v>
      </c>
      <c r="N142" s="151">
        <v>0</v>
      </c>
      <c r="O142" s="151" t="s">
        <v>815</v>
      </c>
      <c r="P142" s="151" t="s">
        <v>714</v>
      </c>
      <c r="Q142" s="151">
        <v>1</v>
      </c>
    </row>
    <row r="143" spans="1:17">
      <c r="A143" s="151" t="s">
        <v>816</v>
      </c>
      <c r="B143" s="151" t="s">
        <v>524</v>
      </c>
      <c r="C143" s="151" t="s">
        <v>144</v>
      </c>
      <c r="D143" s="151">
        <v>3</v>
      </c>
      <c r="E143" s="151">
        <v>0</v>
      </c>
      <c r="F143" s="151">
        <v>0</v>
      </c>
      <c r="G143" s="151">
        <v>0</v>
      </c>
      <c r="H143" s="209">
        <v>412.63979999999998</v>
      </c>
      <c r="I143" s="151">
        <v>137.54660000000001</v>
      </c>
      <c r="J143" s="151" t="s">
        <v>506</v>
      </c>
      <c r="K143" s="151">
        <v>137.54660000000001</v>
      </c>
      <c r="L143" s="151" t="s">
        <v>147</v>
      </c>
      <c r="M143" s="151" t="s">
        <v>817</v>
      </c>
      <c r="N143" s="151">
        <v>0</v>
      </c>
      <c r="O143" s="151" t="s">
        <v>815</v>
      </c>
      <c r="P143" s="151" t="s">
        <v>714</v>
      </c>
      <c r="Q143" s="151">
        <v>1</v>
      </c>
    </row>
    <row r="144" spans="1:17">
      <c r="A144" s="151" t="s">
        <v>818</v>
      </c>
      <c r="B144" s="151" t="s">
        <v>524</v>
      </c>
      <c r="C144" s="151" t="s">
        <v>144</v>
      </c>
      <c r="D144" s="151">
        <v>1</v>
      </c>
      <c r="E144" s="151">
        <v>0</v>
      </c>
      <c r="F144" s="151">
        <v>0</v>
      </c>
      <c r="G144" s="151">
        <v>0</v>
      </c>
      <c r="H144" s="209">
        <v>36</v>
      </c>
      <c r="I144" s="151">
        <v>36</v>
      </c>
      <c r="J144" s="151" t="s">
        <v>506</v>
      </c>
      <c r="K144" s="151">
        <v>36</v>
      </c>
      <c r="L144" s="151" t="s">
        <v>147</v>
      </c>
      <c r="M144" s="151" t="s">
        <v>819</v>
      </c>
      <c r="N144" s="151">
        <v>0</v>
      </c>
      <c r="O144" s="151" t="s">
        <v>815</v>
      </c>
      <c r="P144" s="151" t="s">
        <v>714</v>
      </c>
      <c r="Q144" s="151">
        <v>1</v>
      </c>
    </row>
    <row r="145" spans="1:17">
      <c r="A145" s="151" t="s">
        <v>820</v>
      </c>
      <c r="B145" s="151" t="s">
        <v>524</v>
      </c>
      <c r="C145" s="151" t="s">
        <v>144</v>
      </c>
      <c r="D145" s="151">
        <v>1</v>
      </c>
      <c r="E145" s="151">
        <v>0</v>
      </c>
      <c r="F145" s="151">
        <v>0</v>
      </c>
      <c r="G145" s="151">
        <v>0</v>
      </c>
      <c r="H145" s="209">
        <v>36</v>
      </c>
      <c r="I145" s="151">
        <v>36</v>
      </c>
      <c r="J145" s="151" t="s">
        <v>506</v>
      </c>
      <c r="K145" s="151">
        <v>36</v>
      </c>
      <c r="L145" s="151" t="s">
        <v>147</v>
      </c>
      <c r="M145" s="151" t="s">
        <v>821</v>
      </c>
      <c r="N145" s="151">
        <v>0</v>
      </c>
      <c r="O145" s="151" t="s">
        <v>815</v>
      </c>
      <c r="P145" s="151" t="s">
        <v>714</v>
      </c>
      <c r="Q145" s="151">
        <v>1</v>
      </c>
    </row>
    <row r="146" spans="1:17">
      <c r="A146" s="151" t="s">
        <v>822</v>
      </c>
      <c r="B146" s="151" t="s">
        <v>524</v>
      </c>
      <c r="C146" s="151" t="s">
        <v>144</v>
      </c>
      <c r="D146" s="151">
        <v>2</v>
      </c>
      <c r="E146" s="151">
        <v>0</v>
      </c>
      <c r="F146" s="151">
        <v>0</v>
      </c>
      <c r="G146" s="151">
        <v>0</v>
      </c>
      <c r="H146" s="209">
        <v>80</v>
      </c>
      <c r="I146" s="151">
        <v>40</v>
      </c>
      <c r="J146" s="151" t="s">
        <v>506</v>
      </c>
      <c r="K146" s="151">
        <v>40</v>
      </c>
      <c r="L146" s="151" t="s">
        <v>147</v>
      </c>
      <c r="M146" s="151" t="s">
        <v>823</v>
      </c>
      <c r="N146" s="151">
        <v>0</v>
      </c>
      <c r="O146" s="151" t="s">
        <v>815</v>
      </c>
      <c r="P146" s="151" t="s">
        <v>714</v>
      </c>
      <c r="Q146" s="151">
        <v>1</v>
      </c>
    </row>
    <row r="147" spans="1:17">
      <c r="A147" s="151" t="s">
        <v>824</v>
      </c>
      <c r="B147" s="151" t="s">
        <v>524</v>
      </c>
      <c r="C147" s="151" t="s">
        <v>144</v>
      </c>
      <c r="D147" s="151">
        <v>0</v>
      </c>
      <c r="E147" s="151">
        <v>0</v>
      </c>
      <c r="F147" s="151">
        <v>0</v>
      </c>
      <c r="G147" s="151">
        <v>0</v>
      </c>
      <c r="H147" s="209">
        <v>0</v>
      </c>
      <c r="I147" s="151">
        <v>1522.5</v>
      </c>
      <c r="J147" s="151" t="s">
        <v>506</v>
      </c>
      <c r="K147" s="151">
        <v>1522.5</v>
      </c>
      <c r="L147" s="151" t="s">
        <v>147</v>
      </c>
      <c r="M147" s="151" t="s">
        <v>825</v>
      </c>
      <c r="N147" s="151">
        <v>0</v>
      </c>
      <c r="O147" s="151" t="s">
        <v>826</v>
      </c>
      <c r="P147" s="151" t="s">
        <v>714</v>
      </c>
      <c r="Q147" s="151">
        <v>0</v>
      </c>
    </row>
    <row r="148" spans="1:17">
      <c r="A148" s="151" t="s">
        <v>827</v>
      </c>
      <c r="B148" s="151" t="s">
        <v>524</v>
      </c>
      <c r="C148" s="151" t="s">
        <v>144</v>
      </c>
      <c r="D148" s="151">
        <v>1</v>
      </c>
      <c r="E148" s="151">
        <v>0</v>
      </c>
      <c r="F148" s="151">
        <v>0</v>
      </c>
      <c r="G148" s="151">
        <v>0</v>
      </c>
      <c r="H148" s="209">
        <v>2768</v>
      </c>
      <c r="I148" s="151">
        <v>2768</v>
      </c>
      <c r="J148" s="151" t="s">
        <v>506</v>
      </c>
      <c r="K148" s="151">
        <v>2768</v>
      </c>
      <c r="L148" s="151" t="s">
        <v>147</v>
      </c>
      <c r="M148" s="151" t="s">
        <v>828</v>
      </c>
      <c r="N148" s="151">
        <v>0</v>
      </c>
      <c r="O148" s="151" t="s">
        <v>829</v>
      </c>
      <c r="P148" s="151" t="s">
        <v>714</v>
      </c>
      <c r="Q148" s="151">
        <v>1</v>
      </c>
    </row>
    <row r="149" spans="1:17">
      <c r="A149" s="151" t="s">
        <v>830</v>
      </c>
      <c r="B149" s="151" t="s">
        <v>524</v>
      </c>
      <c r="C149" s="151" t="s">
        <v>144</v>
      </c>
      <c r="D149" s="151">
        <v>3</v>
      </c>
      <c r="E149" s="151">
        <v>0</v>
      </c>
      <c r="F149" s="151">
        <v>0</v>
      </c>
      <c r="G149" s="151">
        <v>0</v>
      </c>
      <c r="H149" s="209">
        <v>3762</v>
      </c>
      <c r="I149" s="151">
        <v>1254</v>
      </c>
      <c r="J149" s="151" t="s">
        <v>506</v>
      </c>
      <c r="K149" s="151">
        <v>1254</v>
      </c>
      <c r="L149" s="151" t="s">
        <v>147</v>
      </c>
      <c r="M149" s="151" t="s">
        <v>831</v>
      </c>
      <c r="N149" s="151">
        <v>0</v>
      </c>
      <c r="O149" s="151" t="s">
        <v>713</v>
      </c>
      <c r="P149" s="151" t="s">
        <v>714</v>
      </c>
      <c r="Q149" s="151">
        <v>2</v>
      </c>
    </row>
    <row r="150" spans="1:17">
      <c r="A150" s="151" t="s">
        <v>832</v>
      </c>
      <c r="B150" s="151" t="s">
        <v>524</v>
      </c>
      <c r="C150" s="151" t="s">
        <v>144</v>
      </c>
      <c r="D150" s="151">
        <v>1</v>
      </c>
      <c r="E150" s="151">
        <v>0</v>
      </c>
      <c r="F150" s="151">
        <v>0</v>
      </c>
      <c r="G150" s="151">
        <v>0</v>
      </c>
      <c r="H150" s="209">
        <v>1815.45</v>
      </c>
      <c r="I150" s="151">
        <v>1815.45</v>
      </c>
      <c r="J150" s="151" t="s">
        <v>506</v>
      </c>
      <c r="K150" s="151">
        <v>1815.45</v>
      </c>
      <c r="L150" s="151" t="s">
        <v>147</v>
      </c>
      <c r="M150" s="151" t="s">
        <v>833</v>
      </c>
      <c r="N150" s="151">
        <v>0</v>
      </c>
      <c r="O150" s="151" t="s">
        <v>834</v>
      </c>
      <c r="P150" s="151" t="s">
        <v>714</v>
      </c>
      <c r="Q150" s="151">
        <v>1</v>
      </c>
    </row>
    <row r="151" spans="1:17">
      <c r="A151" s="151" t="s">
        <v>835</v>
      </c>
      <c r="B151" s="151" t="s">
        <v>524</v>
      </c>
      <c r="C151" s="151" t="s">
        <v>144</v>
      </c>
      <c r="D151" s="151">
        <v>1</v>
      </c>
      <c r="E151" s="151">
        <v>0</v>
      </c>
      <c r="F151" s="151">
        <v>0</v>
      </c>
      <c r="G151" s="151">
        <v>0</v>
      </c>
      <c r="H151" s="209">
        <v>6398.6</v>
      </c>
      <c r="I151" s="151">
        <v>6398.6</v>
      </c>
      <c r="J151" s="151" t="s">
        <v>506</v>
      </c>
      <c r="K151" s="151">
        <v>6398.6</v>
      </c>
      <c r="L151" s="151" t="s">
        <v>147</v>
      </c>
      <c r="M151" s="151" t="s">
        <v>836</v>
      </c>
      <c r="N151" s="151">
        <v>0</v>
      </c>
      <c r="O151" s="151" t="s">
        <v>837</v>
      </c>
      <c r="P151" s="151" t="s">
        <v>714</v>
      </c>
      <c r="Q151" s="151">
        <v>1</v>
      </c>
    </row>
    <row r="152" spans="1:17">
      <c r="A152" s="151" t="s">
        <v>838</v>
      </c>
      <c r="B152" s="151" t="s">
        <v>524</v>
      </c>
      <c r="C152" s="151" t="s">
        <v>144</v>
      </c>
      <c r="D152" s="151">
        <v>1</v>
      </c>
      <c r="E152" s="151">
        <v>0</v>
      </c>
      <c r="F152" s="151">
        <v>0</v>
      </c>
      <c r="G152" s="151">
        <v>0</v>
      </c>
      <c r="H152" s="209">
        <v>364</v>
      </c>
      <c r="I152" s="151">
        <v>364</v>
      </c>
      <c r="J152" s="151" t="s">
        <v>506</v>
      </c>
      <c r="K152" s="151">
        <v>364</v>
      </c>
      <c r="L152" s="151" t="s">
        <v>147</v>
      </c>
      <c r="M152" s="151" t="s">
        <v>839</v>
      </c>
      <c r="N152" s="151">
        <v>0</v>
      </c>
      <c r="O152" s="151" t="s">
        <v>840</v>
      </c>
      <c r="P152" s="151" t="s">
        <v>714</v>
      </c>
      <c r="Q152" s="151">
        <v>1</v>
      </c>
    </row>
    <row r="153" spans="1:17">
      <c r="A153" s="151" t="s">
        <v>841</v>
      </c>
      <c r="B153" s="151" t="s">
        <v>524</v>
      </c>
      <c r="C153" s="151" t="s">
        <v>144</v>
      </c>
      <c r="D153" s="151">
        <v>1</v>
      </c>
      <c r="E153" s="151">
        <v>0</v>
      </c>
      <c r="F153" s="151">
        <v>0</v>
      </c>
      <c r="G153" s="151">
        <v>0</v>
      </c>
      <c r="H153" s="209">
        <v>119</v>
      </c>
      <c r="I153" s="151">
        <v>119</v>
      </c>
      <c r="J153" s="151" t="s">
        <v>506</v>
      </c>
      <c r="K153" s="151">
        <v>119</v>
      </c>
      <c r="L153" s="151" t="s">
        <v>147</v>
      </c>
      <c r="M153" s="151" t="s">
        <v>842</v>
      </c>
      <c r="N153" s="151">
        <v>0</v>
      </c>
      <c r="O153" s="151" t="s">
        <v>840</v>
      </c>
      <c r="P153" s="151" t="s">
        <v>714</v>
      </c>
      <c r="Q153" s="151">
        <v>2</v>
      </c>
    </row>
    <row r="154" spans="1:17">
      <c r="A154" s="151" t="s">
        <v>843</v>
      </c>
      <c r="B154" s="151" t="s">
        <v>524</v>
      </c>
      <c r="C154" s="151" t="s">
        <v>144</v>
      </c>
      <c r="D154" s="151">
        <v>7</v>
      </c>
      <c r="E154" s="151">
        <v>0</v>
      </c>
      <c r="F154" s="151">
        <v>0</v>
      </c>
      <c r="G154" s="151">
        <v>0</v>
      </c>
      <c r="H154" s="209">
        <v>48.76</v>
      </c>
      <c r="I154" s="151">
        <v>6.97</v>
      </c>
      <c r="J154" s="151" t="s">
        <v>506</v>
      </c>
      <c r="K154" s="151">
        <v>6.9678000000000004</v>
      </c>
      <c r="L154" s="151" t="s">
        <v>147</v>
      </c>
      <c r="M154" s="151" t="s">
        <v>844</v>
      </c>
      <c r="N154" s="151">
        <v>0</v>
      </c>
      <c r="O154" s="151" t="s">
        <v>845</v>
      </c>
      <c r="P154" s="151" t="s">
        <v>714</v>
      </c>
      <c r="Q154" s="151">
        <v>2</v>
      </c>
    </row>
    <row r="155" spans="1:17">
      <c r="A155" s="151" t="s">
        <v>846</v>
      </c>
      <c r="B155" s="151" t="s">
        <v>524</v>
      </c>
      <c r="C155" s="151" t="s">
        <v>144</v>
      </c>
      <c r="D155" s="151">
        <v>4</v>
      </c>
      <c r="E155" s="151">
        <v>0</v>
      </c>
      <c r="F155" s="151">
        <v>0</v>
      </c>
      <c r="G155" s="151">
        <v>0</v>
      </c>
      <c r="H155" s="209">
        <v>131.44</v>
      </c>
      <c r="I155" s="151">
        <v>32.86</v>
      </c>
      <c r="J155" s="151" t="s">
        <v>506</v>
      </c>
      <c r="K155" s="151">
        <v>32.86</v>
      </c>
      <c r="L155" s="151" t="s">
        <v>147</v>
      </c>
      <c r="M155" s="151" t="s">
        <v>847</v>
      </c>
      <c r="N155" s="151">
        <v>0</v>
      </c>
      <c r="O155" s="151" t="s">
        <v>848</v>
      </c>
      <c r="P155" s="151" t="s">
        <v>714</v>
      </c>
      <c r="Q155" s="151">
        <v>3</v>
      </c>
    </row>
    <row r="156" spans="1:17">
      <c r="A156" s="151" t="s">
        <v>849</v>
      </c>
      <c r="B156" s="151" t="s">
        <v>524</v>
      </c>
      <c r="C156" s="151" t="s">
        <v>144</v>
      </c>
      <c r="D156" s="151">
        <v>1</v>
      </c>
      <c r="E156" s="151">
        <v>0</v>
      </c>
      <c r="F156" s="151">
        <v>0</v>
      </c>
      <c r="G156" s="151">
        <v>0</v>
      </c>
      <c r="H156" s="209">
        <v>1689.53</v>
      </c>
      <c r="I156" s="151">
        <v>1689.53</v>
      </c>
      <c r="J156" s="151" t="s">
        <v>506</v>
      </c>
      <c r="K156" s="151">
        <v>1689.53</v>
      </c>
      <c r="L156" s="151" t="s">
        <v>147</v>
      </c>
      <c r="M156" s="151" t="s">
        <v>850</v>
      </c>
      <c r="N156" s="151">
        <v>0</v>
      </c>
      <c r="O156" s="151" t="s">
        <v>815</v>
      </c>
      <c r="P156" s="151" t="s">
        <v>714</v>
      </c>
      <c r="Q156" s="151">
        <v>1</v>
      </c>
    </row>
    <row r="157" spans="1:17">
      <c r="A157" s="151" t="s">
        <v>851</v>
      </c>
      <c r="B157" s="151" t="s">
        <v>524</v>
      </c>
      <c r="C157" s="151" t="s">
        <v>144</v>
      </c>
      <c r="D157" s="151">
        <v>1</v>
      </c>
      <c r="E157" s="151">
        <v>0</v>
      </c>
      <c r="F157" s="151">
        <v>0</v>
      </c>
      <c r="G157" s="151">
        <v>0</v>
      </c>
      <c r="H157" s="209">
        <v>1816.86</v>
      </c>
      <c r="I157" s="151">
        <v>1816.86</v>
      </c>
      <c r="J157" s="151" t="s">
        <v>506</v>
      </c>
      <c r="K157" s="151">
        <v>1816.86</v>
      </c>
      <c r="L157" s="151" t="s">
        <v>147</v>
      </c>
      <c r="M157" s="151" t="s">
        <v>852</v>
      </c>
      <c r="N157" s="151">
        <v>0</v>
      </c>
      <c r="O157" s="151" t="s">
        <v>829</v>
      </c>
      <c r="P157" s="151" t="s">
        <v>714</v>
      </c>
      <c r="Q157" s="151">
        <v>1</v>
      </c>
    </row>
    <row r="158" spans="1:17">
      <c r="A158" s="151" t="s">
        <v>853</v>
      </c>
      <c r="B158" s="151" t="s">
        <v>524</v>
      </c>
      <c r="C158" s="151" t="s">
        <v>144</v>
      </c>
      <c r="D158" s="151">
        <v>3</v>
      </c>
      <c r="E158" s="151">
        <v>0</v>
      </c>
      <c r="F158" s="151">
        <v>0</v>
      </c>
      <c r="G158" s="151">
        <v>0</v>
      </c>
      <c r="H158" s="210">
        <v>2247.7399999999998</v>
      </c>
      <c r="I158" s="151">
        <v>749.25</v>
      </c>
      <c r="J158" s="151" t="s">
        <v>506</v>
      </c>
      <c r="K158" s="151">
        <v>422.65</v>
      </c>
      <c r="L158" s="151" t="s">
        <v>146</v>
      </c>
      <c r="M158" s="151" t="s">
        <v>854</v>
      </c>
      <c r="N158" s="151">
        <v>0</v>
      </c>
      <c r="O158" s="151" t="s">
        <v>855</v>
      </c>
      <c r="P158" s="151" t="s">
        <v>714</v>
      </c>
      <c r="Q158" s="151">
        <v>3</v>
      </c>
    </row>
    <row r="159" spans="1:17">
      <c r="A159" s="151"/>
      <c r="B159" s="151"/>
      <c r="C159" s="151"/>
      <c r="D159" s="151"/>
      <c r="E159" s="151"/>
      <c r="F159" s="151"/>
      <c r="G159" s="151"/>
      <c r="H159" s="151"/>
      <c r="I159" s="151"/>
      <c r="J159" s="151"/>
      <c r="K159" s="151"/>
      <c r="L159" s="151"/>
      <c r="M159" s="151"/>
      <c r="N159" s="151"/>
      <c r="O159" s="151"/>
      <c r="P159" s="151"/>
      <c r="Q159" s="151"/>
    </row>
    <row r="160" spans="1:17">
      <c r="A160" s="151"/>
      <c r="B160" s="151"/>
      <c r="C160" s="151"/>
      <c r="D160" s="151"/>
      <c r="E160" s="151"/>
      <c r="F160" s="151"/>
      <c r="G160" s="151"/>
      <c r="H160" s="211">
        <f>SUM(H26:H159)</f>
        <v>249725.0398</v>
      </c>
      <c r="I160" s="151"/>
      <c r="J160" s="151"/>
      <c r="K160" s="151"/>
      <c r="L160" s="151"/>
      <c r="M160" s="151"/>
      <c r="N160" s="151"/>
      <c r="O160" s="151"/>
      <c r="P160" s="151"/>
      <c r="Q160" s="151"/>
    </row>
    <row r="161" spans="1:17">
      <c r="A161" s="151"/>
      <c r="B161" s="151"/>
      <c r="C161" s="151"/>
      <c r="D161" s="151"/>
      <c r="E161" s="151"/>
      <c r="F161" s="151"/>
      <c r="G161" s="151"/>
      <c r="H161" s="151"/>
      <c r="I161" s="151"/>
      <c r="J161" s="151"/>
      <c r="K161" s="151"/>
      <c r="L161" s="151"/>
      <c r="M161" s="151"/>
      <c r="N161" s="151"/>
      <c r="O161" s="151"/>
      <c r="P161" s="151"/>
      <c r="Q161" s="151"/>
    </row>
    <row r="162" spans="1:17">
      <c r="A162" s="151"/>
      <c r="B162" s="151"/>
      <c r="C162" s="151"/>
      <c r="D162" s="151"/>
      <c r="E162" s="151"/>
      <c r="F162" s="151"/>
      <c r="G162" s="151"/>
      <c r="H162" s="151"/>
      <c r="I162" s="151"/>
      <c r="J162" s="151"/>
      <c r="K162" s="151"/>
      <c r="L162" s="151"/>
      <c r="M162" s="151"/>
      <c r="N162" s="151"/>
      <c r="O162" s="151"/>
      <c r="P162" s="151"/>
      <c r="Q162" s="151"/>
    </row>
    <row r="163" spans="1:17">
      <c r="A163" s="151"/>
      <c r="B163" s="151"/>
      <c r="C163" s="151"/>
      <c r="D163" s="151"/>
      <c r="E163" s="151"/>
      <c r="F163" s="151"/>
      <c r="G163" s="151"/>
      <c r="H163" s="151"/>
      <c r="I163" s="151"/>
      <c r="J163" s="151"/>
      <c r="K163" s="151"/>
      <c r="L163" s="151"/>
      <c r="M163" s="151"/>
      <c r="N163" s="151"/>
      <c r="O163" s="151"/>
      <c r="P163" s="151"/>
      <c r="Q163" s="151"/>
    </row>
    <row r="164" spans="1:17">
      <c r="A164" s="151"/>
      <c r="B164" s="151"/>
      <c r="C164" s="151"/>
      <c r="D164" s="151"/>
      <c r="E164" s="151"/>
      <c r="F164" s="151"/>
      <c r="G164" s="151"/>
      <c r="H164" s="151"/>
      <c r="I164" s="151"/>
      <c r="J164" s="151"/>
      <c r="K164" s="151"/>
      <c r="L164" s="151"/>
      <c r="M164" s="151"/>
      <c r="N164" s="151"/>
      <c r="O164" s="151"/>
      <c r="P164" s="151"/>
      <c r="Q164" s="151"/>
    </row>
    <row r="165" spans="1:17">
      <c r="A165" s="151"/>
      <c r="B165" s="151"/>
      <c r="C165" s="151"/>
      <c r="D165" s="151"/>
      <c r="E165" s="151"/>
      <c r="F165" s="151"/>
      <c r="G165" s="151"/>
      <c r="H165" s="151"/>
      <c r="I165" s="151"/>
      <c r="J165" s="151"/>
      <c r="K165" s="151"/>
      <c r="L165" s="151"/>
      <c r="M165" s="151"/>
      <c r="N165" s="151"/>
      <c r="O165" s="151"/>
      <c r="P165" s="151"/>
      <c r="Q165" s="151"/>
    </row>
    <row r="166" spans="1:17">
      <c r="A166" s="151"/>
      <c r="B166" s="151"/>
      <c r="C166" s="151"/>
      <c r="D166" s="151"/>
      <c r="E166" s="151"/>
      <c r="F166" s="151"/>
      <c r="G166" s="151"/>
      <c r="H166" s="151"/>
      <c r="I166" s="151"/>
      <c r="J166" s="151"/>
      <c r="K166" s="151"/>
      <c r="L166" s="151"/>
      <c r="M166" s="151"/>
      <c r="N166" s="151"/>
      <c r="O166" s="151"/>
      <c r="P166" s="151"/>
      <c r="Q166" s="151"/>
    </row>
    <row r="167" spans="1:17">
      <c r="A167" s="151"/>
      <c r="B167" s="151"/>
      <c r="C167" s="151"/>
      <c r="D167" s="151"/>
      <c r="E167" s="151"/>
      <c r="F167" s="151"/>
      <c r="G167" s="151"/>
      <c r="H167" s="151"/>
      <c r="I167" s="151"/>
      <c r="J167" s="151"/>
      <c r="K167" s="151"/>
      <c r="L167" s="151"/>
      <c r="M167" s="151"/>
      <c r="N167" s="151"/>
      <c r="O167" s="151"/>
      <c r="P167" s="151"/>
      <c r="Q167" s="151"/>
    </row>
    <row r="168" spans="1:17">
      <c r="A168" s="151"/>
      <c r="B168" s="151"/>
      <c r="C168" s="151"/>
      <c r="D168" s="151"/>
      <c r="E168" s="151"/>
      <c r="F168" s="151"/>
      <c r="G168" s="151"/>
      <c r="H168" s="151"/>
      <c r="I168" s="151"/>
      <c r="J168" s="151"/>
      <c r="K168" s="151"/>
      <c r="L168" s="151"/>
      <c r="M168" s="151"/>
      <c r="N168" s="151"/>
      <c r="O168" s="151"/>
      <c r="P168" s="151"/>
      <c r="Q168" s="151"/>
    </row>
    <row r="169" spans="1:17">
      <c r="A169" s="151"/>
      <c r="B169" s="151"/>
      <c r="C169" s="151"/>
      <c r="D169" s="151"/>
      <c r="E169" s="151"/>
      <c r="F169" s="151"/>
      <c r="G169" s="151"/>
      <c r="H169" s="151"/>
      <c r="I169" s="151"/>
      <c r="J169" s="151"/>
      <c r="K169" s="151"/>
      <c r="L169" s="151"/>
      <c r="M169" s="151"/>
      <c r="N169" s="151"/>
      <c r="O169" s="151"/>
      <c r="P169" s="151"/>
      <c r="Q169" s="151"/>
    </row>
    <row r="170" spans="1:17">
      <c r="A170" s="151"/>
      <c r="B170" s="151"/>
      <c r="C170" s="151"/>
      <c r="D170" s="151"/>
      <c r="E170" s="151"/>
      <c r="F170" s="151"/>
      <c r="G170" s="151"/>
      <c r="H170" s="151"/>
      <c r="I170" s="151"/>
      <c r="J170" s="151"/>
      <c r="K170" s="151"/>
      <c r="L170" s="151"/>
      <c r="M170" s="151"/>
      <c r="N170" s="151"/>
      <c r="O170" s="151"/>
      <c r="P170" s="151"/>
      <c r="Q170" s="151"/>
    </row>
    <row r="171" spans="1:17">
      <c r="A171" s="151"/>
      <c r="B171" s="151"/>
      <c r="C171" s="151"/>
      <c r="D171" s="151"/>
      <c r="E171" s="151"/>
      <c r="F171" s="151"/>
      <c r="G171" s="151"/>
      <c r="H171" s="151"/>
      <c r="I171" s="151"/>
      <c r="J171" s="151"/>
      <c r="K171" s="151"/>
      <c r="L171" s="151"/>
      <c r="M171" s="151"/>
      <c r="N171" s="151"/>
      <c r="O171" s="151"/>
      <c r="P171" s="151"/>
      <c r="Q171" s="151"/>
    </row>
    <row r="172" spans="1:17">
      <c r="A172" s="151"/>
      <c r="B172" s="151"/>
      <c r="C172" s="151"/>
      <c r="D172" s="151"/>
      <c r="E172" s="151"/>
      <c r="F172" s="151"/>
      <c r="G172" s="151"/>
      <c r="H172" s="151"/>
      <c r="I172" s="151"/>
      <c r="J172" s="151"/>
      <c r="K172" s="151"/>
      <c r="L172" s="151"/>
      <c r="M172" s="151"/>
      <c r="N172" s="151"/>
      <c r="O172" s="151"/>
      <c r="P172" s="151"/>
      <c r="Q172" s="151"/>
    </row>
    <row r="173" spans="1:17">
      <c r="A173" s="151"/>
      <c r="B173" s="151"/>
      <c r="C173" s="151"/>
      <c r="D173" s="151"/>
      <c r="E173" s="151"/>
      <c r="F173" s="151"/>
      <c r="G173" s="151"/>
      <c r="H173" s="151"/>
      <c r="I173" s="151"/>
      <c r="J173" s="151"/>
      <c r="K173" s="151"/>
      <c r="L173" s="151"/>
      <c r="M173" s="151"/>
      <c r="N173" s="151"/>
      <c r="O173" s="151"/>
      <c r="P173" s="151"/>
      <c r="Q173" s="151"/>
    </row>
    <row r="174" spans="1:17">
      <c r="A174" s="151"/>
      <c r="B174" s="151"/>
      <c r="C174" s="151"/>
      <c r="D174" s="151"/>
      <c r="E174" s="151"/>
      <c r="F174" s="151"/>
      <c r="G174" s="151"/>
      <c r="H174" s="151"/>
      <c r="I174" s="151"/>
      <c r="J174" s="151"/>
      <c r="K174" s="151"/>
      <c r="L174" s="151"/>
      <c r="M174" s="151"/>
      <c r="N174" s="151"/>
      <c r="O174" s="151"/>
      <c r="P174" s="151"/>
      <c r="Q174" s="151"/>
    </row>
    <row r="175" spans="1:17">
      <c r="A175" s="151"/>
      <c r="B175" s="151"/>
      <c r="C175" s="151"/>
      <c r="D175" s="151"/>
      <c r="E175" s="151"/>
      <c r="F175" s="151"/>
      <c r="G175" s="151"/>
      <c r="H175" s="151"/>
      <c r="I175" s="151"/>
      <c r="J175" s="151"/>
      <c r="K175" s="151"/>
      <c r="L175" s="151"/>
      <c r="M175" s="151"/>
      <c r="N175" s="151"/>
      <c r="O175" s="151"/>
      <c r="P175" s="151"/>
      <c r="Q175" s="151"/>
    </row>
    <row r="176" spans="1:17">
      <c r="A176" s="151"/>
      <c r="B176" s="151"/>
      <c r="C176" s="151"/>
      <c r="D176" s="151"/>
      <c r="E176" s="151"/>
      <c r="F176" s="151"/>
      <c r="G176" s="151"/>
      <c r="H176" s="151"/>
      <c r="I176" s="151"/>
      <c r="J176" s="151"/>
      <c r="K176" s="151"/>
      <c r="L176" s="151"/>
      <c r="M176" s="151"/>
      <c r="N176" s="151"/>
      <c r="O176" s="151"/>
      <c r="P176" s="151"/>
      <c r="Q176" s="151"/>
    </row>
    <row r="177" spans="1:17">
      <c r="A177" s="151"/>
      <c r="B177" s="151"/>
      <c r="C177" s="151"/>
      <c r="D177" s="151"/>
      <c r="E177" s="151"/>
      <c r="F177" s="151"/>
      <c r="G177" s="151"/>
      <c r="H177" s="151"/>
      <c r="I177" s="151"/>
      <c r="J177" s="151"/>
      <c r="K177" s="151"/>
      <c r="L177" s="151"/>
      <c r="M177" s="151"/>
      <c r="N177" s="151"/>
      <c r="O177" s="151"/>
      <c r="P177" s="151"/>
      <c r="Q177" s="151"/>
    </row>
    <row r="178" spans="1:17">
      <c r="A178" s="151"/>
      <c r="B178" s="151"/>
      <c r="C178" s="151"/>
      <c r="D178" s="151"/>
      <c r="E178" s="151"/>
      <c r="F178" s="151"/>
      <c r="G178" s="151"/>
      <c r="H178" s="151"/>
      <c r="I178" s="151"/>
      <c r="J178" s="151"/>
      <c r="K178" s="151"/>
      <c r="L178" s="151"/>
      <c r="M178" s="151"/>
      <c r="N178" s="151"/>
      <c r="O178" s="151"/>
      <c r="P178" s="151"/>
      <c r="Q178" s="151"/>
    </row>
    <row r="179" spans="1:17">
      <c r="A179" s="151"/>
      <c r="B179" s="151"/>
      <c r="C179" s="151"/>
      <c r="D179" s="151"/>
      <c r="E179" s="151"/>
      <c r="F179" s="151"/>
      <c r="G179" s="151"/>
      <c r="H179" s="151"/>
      <c r="I179" s="151"/>
      <c r="J179" s="151"/>
      <c r="K179" s="151"/>
      <c r="L179" s="151"/>
      <c r="M179" s="151"/>
      <c r="N179" s="151"/>
      <c r="O179" s="151"/>
      <c r="P179" s="151"/>
      <c r="Q179" s="151"/>
    </row>
    <row r="180" spans="1:17">
      <c r="A180" s="151"/>
      <c r="B180" s="151"/>
      <c r="C180" s="151"/>
      <c r="D180" s="151"/>
      <c r="E180" s="151"/>
      <c r="F180" s="151"/>
      <c r="G180" s="151"/>
      <c r="H180" s="151"/>
      <c r="I180" s="151"/>
      <c r="J180" s="151"/>
      <c r="K180" s="151"/>
      <c r="L180" s="151"/>
      <c r="M180" s="151"/>
      <c r="N180" s="151"/>
      <c r="O180" s="151"/>
      <c r="P180" s="151"/>
      <c r="Q180" s="151"/>
    </row>
    <row r="181" spans="1:17">
      <c r="A181" s="151"/>
      <c r="B181" s="151"/>
      <c r="C181" s="151"/>
      <c r="D181" s="151"/>
      <c r="E181" s="151"/>
      <c r="F181" s="151"/>
      <c r="G181" s="151"/>
      <c r="H181" s="151"/>
      <c r="I181" s="151"/>
      <c r="J181" s="151"/>
      <c r="K181" s="151"/>
      <c r="L181" s="151"/>
      <c r="M181" s="151"/>
      <c r="N181" s="151"/>
      <c r="O181" s="151"/>
      <c r="P181" s="151"/>
      <c r="Q181" s="151"/>
    </row>
    <row r="182" spans="1:17">
      <c r="A182" s="151"/>
      <c r="B182" s="151"/>
      <c r="C182" s="151"/>
      <c r="D182" s="151"/>
      <c r="E182" s="151"/>
      <c r="F182" s="151"/>
      <c r="G182" s="151"/>
      <c r="H182" s="151"/>
      <c r="I182" s="151"/>
      <c r="J182" s="151"/>
      <c r="K182" s="151"/>
      <c r="L182" s="151"/>
      <c r="M182" s="151"/>
      <c r="N182" s="151"/>
      <c r="O182" s="151"/>
      <c r="P182" s="151"/>
      <c r="Q182" s="151"/>
    </row>
    <row r="183" spans="1:17">
      <c r="A183" s="151"/>
      <c r="B183" s="151"/>
      <c r="C183" s="151"/>
      <c r="D183" s="151"/>
      <c r="E183" s="151"/>
      <c r="F183" s="151"/>
      <c r="G183" s="151"/>
      <c r="H183" s="151"/>
      <c r="I183" s="151"/>
      <c r="J183" s="151"/>
      <c r="K183" s="151"/>
      <c r="L183" s="151"/>
      <c r="M183" s="151"/>
      <c r="N183" s="151"/>
      <c r="O183" s="151"/>
      <c r="P183" s="151"/>
      <c r="Q183" s="151"/>
    </row>
    <row r="184" spans="1:17">
      <c r="A184" s="151"/>
      <c r="B184" s="151"/>
      <c r="C184" s="151"/>
      <c r="D184" s="151"/>
      <c r="E184" s="151"/>
      <c r="F184" s="151"/>
      <c r="G184" s="151"/>
      <c r="H184" s="151"/>
      <c r="I184" s="151"/>
      <c r="J184" s="151"/>
      <c r="K184" s="151"/>
      <c r="L184" s="151"/>
      <c r="M184" s="151"/>
      <c r="N184" s="151"/>
      <c r="O184" s="151"/>
      <c r="P184" s="151"/>
      <c r="Q184" s="151"/>
    </row>
    <row r="185" spans="1:17">
      <c r="A185" s="151"/>
      <c r="B185" s="151"/>
      <c r="C185" s="151"/>
      <c r="D185" s="151"/>
      <c r="E185" s="151"/>
      <c r="F185" s="151"/>
      <c r="G185" s="151"/>
      <c r="H185" s="151"/>
      <c r="I185" s="151"/>
      <c r="J185" s="151"/>
      <c r="K185" s="151"/>
      <c r="L185" s="151"/>
      <c r="M185" s="151"/>
      <c r="N185" s="151"/>
      <c r="O185" s="151"/>
      <c r="P185" s="151"/>
      <c r="Q185" s="151"/>
    </row>
    <row r="186" spans="1:17">
      <c r="A186" s="151"/>
      <c r="B186" s="151"/>
      <c r="C186" s="151"/>
      <c r="D186" s="151"/>
      <c r="E186" s="151"/>
      <c r="F186" s="151"/>
      <c r="G186" s="151"/>
      <c r="H186" s="151"/>
      <c r="I186" s="151"/>
      <c r="J186" s="151"/>
      <c r="K186" s="151"/>
      <c r="L186" s="151"/>
      <c r="M186" s="151"/>
      <c r="N186" s="151"/>
      <c r="O186" s="151"/>
      <c r="P186" s="151"/>
      <c r="Q186" s="151"/>
    </row>
    <row r="187" spans="1:17">
      <c r="A187" s="151"/>
      <c r="B187" s="151"/>
      <c r="C187" s="151"/>
      <c r="D187" s="151"/>
      <c r="E187" s="151"/>
      <c r="F187" s="151"/>
      <c r="G187" s="151"/>
      <c r="H187" s="151"/>
      <c r="I187" s="151"/>
      <c r="J187" s="151"/>
      <c r="K187" s="151"/>
      <c r="L187" s="151"/>
      <c r="M187" s="151"/>
      <c r="N187" s="151"/>
      <c r="O187" s="151"/>
      <c r="P187" s="151"/>
      <c r="Q187" s="151"/>
    </row>
    <row r="188" spans="1:17">
      <c r="A188" s="151"/>
      <c r="B188" s="151"/>
      <c r="C188" s="151"/>
      <c r="D188" s="151"/>
      <c r="E188" s="151"/>
      <c r="F188" s="151"/>
      <c r="G188" s="151"/>
      <c r="H188" s="151"/>
      <c r="I188" s="151"/>
      <c r="J188" s="151"/>
      <c r="K188" s="151"/>
      <c r="L188" s="151"/>
      <c r="M188" s="151"/>
      <c r="N188" s="151"/>
      <c r="O188" s="151"/>
      <c r="P188" s="151"/>
      <c r="Q188" s="151"/>
    </row>
    <row r="189" spans="1:17">
      <c r="A189" s="151"/>
      <c r="B189" s="151"/>
      <c r="C189" s="151"/>
      <c r="D189" s="151"/>
      <c r="E189" s="151"/>
      <c r="F189" s="151"/>
      <c r="G189" s="151"/>
      <c r="H189" s="151"/>
      <c r="I189" s="151"/>
      <c r="J189" s="151"/>
      <c r="K189" s="151"/>
      <c r="L189" s="151"/>
      <c r="M189" s="151"/>
      <c r="N189" s="151"/>
      <c r="O189" s="151"/>
      <c r="P189" s="151"/>
      <c r="Q189" s="151"/>
    </row>
    <row r="190" spans="1:17">
      <c r="A190" s="151"/>
      <c r="B190" s="151"/>
      <c r="C190" s="151"/>
      <c r="D190" s="151"/>
      <c r="E190" s="151"/>
      <c r="F190" s="151"/>
      <c r="G190" s="151"/>
      <c r="H190" s="151"/>
      <c r="I190" s="151"/>
      <c r="J190" s="151"/>
      <c r="K190" s="151"/>
      <c r="L190" s="151"/>
      <c r="M190" s="151"/>
      <c r="N190" s="151"/>
      <c r="O190" s="151"/>
      <c r="P190" s="151"/>
      <c r="Q190" s="151"/>
    </row>
    <row r="191" spans="1:17">
      <c r="A191" s="151"/>
      <c r="B191" s="151"/>
      <c r="C191" s="151"/>
      <c r="D191" s="151"/>
      <c r="E191" s="151"/>
      <c r="F191" s="151"/>
      <c r="G191" s="151"/>
      <c r="H191" s="151"/>
      <c r="I191" s="151"/>
      <c r="J191" s="151"/>
      <c r="K191" s="151"/>
      <c r="L191" s="151"/>
      <c r="M191" s="151"/>
      <c r="N191" s="151"/>
      <c r="O191" s="151"/>
      <c r="P191" s="151"/>
      <c r="Q191" s="151"/>
    </row>
    <row r="192" spans="1:17">
      <c r="A192" s="151"/>
      <c r="B192" s="151"/>
      <c r="C192" s="151"/>
      <c r="D192" s="151"/>
      <c r="E192" s="151"/>
      <c r="F192" s="151"/>
      <c r="G192" s="151"/>
      <c r="H192" s="151"/>
      <c r="I192" s="151"/>
      <c r="J192" s="151"/>
      <c r="K192" s="151"/>
      <c r="L192" s="151"/>
      <c r="M192" s="151"/>
      <c r="N192" s="151"/>
      <c r="O192" s="151"/>
      <c r="P192" s="151"/>
      <c r="Q192" s="151"/>
    </row>
    <row r="193" spans="1:17">
      <c r="A193" s="151"/>
      <c r="B193" s="151"/>
      <c r="C193" s="151"/>
      <c r="D193" s="151"/>
      <c r="E193" s="151"/>
      <c r="F193" s="151"/>
      <c r="G193" s="151"/>
      <c r="H193" s="151"/>
      <c r="I193" s="151"/>
      <c r="J193" s="151"/>
      <c r="K193" s="151"/>
      <c r="L193" s="151"/>
      <c r="M193" s="151"/>
      <c r="N193" s="151"/>
      <c r="O193" s="151"/>
      <c r="P193" s="151"/>
      <c r="Q193" s="151"/>
    </row>
    <row r="194" spans="1:17">
      <c r="A194" s="151"/>
      <c r="B194" s="151"/>
      <c r="C194" s="151"/>
      <c r="D194" s="151"/>
      <c r="E194" s="151"/>
      <c r="F194" s="151"/>
      <c r="G194" s="151"/>
      <c r="H194" s="151"/>
      <c r="I194" s="151"/>
      <c r="J194" s="151"/>
      <c r="K194" s="151"/>
      <c r="L194" s="151"/>
      <c r="M194" s="151"/>
      <c r="N194" s="151"/>
      <c r="O194" s="151"/>
      <c r="P194" s="151"/>
      <c r="Q194" s="151"/>
    </row>
    <row r="195" spans="1:17">
      <c r="A195" s="151"/>
      <c r="B195" s="151"/>
      <c r="C195" s="151"/>
      <c r="D195" s="151"/>
      <c r="E195" s="151"/>
      <c r="F195" s="151"/>
      <c r="G195" s="151"/>
      <c r="H195" s="151"/>
      <c r="I195" s="151"/>
      <c r="J195" s="151"/>
      <c r="K195" s="151"/>
      <c r="L195" s="151"/>
      <c r="M195" s="151"/>
      <c r="N195" s="151"/>
      <c r="O195" s="151"/>
      <c r="P195" s="151"/>
      <c r="Q195" s="151"/>
    </row>
    <row r="196" spans="1:17">
      <c r="A196" s="151"/>
      <c r="B196" s="151"/>
      <c r="C196" s="151"/>
      <c r="D196" s="151"/>
      <c r="E196" s="151"/>
      <c r="F196" s="151"/>
      <c r="G196" s="151"/>
      <c r="H196" s="151"/>
      <c r="I196" s="151"/>
      <c r="J196" s="151"/>
      <c r="K196" s="151"/>
      <c r="L196" s="151"/>
      <c r="M196" s="151"/>
      <c r="N196" s="151"/>
      <c r="O196" s="151"/>
      <c r="P196" s="151"/>
      <c r="Q196" s="151"/>
    </row>
    <row r="197" spans="1:17">
      <c r="A197" s="151"/>
      <c r="B197" s="151"/>
      <c r="C197" s="151"/>
      <c r="D197" s="151"/>
      <c r="E197" s="151"/>
      <c r="F197" s="151"/>
      <c r="G197" s="151"/>
      <c r="H197" s="151"/>
      <c r="I197" s="151"/>
      <c r="J197" s="151"/>
      <c r="K197" s="151"/>
      <c r="L197" s="151"/>
      <c r="M197" s="151"/>
      <c r="N197" s="151"/>
      <c r="O197" s="151"/>
      <c r="P197" s="151"/>
      <c r="Q197" s="151"/>
    </row>
    <row r="198" spans="1:17">
      <c r="A198" s="151"/>
      <c r="B198" s="151"/>
      <c r="C198" s="151"/>
      <c r="D198" s="151"/>
      <c r="E198" s="151"/>
      <c r="F198" s="151"/>
      <c r="G198" s="151"/>
      <c r="H198" s="151"/>
      <c r="I198" s="151"/>
      <c r="J198" s="151"/>
      <c r="K198" s="151"/>
      <c r="L198" s="151"/>
      <c r="M198" s="151"/>
      <c r="N198" s="151"/>
      <c r="O198" s="151"/>
      <c r="P198" s="151"/>
      <c r="Q198" s="151"/>
    </row>
    <row r="199" spans="1:17">
      <c r="A199" s="151"/>
      <c r="B199" s="151"/>
      <c r="C199" s="151"/>
      <c r="D199" s="151"/>
      <c r="E199" s="151"/>
      <c r="F199" s="151"/>
      <c r="G199" s="151"/>
      <c r="H199" s="151"/>
      <c r="I199" s="151"/>
      <c r="J199" s="151"/>
      <c r="K199" s="151"/>
      <c r="L199" s="151"/>
      <c r="M199" s="151"/>
      <c r="N199" s="151"/>
      <c r="O199" s="151"/>
      <c r="P199" s="151"/>
      <c r="Q199" s="151"/>
    </row>
    <row r="200" spans="1:17">
      <c r="A200" s="151"/>
      <c r="B200" s="151"/>
      <c r="C200" s="151"/>
      <c r="D200" s="151"/>
      <c r="E200" s="151"/>
      <c r="F200" s="151"/>
      <c r="G200" s="151"/>
      <c r="H200" s="151"/>
      <c r="I200" s="151"/>
      <c r="J200" s="151"/>
      <c r="K200" s="151"/>
      <c r="L200" s="151"/>
      <c r="M200" s="151"/>
      <c r="N200" s="151"/>
      <c r="O200" s="151"/>
      <c r="P200" s="151"/>
      <c r="Q200" s="151"/>
    </row>
    <row r="201" spans="1:17">
      <c r="A201" s="151"/>
      <c r="B201" s="151"/>
      <c r="C201" s="151"/>
      <c r="D201" s="151"/>
      <c r="E201" s="151"/>
      <c r="F201" s="151"/>
      <c r="G201" s="151"/>
      <c r="H201" s="151"/>
      <c r="I201" s="151"/>
      <c r="J201" s="151"/>
      <c r="K201" s="151"/>
      <c r="L201" s="151"/>
      <c r="M201" s="151"/>
      <c r="N201" s="151"/>
      <c r="O201" s="151"/>
      <c r="P201" s="151"/>
      <c r="Q201" s="151"/>
    </row>
    <row r="202" spans="1:17">
      <c r="A202" s="151"/>
      <c r="B202" s="151"/>
      <c r="C202" s="151"/>
      <c r="D202" s="151"/>
      <c r="E202" s="151"/>
      <c r="F202" s="151"/>
      <c r="G202" s="151"/>
      <c r="H202" s="151"/>
      <c r="I202" s="151"/>
      <c r="J202" s="151"/>
      <c r="K202" s="151"/>
      <c r="L202" s="151"/>
      <c r="M202" s="151"/>
      <c r="N202" s="151"/>
      <c r="O202" s="151"/>
      <c r="P202" s="151"/>
      <c r="Q202" s="151"/>
    </row>
    <row r="203" spans="1:17">
      <c r="A203" s="151"/>
      <c r="B203" s="151"/>
      <c r="C203" s="151"/>
      <c r="D203" s="151"/>
      <c r="E203" s="151"/>
      <c r="F203" s="151"/>
      <c r="G203" s="151"/>
      <c r="H203" s="151"/>
      <c r="I203" s="151"/>
      <c r="J203" s="151"/>
      <c r="K203" s="151"/>
      <c r="L203" s="151"/>
      <c r="M203" s="151"/>
      <c r="N203" s="151"/>
      <c r="O203" s="151"/>
      <c r="P203" s="151"/>
      <c r="Q203" s="151"/>
    </row>
    <row r="204" spans="1:17">
      <c r="A204" s="151"/>
      <c r="B204" s="151"/>
      <c r="C204" s="151"/>
      <c r="D204" s="151"/>
      <c r="E204" s="151"/>
      <c r="F204" s="151"/>
      <c r="G204" s="151"/>
      <c r="H204" s="151"/>
      <c r="I204" s="151"/>
      <c r="J204" s="151"/>
      <c r="K204" s="151"/>
      <c r="L204" s="151"/>
      <c r="M204" s="151"/>
      <c r="N204" s="151"/>
      <c r="O204" s="151"/>
      <c r="P204" s="151"/>
      <c r="Q204" s="151"/>
    </row>
    <row r="205" spans="1:17">
      <c r="A205" s="151"/>
      <c r="B205" s="151"/>
      <c r="C205" s="151"/>
      <c r="D205" s="151"/>
      <c r="E205" s="151"/>
      <c r="F205" s="151"/>
      <c r="G205" s="151"/>
      <c r="H205" s="151"/>
      <c r="I205" s="151"/>
      <c r="J205" s="151"/>
      <c r="K205" s="151"/>
      <c r="L205" s="151"/>
      <c r="M205" s="151"/>
      <c r="N205" s="151"/>
      <c r="O205" s="151"/>
      <c r="P205" s="151"/>
      <c r="Q205" s="151"/>
    </row>
    <row r="206" spans="1:17">
      <c r="A206" s="151"/>
      <c r="B206" s="151"/>
      <c r="C206" s="151"/>
      <c r="D206" s="151"/>
      <c r="E206" s="151"/>
      <c r="F206" s="151"/>
      <c r="G206" s="151"/>
      <c r="H206" s="151"/>
      <c r="I206" s="151"/>
      <c r="J206" s="151"/>
      <c r="K206" s="151"/>
      <c r="L206" s="151"/>
      <c r="M206" s="151"/>
      <c r="N206" s="151"/>
      <c r="O206" s="151"/>
      <c r="P206" s="151"/>
      <c r="Q206" s="151"/>
    </row>
    <row r="207" spans="1:17">
      <c r="A207" s="151"/>
      <c r="B207" s="151"/>
      <c r="C207" s="151"/>
      <c r="D207" s="151"/>
      <c r="E207" s="151"/>
      <c r="F207" s="151"/>
      <c r="G207" s="151"/>
      <c r="H207" s="151"/>
      <c r="I207" s="151"/>
      <c r="J207" s="151"/>
      <c r="K207" s="151"/>
      <c r="L207" s="151"/>
      <c r="M207" s="151"/>
      <c r="N207" s="151"/>
      <c r="O207" s="151"/>
      <c r="P207" s="151"/>
      <c r="Q207" s="151"/>
    </row>
    <row r="208" spans="1:17">
      <c r="A208" s="151"/>
      <c r="B208" s="151"/>
      <c r="C208" s="151"/>
      <c r="D208" s="151"/>
      <c r="E208" s="151"/>
      <c r="F208" s="151"/>
      <c r="G208" s="151"/>
      <c r="H208" s="151"/>
      <c r="I208" s="151"/>
      <c r="J208" s="151"/>
      <c r="K208" s="151"/>
      <c r="L208" s="151"/>
      <c r="M208" s="151"/>
      <c r="N208" s="151"/>
      <c r="O208" s="151"/>
      <c r="P208" s="151"/>
      <c r="Q208" s="151"/>
    </row>
    <row r="209" spans="1:17">
      <c r="A209" s="151"/>
      <c r="B209" s="151"/>
      <c r="C209" s="151"/>
      <c r="D209" s="151"/>
      <c r="E209" s="151"/>
      <c r="F209" s="151"/>
      <c r="G209" s="151"/>
      <c r="H209" s="151"/>
      <c r="I209" s="151"/>
      <c r="J209" s="151"/>
      <c r="K209" s="151"/>
      <c r="L209" s="151"/>
      <c r="M209" s="151"/>
      <c r="N209" s="151"/>
      <c r="O209" s="151"/>
      <c r="P209" s="151"/>
      <c r="Q209" s="151"/>
    </row>
    <row r="210" spans="1:17">
      <c r="A210" s="151"/>
      <c r="B210" s="151"/>
      <c r="C210" s="151"/>
      <c r="D210" s="151"/>
      <c r="E210" s="151"/>
      <c r="F210" s="151"/>
      <c r="G210" s="151"/>
      <c r="H210" s="151"/>
      <c r="I210" s="151"/>
      <c r="J210" s="151"/>
      <c r="K210" s="151"/>
      <c r="L210" s="151"/>
      <c r="M210" s="151"/>
      <c r="N210" s="151"/>
      <c r="O210" s="151"/>
      <c r="P210" s="151"/>
      <c r="Q210" s="151"/>
    </row>
    <row r="211" spans="1:17">
      <c r="A211" s="151"/>
      <c r="B211" s="151"/>
      <c r="C211" s="151"/>
      <c r="D211" s="151"/>
      <c r="E211" s="151"/>
      <c r="F211" s="151"/>
      <c r="G211" s="151"/>
      <c r="H211" s="151"/>
      <c r="I211" s="151"/>
      <c r="J211" s="151"/>
      <c r="K211" s="151"/>
      <c r="L211" s="151"/>
      <c r="M211" s="151"/>
      <c r="N211" s="151"/>
      <c r="O211" s="151"/>
      <c r="P211" s="151"/>
      <c r="Q211" s="151"/>
    </row>
    <row r="212" spans="1:17">
      <c r="A212" s="151"/>
      <c r="B212" s="151"/>
      <c r="C212" s="151"/>
      <c r="D212" s="151"/>
      <c r="E212" s="151"/>
      <c r="F212" s="151"/>
      <c r="G212" s="151"/>
      <c r="H212" s="151"/>
      <c r="I212" s="151"/>
      <c r="J212" s="151"/>
      <c r="K212" s="151"/>
      <c r="L212" s="151"/>
      <c r="M212" s="151"/>
      <c r="N212" s="151"/>
      <c r="O212" s="151"/>
      <c r="P212" s="151"/>
      <c r="Q212" s="151"/>
    </row>
    <row r="213" spans="1:17">
      <c r="A213" s="151"/>
      <c r="B213" s="151"/>
      <c r="C213" s="151"/>
      <c r="D213" s="151"/>
      <c r="E213" s="151"/>
      <c r="F213" s="151"/>
      <c r="G213" s="151"/>
      <c r="H213" s="151"/>
      <c r="I213" s="151"/>
      <c r="J213" s="151"/>
      <c r="K213" s="151"/>
      <c r="L213" s="151"/>
      <c r="M213" s="151"/>
      <c r="N213" s="151"/>
      <c r="O213" s="151"/>
      <c r="P213" s="151"/>
      <c r="Q213" s="151"/>
    </row>
    <row r="214" spans="1:17">
      <c r="A214" s="151"/>
      <c r="B214" s="151"/>
      <c r="C214" s="151"/>
      <c r="D214" s="151"/>
      <c r="E214" s="151"/>
      <c r="F214" s="151"/>
      <c r="G214" s="151"/>
      <c r="H214" s="151"/>
      <c r="I214" s="151"/>
      <c r="J214" s="151"/>
      <c r="K214" s="151"/>
      <c r="L214" s="151"/>
      <c r="M214" s="151"/>
      <c r="N214" s="151"/>
      <c r="O214" s="151"/>
      <c r="P214" s="151"/>
      <c r="Q214" s="151"/>
    </row>
    <row r="215" spans="1:17">
      <c r="A215" s="151"/>
      <c r="B215" s="151"/>
      <c r="C215" s="151"/>
      <c r="D215" s="151"/>
      <c r="E215" s="151"/>
      <c r="F215" s="151"/>
      <c r="G215" s="151"/>
      <c r="H215" s="151"/>
      <c r="I215" s="151"/>
      <c r="J215" s="151"/>
      <c r="K215" s="151"/>
      <c r="L215" s="151"/>
      <c r="M215" s="151"/>
      <c r="N215" s="151"/>
      <c r="O215" s="151"/>
      <c r="P215" s="151"/>
      <c r="Q215" s="151"/>
    </row>
    <row r="216" spans="1:17">
      <c r="A216" s="151"/>
      <c r="B216" s="151"/>
      <c r="C216" s="151"/>
      <c r="D216" s="151"/>
      <c r="E216" s="151"/>
      <c r="F216" s="151"/>
      <c r="G216" s="151"/>
      <c r="H216" s="151"/>
      <c r="I216" s="151"/>
      <c r="J216" s="151"/>
      <c r="K216" s="151"/>
      <c r="L216" s="151"/>
      <c r="M216" s="151"/>
      <c r="N216" s="151"/>
      <c r="O216" s="151"/>
      <c r="P216" s="151"/>
      <c r="Q216" s="151"/>
    </row>
    <row r="217" spans="1:17">
      <c r="A217" s="151"/>
      <c r="B217" s="151"/>
      <c r="C217" s="151"/>
      <c r="D217" s="151"/>
      <c r="E217" s="151"/>
      <c r="F217" s="151"/>
      <c r="G217" s="151"/>
      <c r="H217" s="151"/>
      <c r="I217" s="151"/>
      <c r="J217" s="151"/>
      <c r="K217" s="151"/>
      <c r="L217" s="151"/>
      <c r="M217" s="151"/>
      <c r="N217" s="151"/>
      <c r="O217" s="151"/>
      <c r="P217" s="151"/>
      <c r="Q217" s="151"/>
    </row>
    <row r="218" spans="1:17">
      <c r="A218" s="151"/>
      <c r="B218" s="151"/>
      <c r="C218" s="151"/>
      <c r="D218" s="151"/>
      <c r="E218" s="151"/>
      <c r="F218" s="151"/>
      <c r="G218" s="151"/>
      <c r="H218" s="151"/>
      <c r="I218" s="151"/>
      <c r="J218" s="151"/>
      <c r="K218" s="151"/>
      <c r="L218" s="151"/>
      <c r="M218" s="151"/>
      <c r="N218" s="151"/>
      <c r="O218" s="151"/>
      <c r="P218" s="151"/>
      <c r="Q218" s="151"/>
    </row>
    <row r="219" spans="1:17">
      <c r="A219" s="151"/>
      <c r="B219" s="151"/>
      <c r="C219" s="151"/>
      <c r="D219" s="151"/>
      <c r="E219" s="151"/>
      <c r="F219" s="151"/>
      <c r="G219" s="151"/>
      <c r="H219" s="151"/>
      <c r="I219" s="151"/>
      <c r="J219" s="151"/>
      <c r="K219" s="151"/>
      <c r="L219" s="151"/>
      <c r="M219" s="151"/>
      <c r="N219" s="151"/>
      <c r="O219" s="151"/>
      <c r="P219" s="151"/>
      <c r="Q219" s="151"/>
    </row>
    <row r="220" spans="1:17">
      <c r="A220" s="151"/>
      <c r="B220" s="151"/>
      <c r="C220" s="151"/>
      <c r="D220" s="151"/>
      <c r="E220" s="151"/>
      <c r="F220" s="151"/>
      <c r="G220" s="151"/>
      <c r="H220" s="151"/>
      <c r="I220" s="151"/>
      <c r="J220" s="151"/>
      <c r="K220" s="151"/>
      <c r="L220" s="151"/>
      <c r="M220" s="151"/>
      <c r="N220" s="151"/>
      <c r="O220" s="151"/>
      <c r="P220" s="151"/>
      <c r="Q220" s="151"/>
    </row>
    <row r="221" spans="1:17">
      <c r="A221" s="151"/>
      <c r="B221" s="151"/>
      <c r="C221" s="151"/>
      <c r="D221" s="151"/>
      <c r="E221" s="151"/>
      <c r="F221" s="151"/>
      <c r="G221" s="151"/>
      <c r="H221" s="151"/>
      <c r="I221" s="151"/>
      <c r="J221" s="151"/>
      <c r="K221" s="151"/>
      <c r="L221" s="151"/>
      <c r="M221" s="151"/>
      <c r="N221" s="151"/>
      <c r="O221" s="151"/>
      <c r="P221" s="151"/>
      <c r="Q221" s="151"/>
    </row>
    <row r="222" spans="1:17">
      <c r="A222" s="151"/>
      <c r="B222" s="151"/>
      <c r="C222" s="151"/>
      <c r="D222" s="151"/>
      <c r="E222" s="151"/>
      <c r="F222" s="151"/>
      <c r="G222" s="151"/>
      <c r="H222" s="151"/>
      <c r="I222" s="151"/>
      <c r="J222" s="151"/>
      <c r="K222" s="151"/>
      <c r="L222" s="151"/>
      <c r="M222" s="151"/>
      <c r="N222" s="151"/>
      <c r="O222" s="151"/>
      <c r="P222" s="151"/>
      <c r="Q222" s="151"/>
    </row>
    <row r="223" spans="1:17">
      <c r="A223" s="151"/>
      <c r="B223" s="151"/>
      <c r="C223" s="151"/>
      <c r="D223" s="151"/>
      <c r="E223" s="151"/>
      <c r="F223" s="151"/>
      <c r="G223" s="151"/>
      <c r="H223" s="151"/>
      <c r="I223" s="151"/>
      <c r="J223" s="151"/>
      <c r="K223" s="151"/>
      <c r="L223" s="151"/>
      <c r="M223" s="151"/>
      <c r="N223" s="151"/>
      <c r="O223" s="151"/>
      <c r="P223" s="151"/>
      <c r="Q223" s="151"/>
    </row>
    <row r="224" spans="1:17">
      <c r="A224" s="151"/>
      <c r="B224" s="151"/>
      <c r="C224" s="151"/>
      <c r="D224" s="151"/>
      <c r="E224" s="151"/>
      <c r="F224" s="151"/>
      <c r="G224" s="151"/>
      <c r="H224" s="151"/>
      <c r="I224" s="151"/>
      <c r="J224" s="151"/>
      <c r="K224" s="151"/>
      <c r="L224" s="151"/>
      <c r="M224" s="151"/>
      <c r="N224" s="151"/>
      <c r="O224" s="151"/>
      <c r="P224" s="151"/>
      <c r="Q224" s="151"/>
    </row>
    <row r="225" spans="1:17">
      <c r="A225" s="151"/>
      <c r="B225" s="151"/>
      <c r="C225" s="151"/>
      <c r="D225" s="151"/>
      <c r="E225" s="151"/>
      <c r="F225" s="151"/>
      <c r="G225" s="151"/>
      <c r="H225" s="151"/>
      <c r="I225" s="151"/>
      <c r="J225" s="151"/>
      <c r="K225" s="151"/>
      <c r="L225" s="151"/>
      <c r="M225" s="151"/>
      <c r="N225" s="151"/>
      <c r="O225" s="151"/>
      <c r="P225" s="151"/>
      <c r="Q225" s="151"/>
    </row>
    <row r="226" spans="1:17">
      <c r="A226" s="151"/>
      <c r="B226" s="151"/>
      <c r="C226" s="151"/>
      <c r="D226" s="151"/>
      <c r="E226" s="151"/>
      <c r="F226" s="151"/>
      <c r="G226" s="151"/>
      <c r="H226" s="151"/>
      <c r="I226" s="151"/>
      <c r="J226" s="151"/>
      <c r="K226" s="151"/>
      <c r="L226" s="151"/>
      <c r="M226" s="151"/>
      <c r="N226" s="151"/>
      <c r="O226" s="151"/>
      <c r="P226" s="151"/>
      <c r="Q226" s="151"/>
    </row>
    <row r="227" spans="1:17">
      <c r="A227" s="151"/>
      <c r="B227" s="151"/>
      <c r="C227" s="151"/>
      <c r="D227" s="151"/>
      <c r="E227" s="151"/>
      <c r="F227" s="151"/>
      <c r="G227" s="151"/>
      <c r="H227" s="151"/>
      <c r="I227" s="151"/>
      <c r="J227" s="151"/>
      <c r="K227" s="151"/>
      <c r="L227" s="151"/>
      <c r="M227" s="151"/>
      <c r="N227" s="151"/>
      <c r="O227" s="151"/>
      <c r="P227" s="151"/>
      <c r="Q227" s="151"/>
    </row>
    <row r="228" spans="1:17">
      <c r="A228" s="151"/>
      <c r="B228" s="151"/>
      <c r="C228" s="151"/>
      <c r="D228" s="151"/>
      <c r="E228" s="151"/>
      <c r="F228" s="151"/>
      <c r="G228" s="151"/>
      <c r="H228" s="151"/>
      <c r="I228" s="151"/>
      <c r="J228" s="151"/>
      <c r="K228" s="151"/>
      <c r="L228" s="151"/>
      <c r="M228" s="151"/>
      <c r="N228" s="151"/>
      <c r="O228" s="151"/>
      <c r="P228" s="151"/>
      <c r="Q228" s="15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5"/>
  <sheetViews>
    <sheetView workbookViewId="0"/>
  </sheetViews>
  <sheetFormatPr defaultRowHeight="15"/>
  <cols>
    <col min="2" max="2" width="51" customWidth="1"/>
    <col min="3" max="3" width="11.44140625" customWidth="1"/>
  </cols>
  <sheetData>
    <row r="1" spans="1:9" ht="15.75">
      <c r="A1" s="195" t="s">
        <v>321</v>
      </c>
      <c r="B1" s="195"/>
      <c r="C1" s="195"/>
      <c r="D1" s="195"/>
      <c r="E1" s="212"/>
      <c r="F1" s="212"/>
      <c r="G1" s="212"/>
      <c r="H1" s="212"/>
      <c r="I1" s="212"/>
    </row>
    <row r="2" spans="1:9" ht="15.75">
      <c r="A2" s="196" t="s">
        <v>346</v>
      </c>
      <c r="B2" s="196"/>
      <c r="C2" s="196"/>
      <c r="D2" s="196"/>
      <c r="E2" s="212"/>
      <c r="F2" s="212"/>
      <c r="G2" s="212"/>
      <c r="H2" s="212"/>
      <c r="I2" s="212"/>
    </row>
    <row r="4" spans="1:9" ht="15.75">
      <c r="A4" s="213" t="s">
        <v>856</v>
      </c>
      <c r="B4" s="212"/>
      <c r="C4" s="214" t="s">
        <v>7</v>
      </c>
      <c r="D4" s="212"/>
      <c r="E4" s="212"/>
      <c r="F4" s="212"/>
      <c r="G4" s="212"/>
      <c r="H4" s="212"/>
      <c r="I4" s="212"/>
    </row>
    <row r="5" spans="1:9" ht="15.75">
      <c r="A5" s="215" t="s">
        <v>857</v>
      </c>
      <c r="B5" s="216"/>
      <c r="C5" s="217"/>
      <c r="D5" s="212"/>
      <c r="E5" s="212"/>
      <c r="F5" s="212"/>
      <c r="G5" s="212"/>
      <c r="H5" s="212"/>
      <c r="I5" s="212"/>
    </row>
    <row r="6" spans="1:9" ht="15.75">
      <c r="A6" s="218" t="s">
        <v>858</v>
      </c>
      <c r="B6" s="216"/>
      <c r="C6" s="217">
        <v>81245.64</v>
      </c>
      <c r="D6" s="219"/>
      <c r="E6" s="212"/>
      <c r="F6" s="212"/>
      <c r="G6" s="212"/>
      <c r="H6" s="212"/>
      <c r="I6" s="212"/>
    </row>
    <row r="7" spans="1:9" ht="15.75">
      <c r="A7" s="218" t="s">
        <v>859</v>
      </c>
      <c r="B7" s="216"/>
      <c r="C7" s="220">
        <v>18022.64</v>
      </c>
      <c r="D7" s="212"/>
      <c r="E7" s="212"/>
      <c r="F7" s="212"/>
      <c r="G7" s="212"/>
      <c r="H7" s="212"/>
      <c r="I7" s="212"/>
    </row>
    <row r="8" spans="1:9" ht="15.75">
      <c r="A8" s="218" t="s">
        <v>860</v>
      </c>
      <c r="B8" s="216"/>
      <c r="C8" s="221">
        <v>155105.54999999999</v>
      </c>
      <c r="D8" s="212" t="s">
        <v>861</v>
      </c>
      <c r="E8" s="212"/>
      <c r="F8" s="212"/>
      <c r="G8" s="247" t="s">
        <v>945</v>
      </c>
      <c r="H8" s="212"/>
      <c r="I8" s="212"/>
    </row>
    <row r="9" spans="1:9" ht="15.75">
      <c r="A9" s="218" t="s">
        <v>862</v>
      </c>
      <c r="B9" s="216"/>
      <c r="C9" s="221">
        <v>125816.88</v>
      </c>
      <c r="D9" s="222" t="s">
        <v>861</v>
      </c>
      <c r="E9" s="212"/>
      <c r="F9" s="212"/>
      <c r="G9" s="247" t="s">
        <v>944</v>
      </c>
      <c r="H9" s="212"/>
      <c r="I9" s="212"/>
    </row>
    <row r="10" spans="1:9" ht="15.75">
      <c r="A10" s="218" t="s">
        <v>863</v>
      </c>
      <c r="B10" s="216"/>
      <c r="C10" s="221">
        <v>69398.03</v>
      </c>
      <c r="D10" s="212" t="s">
        <v>861</v>
      </c>
      <c r="E10" s="212"/>
      <c r="F10" s="212"/>
      <c r="G10" s="247" t="s">
        <v>946</v>
      </c>
      <c r="H10" s="212"/>
      <c r="I10" s="212"/>
    </row>
    <row r="11" spans="1:9" ht="15.75">
      <c r="A11" s="218" t="s">
        <v>864</v>
      </c>
      <c r="B11" s="216"/>
      <c r="C11" s="221">
        <v>191017.16</v>
      </c>
      <c r="D11" s="212" t="s">
        <v>861</v>
      </c>
      <c r="E11" s="212"/>
      <c r="F11" s="212"/>
      <c r="G11" s="247" t="s">
        <v>947</v>
      </c>
      <c r="H11" s="212"/>
      <c r="I11" s="212"/>
    </row>
    <row r="12" spans="1:9" ht="15.75">
      <c r="A12" s="218" t="s">
        <v>865</v>
      </c>
      <c r="B12" s="216"/>
      <c r="C12" s="221">
        <v>151640.41</v>
      </c>
      <c r="D12" s="212" t="s">
        <v>866</v>
      </c>
      <c r="E12" s="212"/>
      <c r="F12" s="212"/>
      <c r="G12" s="247" t="s">
        <v>948</v>
      </c>
      <c r="H12" s="212"/>
      <c r="I12" s="212"/>
    </row>
    <row r="13" spans="1:9" ht="15.75">
      <c r="A13" s="218" t="s">
        <v>867</v>
      </c>
      <c r="B13" s="216"/>
      <c r="C13" s="223">
        <f>23465.96+309.9</f>
        <v>23775.86</v>
      </c>
      <c r="D13" s="212"/>
      <c r="E13" s="212"/>
      <c r="F13" s="212"/>
      <c r="G13" s="247" t="s">
        <v>949</v>
      </c>
      <c r="H13" s="212"/>
      <c r="I13" s="212"/>
    </row>
    <row r="14" spans="1:9" ht="15.75">
      <c r="A14" s="218" t="s">
        <v>868</v>
      </c>
      <c r="B14" s="216"/>
      <c r="C14" s="223">
        <v>2973.57</v>
      </c>
      <c r="D14" s="212"/>
      <c r="E14" s="212"/>
      <c r="F14" s="212"/>
      <c r="G14" s="247" t="s">
        <v>950</v>
      </c>
      <c r="H14" s="212"/>
      <c r="I14" s="224"/>
    </row>
    <row r="15" spans="1:9" ht="15.75">
      <c r="A15" s="218" t="s">
        <v>869</v>
      </c>
      <c r="B15" s="216"/>
      <c r="C15" s="223">
        <v>0</v>
      </c>
      <c r="D15" s="212"/>
      <c r="E15" s="212"/>
      <c r="F15" s="212"/>
      <c r="G15" s="247" t="s">
        <v>951</v>
      </c>
      <c r="H15" s="212"/>
      <c r="I15" s="224"/>
    </row>
    <row r="16" spans="1:9" ht="15.75">
      <c r="A16" s="218" t="s">
        <v>870</v>
      </c>
      <c r="B16" s="216"/>
      <c r="C16" s="221">
        <v>0</v>
      </c>
      <c r="D16" s="212" t="s">
        <v>866</v>
      </c>
      <c r="E16" s="212"/>
      <c r="F16" s="212"/>
      <c r="G16" s="247" t="s">
        <v>952</v>
      </c>
      <c r="H16" s="212"/>
      <c r="I16" s="224"/>
    </row>
    <row r="17" spans="1:9" ht="15.75">
      <c r="A17" s="218" t="s">
        <v>871</v>
      </c>
      <c r="B17" s="216"/>
      <c r="C17" s="223">
        <v>130228.73</v>
      </c>
      <c r="D17" s="212"/>
      <c r="E17" s="212"/>
      <c r="F17" s="212"/>
      <c r="G17" s="212"/>
      <c r="H17" s="212"/>
      <c r="I17" s="224"/>
    </row>
    <row r="18" spans="1:9" ht="15.75">
      <c r="A18" s="218" t="s">
        <v>872</v>
      </c>
      <c r="B18" s="216"/>
      <c r="C18" s="223">
        <v>5744.41</v>
      </c>
      <c r="D18" s="212"/>
      <c r="E18" s="212"/>
      <c r="F18" s="212"/>
      <c r="G18" s="212"/>
      <c r="H18" s="212"/>
      <c r="I18" s="224"/>
    </row>
    <row r="19" spans="1:9" ht="15.75">
      <c r="A19" s="218" t="s">
        <v>873</v>
      </c>
      <c r="B19" s="216"/>
      <c r="C19" s="223">
        <v>0</v>
      </c>
      <c r="D19" s="212"/>
      <c r="E19" s="212"/>
      <c r="F19" s="212"/>
      <c r="G19" s="212"/>
      <c r="H19" s="212"/>
      <c r="I19" s="224"/>
    </row>
    <row r="20" spans="1:9" ht="15.75">
      <c r="A20" s="218" t="s">
        <v>874</v>
      </c>
      <c r="B20" s="216"/>
      <c r="C20" s="225">
        <v>880652.95</v>
      </c>
      <c r="D20" s="212" t="s">
        <v>875</v>
      </c>
      <c r="E20" s="212"/>
      <c r="F20" s="212"/>
      <c r="G20" s="378" t="s">
        <v>1233</v>
      </c>
      <c r="H20" s="212"/>
      <c r="I20" s="224"/>
    </row>
    <row r="21" spans="1:9" ht="15.75">
      <c r="A21" s="218" t="s">
        <v>876</v>
      </c>
      <c r="B21" s="216"/>
      <c r="C21" s="223">
        <v>207016.55</v>
      </c>
      <c r="D21" s="388" t="s">
        <v>1239</v>
      </c>
      <c r="E21" s="212"/>
      <c r="F21" s="212"/>
      <c r="H21" s="212"/>
      <c r="I21" s="224"/>
    </row>
    <row r="22" spans="1:9" ht="15.75">
      <c r="A22" s="218" t="s">
        <v>877</v>
      </c>
      <c r="B22" s="216"/>
      <c r="C22" s="223">
        <v>0</v>
      </c>
      <c r="D22" s="212"/>
      <c r="E22" s="212"/>
      <c r="F22" s="212"/>
      <c r="G22" s="212"/>
      <c r="H22" s="212"/>
      <c r="I22" s="224"/>
    </row>
    <row r="23" spans="1:9" ht="15.75">
      <c r="A23" s="218" t="s">
        <v>878</v>
      </c>
      <c r="B23" s="216"/>
      <c r="C23" s="223">
        <v>110248.23</v>
      </c>
      <c r="D23" s="212"/>
      <c r="E23" s="212"/>
      <c r="F23" s="212"/>
      <c r="G23" s="224"/>
    </row>
    <row r="24" spans="1:9" ht="15.75">
      <c r="A24" s="218" t="s">
        <v>879</v>
      </c>
      <c r="B24" s="216"/>
      <c r="C24" s="223">
        <v>68390.740000000005</v>
      </c>
      <c r="D24" s="212"/>
      <c r="E24" s="212"/>
      <c r="F24" s="212"/>
      <c r="G24" s="212"/>
    </row>
    <row r="25" spans="1:9" ht="18">
      <c r="A25" s="215" t="s">
        <v>880</v>
      </c>
      <c r="B25" s="216"/>
      <c r="C25" s="223"/>
      <c r="D25" s="212"/>
      <c r="E25" s="226"/>
      <c r="F25" s="212"/>
      <c r="G25" s="212"/>
      <c r="H25" s="212"/>
      <c r="I25" s="224"/>
    </row>
    <row r="26" spans="1:9" ht="15.75">
      <c r="A26" s="218" t="s">
        <v>881</v>
      </c>
      <c r="B26" s="216"/>
      <c r="C26" s="223">
        <v>36485.54</v>
      </c>
      <c r="D26" s="212"/>
      <c r="E26" s="212"/>
      <c r="F26" s="212"/>
      <c r="G26" s="212"/>
      <c r="H26" s="212"/>
      <c r="I26" s="224"/>
    </row>
    <row r="27" spans="1:9" ht="15.75">
      <c r="A27" s="218" t="s">
        <v>882</v>
      </c>
      <c r="B27" s="216"/>
      <c r="C27" s="223">
        <v>0</v>
      </c>
      <c r="D27" s="212"/>
      <c r="E27" s="212"/>
      <c r="F27" s="212"/>
      <c r="G27" s="212"/>
      <c r="H27" s="212"/>
      <c r="I27" s="224"/>
    </row>
    <row r="28" spans="1:9" ht="15.75">
      <c r="A28" s="218" t="s">
        <v>883</v>
      </c>
      <c r="B28" s="216"/>
      <c r="C28" s="223">
        <v>0</v>
      </c>
      <c r="D28" s="212"/>
      <c r="E28" s="212"/>
      <c r="F28" s="212"/>
      <c r="G28" s="212"/>
      <c r="H28" s="212"/>
      <c r="I28" s="224"/>
    </row>
    <row r="29" spans="1:9" ht="15.75">
      <c r="A29" s="218" t="s">
        <v>884</v>
      </c>
      <c r="B29" s="216"/>
      <c r="C29" s="223">
        <v>0</v>
      </c>
      <c r="D29" s="212"/>
      <c r="E29" s="212"/>
      <c r="F29" s="212"/>
      <c r="G29" s="212"/>
      <c r="H29" s="212"/>
      <c r="I29" s="224"/>
    </row>
    <row r="30" spans="1:9" ht="15.75">
      <c r="A30" s="218" t="s">
        <v>885</v>
      </c>
      <c r="B30" s="216"/>
      <c r="C30" s="223">
        <v>0</v>
      </c>
      <c r="D30" s="212"/>
      <c r="E30" s="212"/>
      <c r="F30" s="212"/>
      <c r="G30" s="212"/>
      <c r="H30" s="212"/>
      <c r="I30" s="212"/>
    </row>
    <row r="31" spans="1:9" ht="15.75">
      <c r="A31" s="218" t="s">
        <v>886</v>
      </c>
      <c r="B31" s="216"/>
      <c r="C31" s="223">
        <v>0</v>
      </c>
      <c r="D31" s="212"/>
      <c r="E31" s="212"/>
      <c r="F31" s="212"/>
      <c r="G31" s="224"/>
      <c r="H31" s="212"/>
      <c r="I31" s="212"/>
    </row>
    <row r="32" spans="1:9" ht="15.75">
      <c r="A32" s="218" t="s">
        <v>887</v>
      </c>
      <c r="B32" s="216"/>
      <c r="C32" s="223">
        <v>155597</v>
      </c>
      <c r="D32" s="212"/>
      <c r="E32" s="212"/>
      <c r="F32" s="212"/>
      <c r="G32" s="224"/>
      <c r="H32" s="212"/>
      <c r="I32" s="212"/>
    </row>
    <row r="33" spans="1:9" ht="15.75">
      <c r="A33" s="218" t="s">
        <v>888</v>
      </c>
      <c r="B33" s="216"/>
      <c r="C33" s="223">
        <v>106415.45</v>
      </c>
      <c r="D33" s="212"/>
      <c r="E33" s="212"/>
      <c r="F33" s="212"/>
      <c r="G33" s="224"/>
      <c r="H33" s="212"/>
      <c r="I33" s="212"/>
    </row>
    <row r="34" spans="1:9" ht="15.75">
      <c r="A34" s="218" t="s">
        <v>889</v>
      </c>
      <c r="B34" s="216"/>
      <c r="C34" s="223">
        <v>0</v>
      </c>
      <c r="D34" s="212"/>
      <c r="E34" s="212"/>
      <c r="F34" s="212"/>
      <c r="G34" s="224"/>
      <c r="H34" s="212"/>
      <c r="I34" s="212"/>
    </row>
    <row r="35" spans="1:9" ht="15.75">
      <c r="A35" s="218" t="s">
        <v>890</v>
      </c>
      <c r="B35" s="216"/>
      <c r="C35" s="227">
        <v>0</v>
      </c>
      <c r="D35" s="212"/>
      <c r="E35" s="212"/>
      <c r="F35" s="212"/>
      <c r="G35" s="224"/>
      <c r="H35" s="212"/>
      <c r="I35" s="212"/>
    </row>
    <row r="37" spans="1:9" ht="15.75">
      <c r="A37" s="218" t="s">
        <v>891</v>
      </c>
      <c r="B37" s="212"/>
      <c r="C37" s="228">
        <f>SUM(C6:C35)</f>
        <v>2519775.3400000008</v>
      </c>
      <c r="D37" s="212" t="s">
        <v>892</v>
      </c>
      <c r="E37" s="212"/>
      <c r="F37" s="212"/>
      <c r="G37" s="212"/>
    </row>
    <row r="39" spans="1:9" ht="15.75">
      <c r="A39" s="229"/>
      <c r="B39" s="212"/>
      <c r="C39" s="217"/>
      <c r="D39" s="212"/>
      <c r="E39" s="212"/>
      <c r="F39" s="212"/>
      <c r="G39" s="212"/>
    </row>
    <row r="40" spans="1:9" ht="15.75">
      <c r="A40" s="229"/>
      <c r="B40" s="212"/>
      <c r="C40" s="217"/>
      <c r="D40" s="212"/>
      <c r="E40" s="212"/>
      <c r="F40" s="212"/>
      <c r="G40" s="212"/>
    </row>
    <row r="41" spans="1:9" ht="15.75">
      <c r="A41" s="230" t="s">
        <v>893</v>
      </c>
      <c r="B41" s="212"/>
      <c r="C41" s="217"/>
      <c r="D41" s="212"/>
      <c r="E41" s="212"/>
      <c r="F41" s="212"/>
      <c r="G41" s="212"/>
    </row>
    <row r="42" spans="1:9" ht="15.75">
      <c r="A42" s="231" t="s">
        <v>894</v>
      </c>
      <c r="B42" s="212"/>
      <c r="C42" s="217"/>
      <c r="D42" s="212"/>
      <c r="E42" s="212"/>
      <c r="F42" s="212"/>
      <c r="G42" s="212"/>
    </row>
    <row r="43" spans="1:9" ht="15.75">
      <c r="A43" s="232" t="s">
        <v>895</v>
      </c>
      <c r="B43" s="212"/>
      <c r="C43" s="217"/>
      <c r="D43" s="212"/>
      <c r="E43" s="212"/>
      <c r="F43" s="212"/>
      <c r="G43" s="212"/>
    </row>
    <row r="44" spans="1:9" ht="15.75">
      <c r="A44" s="231" t="s">
        <v>896</v>
      </c>
      <c r="B44" s="212"/>
      <c r="C44" s="217"/>
      <c r="D44" s="212"/>
      <c r="E44" s="212"/>
      <c r="F44" s="212"/>
      <c r="G44" s="212"/>
    </row>
    <row r="45" spans="1:9" ht="15.75">
      <c r="A45" s="233" t="s">
        <v>897</v>
      </c>
      <c r="B45" s="212"/>
      <c r="C45" s="217"/>
      <c r="D45" s="212"/>
      <c r="E45" s="212"/>
      <c r="F45" s="212"/>
      <c r="G45" s="212"/>
    </row>
    <row r="46" spans="1:9" ht="15.75">
      <c r="A46" s="231" t="s">
        <v>898</v>
      </c>
      <c r="B46" s="212"/>
      <c r="C46" s="217"/>
      <c r="D46" s="212"/>
      <c r="E46" s="212"/>
      <c r="F46" s="212"/>
      <c r="G46" s="212"/>
    </row>
    <row r="47" spans="1:9" ht="15.75">
      <c r="A47" s="233" t="s">
        <v>899</v>
      </c>
      <c r="B47" s="212"/>
      <c r="C47" s="217"/>
      <c r="D47" s="212"/>
      <c r="E47" s="212"/>
      <c r="F47" s="212"/>
      <c r="G47" s="212"/>
    </row>
    <row r="48" spans="1:9" ht="15.75">
      <c r="A48" s="232" t="s">
        <v>900</v>
      </c>
      <c r="B48" s="212"/>
      <c r="C48" s="217"/>
      <c r="D48" s="212"/>
      <c r="E48" s="212"/>
      <c r="F48" s="212"/>
      <c r="G48" s="212"/>
    </row>
    <row r="49" spans="1:7" ht="15.75">
      <c r="A49" s="218"/>
      <c r="B49" s="212"/>
      <c r="C49" s="217"/>
      <c r="D49" s="212"/>
      <c r="E49" s="212"/>
      <c r="F49" s="212"/>
      <c r="G49" s="212"/>
    </row>
    <row r="50" spans="1:7" ht="15.75">
      <c r="A50" s="218"/>
      <c r="B50" s="212"/>
      <c r="C50" s="217"/>
      <c r="D50" s="212"/>
      <c r="E50" s="212"/>
      <c r="F50" s="212"/>
      <c r="G50" s="212"/>
    </row>
    <row r="51" spans="1:7" ht="15.75">
      <c r="A51" s="234"/>
    </row>
    <row r="52" spans="1:7" ht="15.75">
      <c r="A52" s="218"/>
    </row>
    <row r="53" spans="1:7" ht="15.75">
      <c r="A53" s="218"/>
    </row>
    <row r="54" spans="1:7" ht="15.75">
      <c r="A54" s="218"/>
    </row>
    <row r="55" spans="1:7" ht="15.75">
      <c r="A55" s="218"/>
    </row>
    <row r="56" spans="1:7" ht="15.75">
      <c r="A56" s="234"/>
    </row>
    <row r="57" spans="1:7" ht="15.75">
      <c r="A57" s="218"/>
    </row>
    <row r="58" spans="1:7" ht="15.75">
      <c r="A58" s="218"/>
    </row>
    <row r="59" spans="1:7" ht="15.75">
      <c r="A59" s="218"/>
    </row>
    <row r="60" spans="1:7" ht="15.75">
      <c r="A60" s="218"/>
    </row>
    <row r="61" spans="1:7" ht="15.75">
      <c r="A61" s="234"/>
    </row>
    <row r="62" spans="1:7" ht="15.75">
      <c r="A62" s="218"/>
    </row>
    <row r="63" spans="1:7" ht="15.75">
      <c r="A63" s="218"/>
    </row>
    <row r="64" spans="1:7" ht="15.75">
      <c r="A64" s="218"/>
    </row>
    <row r="65" spans="1:1" ht="15.75">
      <c r="A65" s="218"/>
    </row>
    <row r="66" spans="1:1" ht="15.75">
      <c r="A66" s="218"/>
    </row>
    <row r="67" spans="1:1" ht="15.75">
      <c r="A67" s="218"/>
    </row>
    <row r="68" spans="1:1" ht="15.75">
      <c r="A68" s="218"/>
    </row>
    <row r="69" spans="1:1" ht="15.75">
      <c r="A69" s="218"/>
    </row>
    <row r="70" spans="1:1" ht="15.75">
      <c r="A70" s="218"/>
    </row>
    <row r="71" spans="1:1" ht="15.75">
      <c r="A71" s="218"/>
    </row>
    <row r="72" spans="1:1" ht="15.75">
      <c r="A72" s="218"/>
    </row>
    <row r="73" spans="1:1" ht="15.75">
      <c r="A73" s="218"/>
    </row>
    <row r="74" spans="1:1" ht="15.75">
      <c r="A74" s="218"/>
    </row>
    <row r="75" spans="1:1" ht="15.75">
      <c r="A75" s="21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82"/>
  <sheetViews>
    <sheetView topLeftCell="A28" workbookViewId="0">
      <selection activeCell="D37" sqref="D37"/>
    </sheetView>
  </sheetViews>
  <sheetFormatPr defaultRowHeight="15"/>
  <cols>
    <col min="1" max="1" width="69" customWidth="1"/>
    <col min="2" max="2" width="11.109375" customWidth="1"/>
    <col min="3" max="3" width="4.21875" customWidth="1"/>
    <col min="5" max="5" width="11" bestFit="1" customWidth="1"/>
    <col min="6" max="6" width="10.88671875" customWidth="1"/>
  </cols>
  <sheetData>
    <row r="1" spans="1:3" ht="15.75">
      <c r="A1" s="195" t="s">
        <v>321</v>
      </c>
      <c r="B1" s="195"/>
      <c r="C1" s="195"/>
    </row>
    <row r="2" spans="1:3" ht="15.75">
      <c r="A2" s="196" t="s">
        <v>346</v>
      </c>
      <c r="B2" s="196"/>
      <c r="C2" s="196"/>
    </row>
    <row r="3" spans="1:3" ht="18.75">
      <c r="A3" s="235"/>
      <c r="B3" s="212"/>
      <c r="C3" s="212"/>
    </row>
    <row r="4" spans="1:3" ht="18.75">
      <c r="A4" s="235"/>
      <c r="B4" s="212"/>
      <c r="C4" s="212"/>
    </row>
    <row r="5" spans="1:3" ht="15.75">
      <c r="A5" s="236" t="s">
        <v>901</v>
      </c>
      <c r="B5" s="237" t="s">
        <v>7</v>
      </c>
      <c r="C5" s="212"/>
    </row>
    <row r="6" spans="1:3" ht="15.75">
      <c r="A6" s="236"/>
      <c r="B6" s="212"/>
      <c r="C6" s="237"/>
    </row>
    <row r="7" spans="1:3" ht="15.75">
      <c r="A7" s="234" t="s">
        <v>902</v>
      </c>
      <c r="B7" s="219"/>
      <c r="C7" s="212"/>
    </row>
    <row r="8" spans="1:3" ht="15.75">
      <c r="A8" s="218" t="s">
        <v>903</v>
      </c>
      <c r="B8" s="238">
        <v>38601.18</v>
      </c>
      <c r="C8" s="212"/>
    </row>
    <row r="9" spans="1:3" ht="15.75">
      <c r="A9" s="218" t="s">
        <v>904</v>
      </c>
      <c r="B9" s="239">
        <v>107443.98</v>
      </c>
      <c r="C9" s="212"/>
    </row>
    <row r="10" spans="1:3" ht="15.75">
      <c r="A10" s="218" t="s">
        <v>905</v>
      </c>
      <c r="B10" s="239">
        <v>436419.65</v>
      </c>
      <c r="C10" s="212"/>
    </row>
    <row r="11" spans="1:3" ht="15.75">
      <c r="A11" s="218" t="s">
        <v>906</v>
      </c>
      <c r="B11" s="239">
        <v>65904.899999999994</v>
      </c>
      <c r="C11" s="212"/>
    </row>
    <row r="12" spans="1:3" ht="15.75">
      <c r="A12" s="218" t="s">
        <v>907</v>
      </c>
      <c r="B12" s="239">
        <v>0</v>
      </c>
      <c r="C12" s="212"/>
    </row>
    <row r="13" spans="1:3" ht="18">
      <c r="A13" s="218" t="s">
        <v>908</v>
      </c>
      <c r="B13" s="240">
        <v>72916.58</v>
      </c>
      <c r="C13" s="212"/>
    </row>
    <row r="14" spans="1:3" ht="15.75">
      <c r="A14" s="241" t="s">
        <v>909</v>
      </c>
      <c r="B14" s="239">
        <f>SUM(B8:B13)</f>
        <v>721286.29</v>
      </c>
      <c r="C14" s="212" t="s">
        <v>910</v>
      </c>
    </row>
    <row r="15" spans="1:3" ht="15.75">
      <c r="A15" s="218"/>
      <c r="B15" s="242"/>
      <c r="C15" s="212"/>
    </row>
    <row r="16" spans="1:3" ht="15.75">
      <c r="A16" s="234" t="s">
        <v>911</v>
      </c>
      <c r="B16" s="243"/>
      <c r="C16" s="212"/>
    </row>
    <row r="17" spans="1:5" ht="15.75">
      <c r="A17" s="218" t="s">
        <v>912</v>
      </c>
      <c r="B17" s="219">
        <v>0</v>
      </c>
      <c r="C17" s="212"/>
    </row>
    <row r="18" spans="1:5" ht="15.75">
      <c r="A18" s="218" t="s">
        <v>913</v>
      </c>
      <c r="B18" s="239">
        <v>0</v>
      </c>
      <c r="C18" s="212"/>
    </row>
    <row r="19" spans="1:5" ht="15.75">
      <c r="A19" s="218" t="s">
        <v>914</v>
      </c>
      <c r="B19" s="239">
        <v>78305.62</v>
      </c>
      <c r="C19" s="212"/>
    </row>
    <row r="20" spans="1:5" ht="18">
      <c r="A20" s="218" t="s">
        <v>938</v>
      </c>
      <c r="B20" s="240">
        <f>1800.35+677.49+111682.61</f>
        <v>114160.45</v>
      </c>
      <c r="C20" s="212"/>
    </row>
    <row r="21" spans="1:5" ht="15.75">
      <c r="A21" s="241" t="s">
        <v>915</v>
      </c>
      <c r="B21" s="239">
        <f>SUM(B17:B20)</f>
        <v>192466.07</v>
      </c>
      <c r="C21" s="212" t="s">
        <v>916</v>
      </c>
    </row>
    <row r="22" spans="1:5" ht="18">
      <c r="A22" s="218"/>
      <c r="B22" s="240"/>
      <c r="C22" s="212"/>
    </row>
    <row r="23" spans="1:5" ht="15.75">
      <c r="A23" s="234" t="s">
        <v>917</v>
      </c>
      <c r="B23" s="243"/>
      <c r="C23" s="212"/>
    </row>
    <row r="24" spans="1:5" ht="15.75">
      <c r="A24" s="218" t="s">
        <v>918</v>
      </c>
      <c r="B24" s="219">
        <v>0</v>
      </c>
      <c r="C24" s="212"/>
    </row>
    <row r="25" spans="1:5" ht="15.75">
      <c r="A25" s="218" t="s">
        <v>919</v>
      </c>
      <c r="B25" s="243">
        <v>0</v>
      </c>
      <c r="C25" s="212"/>
    </row>
    <row r="26" spans="1:5" ht="15.75">
      <c r="A26" s="218" t="s">
        <v>920</v>
      </c>
      <c r="B26" s="243">
        <v>0</v>
      </c>
      <c r="C26" s="212"/>
    </row>
    <row r="27" spans="1:5" ht="18">
      <c r="A27" s="218" t="s">
        <v>921</v>
      </c>
      <c r="B27" s="244">
        <v>0</v>
      </c>
      <c r="C27" s="212"/>
    </row>
    <row r="28" spans="1:5" ht="15.75">
      <c r="A28" s="234" t="s">
        <v>917</v>
      </c>
      <c r="B28" s="243">
        <v>0</v>
      </c>
      <c r="C28" s="212" t="s">
        <v>922</v>
      </c>
    </row>
    <row r="29" spans="1:5" ht="15.75">
      <c r="A29" s="218"/>
      <c r="B29" s="243"/>
      <c r="C29" s="212"/>
    </row>
    <row r="30" spans="1:5" ht="15.75">
      <c r="A30" s="234" t="s">
        <v>923</v>
      </c>
      <c r="B30" s="243"/>
      <c r="C30" s="212"/>
    </row>
    <row r="31" spans="1:5" ht="15.75">
      <c r="A31" s="218" t="s">
        <v>924</v>
      </c>
      <c r="B31" s="219">
        <v>2123229.9500000002</v>
      </c>
      <c r="C31" s="212"/>
      <c r="E31" s="383"/>
    </row>
    <row r="32" spans="1:5" ht="15.75">
      <c r="A32" s="218" t="s">
        <v>925</v>
      </c>
      <c r="B32" s="239">
        <v>156894.71</v>
      </c>
      <c r="C32" s="212"/>
      <c r="E32" s="384"/>
    </row>
    <row r="33" spans="1:5" ht="15.75">
      <c r="A33" s="218" t="s">
        <v>926</v>
      </c>
      <c r="B33" s="239">
        <v>0</v>
      </c>
      <c r="C33" s="212"/>
      <c r="E33" s="384"/>
    </row>
    <row r="34" spans="1:5" ht="15.75">
      <c r="A34" s="218" t="s">
        <v>927</v>
      </c>
      <c r="B34" s="239">
        <v>527850.81999999995</v>
      </c>
      <c r="C34" s="212"/>
      <c r="E34" s="384"/>
    </row>
    <row r="35" spans="1:5" ht="15.75">
      <c r="A35" s="218" t="s">
        <v>928</v>
      </c>
      <c r="B35" s="239">
        <v>660347.28</v>
      </c>
      <c r="C35" s="212"/>
      <c r="E35" s="384"/>
    </row>
    <row r="36" spans="1:5" ht="15.75">
      <c r="A36" s="218" t="s">
        <v>929</v>
      </c>
      <c r="B36" s="239">
        <v>975254.81</v>
      </c>
      <c r="C36" s="212"/>
      <c r="E36" s="384"/>
    </row>
    <row r="37" spans="1:5" ht="15.75">
      <c r="A37" s="218" t="s">
        <v>953</v>
      </c>
      <c r="B37" s="239">
        <f>7014015.78-1226510.41</f>
        <v>5787505.3700000001</v>
      </c>
      <c r="C37" s="212"/>
      <c r="D37" s="218" t="s">
        <v>1238</v>
      </c>
      <c r="E37" s="384"/>
    </row>
    <row r="38" spans="1:5" ht="15.75">
      <c r="A38" s="218" t="s">
        <v>930</v>
      </c>
      <c r="B38" s="239">
        <v>0</v>
      </c>
      <c r="C38" s="212"/>
      <c r="E38" s="384"/>
    </row>
    <row r="39" spans="1:5" ht="15.75">
      <c r="A39" s="218" t="s">
        <v>931</v>
      </c>
      <c r="B39" s="239">
        <v>94806.03</v>
      </c>
      <c r="C39" s="212"/>
      <c r="E39" s="384"/>
    </row>
    <row r="40" spans="1:5" ht="15.75">
      <c r="A40" s="218" t="s">
        <v>939</v>
      </c>
      <c r="B40" s="239">
        <v>-330652.86</v>
      </c>
      <c r="C40" s="212"/>
      <c r="E40" s="384"/>
    </row>
    <row r="41" spans="1:5" ht="15.75">
      <c r="A41" s="218" t="s">
        <v>932</v>
      </c>
      <c r="B41" s="239">
        <v>0</v>
      </c>
      <c r="C41" s="212"/>
      <c r="E41" s="384"/>
    </row>
    <row r="42" spans="1:5" ht="15.75">
      <c r="A42" s="218" t="s">
        <v>933</v>
      </c>
      <c r="B42" s="239">
        <v>503627.75</v>
      </c>
      <c r="C42" s="212"/>
      <c r="E42" s="384"/>
    </row>
    <row r="43" spans="1:5" ht="15.75">
      <c r="A43" s="218" t="s">
        <v>934</v>
      </c>
      <c r="B43" s="239">
        <v>0</v>
      </c>
      <c r="C43" s="212"/>
      <c r="E43" s="384"/>
    </row>
    <row r="44" spans="1:5" ht="15.75">
      <c r="A44" s="218" t="s">
        <v>935</v>
      </c>
      <c r="B44" s="239">
        <v>339561.6</v>
      </c>
      <c r="C44" s="212"/>
      <c r="E44" s="384"/>
    </row>
    <row r="45" spans="1:5" ht="15.75">
      <c r="A45" s="218" t="s">
        <v>936</v>
      </c>
      <c r="B45" s="239">
        <v>433308.45</v>
      </c>
      <c r="C45" s="212"/>
      <c r="E45" s="384"/>
    </row>
    <row r="46" spans="1:5" ht="15.75">
      <c r="A46" s="218" t="s">
        <v>937</v>
      </c>
      <c r="B46" s="245">
        <v>365718.42</v>
      </c>
      <c r="C46" s="212"/>
      <c r="E46" s="385"/>
    </row>
    <row r="47" spans="1:5" ht="15.75">
      <c r="A47" s="234" t="s">
        <v>923</v>
      </c>
      <c r="B47" s="246">
        <f>SUM(B31:B46)</f>
        <v>11637452.33</v>
      </c>
      <c r="C47" s="377" t="s">
        <v>1231</v>
      </c>
      <c r="E47" s="386"/>
    </row>
    <row r="50" spans="1:4" ht="15.75">
      <c r="A50" s="230" t="s">
        <v>893</v>
      </c>
      <c r="B50" s="212"/>
      <c r="C50" s="212"/>
    </row>
    <row r="51" spans="1:4" ht="15.75">
      <c r="A51" s="222" t="s">
        <v>940</v>
      </c>
      <c r="B51" s="212"/>
      <c r="C51" s="212"/>
      <c r="D51" s="212"/>
    </row>
    <row r="52" spans="1:4" ht="15.75">
      <c r="A52" s="222" t="s">
        <v>941</v>
      </c>
      <c r="B52" s="212"/>
      <c r="C52" s="212"/>
      <c r="D52" s="212"/>
    </row>
    <row r="53" spans="1:4" ht="15.75">
      <c r="A53" s="218"/>
      <c r="B53" s="212"/>
      <c r="C53" s="212"/>
      <c r="D53" s="212"/>
    </row>
    <row r="54" spans="1:4" ht="15.75">
      <c r="A54" s="222" t="s">
        <v>942</v>
      </c>
      <c r="B54" s="222"/>
      <c r="C54" s="222"/>
      <c r="D54" s="222"/>
    </row>
    <row r="55" spans="1:4" ht="15.75">
      <c r="A55" s="222" t="s">
        <v>943</v>
      </c>
      <c r="B55" s="212"/>
      <c r="C55" s="212"/>
      <c r="D55" s="212"/>
    </row>
    <row r="56" spans="1:4" ht="15.75">
      <c r="A56" s="218"/>
      <c r="B56" s="212"/>
      <c r="C56" s="212"/>
      <c r="D56" s="212"/>
    </row>
    <row r="57" spans="1:4" ht="15.75">
      <c r="A57" s="218"/>
      <c r="B57" s="212"/>
      <c r="C57" s="212"/>
      <c r="D57" s="212"/>
    </row>
    <row r="58" spans="1:4" ht="15.75">
      <c r="A58" s="234"/>
      <c r="B58" s="212"/>
      <c r="C58" s="212"/>
      <c r="D58" s="212"/>
    </row>
    <row r="59" spans="1:4" ht="15.75">
      <c r="A59" s="218"/>
      <c r="B59" s="212"/>
      <c r="C59" s="212"/>
      <c r="D59" s="212"/>
    </row>
    <row r="60" spans="1:4" ht="15.75">
      <c r="A60" s="218"/>
      <c r="B60" s="212"/>
      <c r="C60" s="212"/>
      <c r="D60" s="212"/>
    </row>
    <row r="61" spans="1:4" ht="15.75">
      <c r="A61" s="218"/>
      <c r="B61" s="212"/>
      <c r="C61" s="212"/>
      <c r="D61" s="212"/>
    </row>
    <row r="62" spans="1:4" ht="15.75">
      <c r="A62" s="218"/>
      <c r="B62" s="212"/>
      <c r="C62" s="212"/>
      <c r="D62" s="212"/>
    </row>
    <row r="63" spans="1:4" ht="15.75">
      <c r="A63" s="234"/>
      <c r="B63" s="212"/>
      <c r="C63" s="212"/>
      <c r="D63" s="212"/>
    </row>
    <row r="64" spans="1:4" ht="15.75">
      <c r="A64" s="218"/>
      <c r="B64" s="212"/>
      <c r="C64" s="212"/>
      <c r="D64" s="212"/>
    </row>
    <row r="65" spans="1:4" ht="15.75">
      <c r="A65" s="218"/>
      <c r="B65" s="212"/>
      <c r="C65" s="212"/>
      <c r="D65" s="212"/>
    </row>
    <row r="66" spans="1:4" ht="15.75">
      <c r="A66" s="218"/>
      <c r="B66" s="212"/>
      <c r="C66" s="212"/>
      <c r="D66" s="212"/>
    </row>
    <row r="67" spans="1:4" ht="15.75">
      <c r="A67" s="218"/>
    </row>
    <row r="68" spans="1:4" ht="15.75">
      <c r="A68" s="234"/>
    </row>
    <row r="69" spans="1:4" ht="15.75">
      <c r="A69" s="218"/>
    </row>
    <row r="70" spans="1:4" ht="15.75">
      <c r="A70" s="218"/>
    </row>
    <row r="71" spans="1:4" ht="15.75">
      <c r="A71" s="218"/>
    </row>
    <row r="72" spans="1:4" ht="15.75">
      <c r="A72" s="218"/>
    </row>
    <row r="73" spans="1:4" ht="15.75">
      <c r="A73" s="218"/>
    </row>
    <row r="74" spans="1:4" ht="15.75">
      <c r="A74" s="218"/>
    </row>
    <row r="75" spans="1:4" ht="15.75">
      <c r="A75" s="218"/>
    </row>
    <row r="76" spans="1:4" ht="15.75">
      <c r="A76" s="218"/>
    </row>
    <row r="77" spans="1:4" ht="15.75">
      <c r="A77" s="218"/>
    </row>
    <row r="78" spans="1:4" ht="15.75">
      <c r="A78" s="218"/>
    </row>
    <row r="79" spans="1:4" ht="15.75">
      <c r="A79" s="218"/>
    </row>
    <row r="80" spans="1:4" ht="15.75">
      <c r="A80" s="218"/>
    </row>
    <row r="81" spans="1:1" ht="15.75">
      <c r="A81" s="218"/>
    </row>
    <row r="82" spans="1:1" ht="15.75">
      <c r="A82" s="218"/>
    </row>
  </sheetData>
  <pageMargins left="0.7" right="0.7" top="0.75" bottom="0.75" header="0.3" footer="0.3"/>
  <pageSetup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74"/>
  <sheetViews>
    <sheetView workbookViewId="0"/>
  </sheetViews>
  <sheetFormatPr defaultRowHeight="15"/>
  <cols>
    <col min="1" max="1" width="26.6640625" style="151" bestFit="1" customWidth="1"/>
    <col min="2" max="2" width="16.44140625" style="254" bestFit="1" customWidth="1"/>
    <col min="3" max="3" width="17.109375" style="151" customWidth="1"/>
    <col min="4" max="16384" width="8.88671875" style="151"/>
  </cols>
  <sheetData>
    <row r="1" spans="1:3">
      <c r="A1" s="248" t="s">
        <v>974</v>
      </c>
      <c r="B1" s="248"/>
      <c r="C1" s="268"/>
    </row>
    <row r="2" spans="1:3">
      <c r="A2" s="248" t="s">
        <v>954</v>
      </c>
      <c r="B2" s="248"/>
      <c r="C2" s="268"/>
    </row>
    <row r="3" spans="1:3">
      <c r="A3" s="249" t="s">
        <v>1240</v>
      </c>
      <c r="B3" s="248"/>
      <c r="C3" s="268"/>
    </row>
    <row r="4" spans="1:3">
      <c r="A4" s="250"/>
      <c r="B4" s="250"/>
    </row>
    <row r="5" spans="1:3">
      <c r="A5" s="250"/>
      <c r="B5" s="250"/>
    </row>
    <row r="6" spans="1:3">
      <c r="B6" s="252" t="s">
        <v>1034</v>
      </c>
      <c r="C6" s="252" t="s">
        <v>880</v>
      </c>
    </row>
    <row r="7" spans="1:3">
      <c r="A7" s="253" t="s">
        <v>955</v>
      </c>
    </row>
    <row r="8" spans="1:3">
      <c r="A8" s="255" t="s">
        <v>956</v>
      </c>
      <c r="B8" s="256">
        <v>972225</v>
      </c>
    </row>
    <row r="9" spans="1:3">
      <c r="A9" s="255" t="s">
        <v>957</v>
      </c>
      <c r="B9" s="257"/>
    </row>
    <row r="10" spans="1:3">
      <c r="A10" s="255" t="s">
        <v>958</v>
      </c>
      <c r="B10" s="256">
        <v>1254357</v>
      </c>
    </row>
    <row r="11" spans="1:3">
      <c r="A11" s="255" t="s">
        <v>959</v>
      </c>
      <c r="B11" s="256">
        <v>857966</v>
      </c>
      <c r="C11" s="259"/>
    </row>
    <row r="12" spans="1:3">
      <c r="A12" s="255" t="s">
        <v>960</v>
      </c>
      <c r="B12" s="256">
        <v>1226938</v>
      </c>
    </row>
    <row r="13" spans="1:3">
      <c r="A13" s="255" t="s">
        <v>961</v>
      </c>
      <c r="B13" s="256">
        <f>2429019+325565</f>
        <v>2754584</v>
      </c>
    </row>
    <row r="14" spans="1:3">
      <c r="A14" s="255" t="s">
        <v>962</v>
      </c>
      <c r="B14" s="257"/>
    </row>
    <row r="15" spans="1:3">
      <c r="A15" s="255" t="s">
        <v>963</v>
      </c>
      <c r="B15" s="151"/>
      <c r="C15" s="256">
        <v>824204</v>
      </c>
    </row>
    <row r="16" spans="1:3">
      <c r="A16" s="255" t="s">
        <v>964</v>
      </c>
      <c r="B16" s="151"/>
      <c r="C16" s="256">
        <v>706348</v>
      </c>
    </row>
    <row r="17" spans="1:3">
      <c r="A17" s="255" t="s">
        <v>965</v>
      </c>
      <c r="B17" s="151"/>
      <c r="C17" s="260"/>
    </row>
    <row r="18" spans="1:3">
      <c r="A18" s="255" t="s">
        <v>966</v>
      </c>
      <c r="B18" s="151"/>
      <c r="C18" s="256">
        <v>1639192</v>
      </c>
    </row>
    <row r="19" spans="1:3">
      <c r="A19" s="255" t="s">
        <v>967</v>
      </c>
      <c r="B19" s="151"/>
      <c r="C19" s="256">
        <v>772235</v>
      </c>
    </row>
    <row r="20" spans="1:3">
      <c r="A20" s="255" t="s">
        <v>968</v>
      </c>
      <c r="B20" s="151"/>
      <c r="C20" s="256">
        <v>405237</v>
      </c>
    </row>
    <row r="21" spans="1:3">
      <c r="A21" s="255" t="s">
        <v>969</v>
      </c>
      <c r="B21" s="151"/>
      <c r="C21" s="256">
        <v>237526</v>
      </c>
    </row>
    <row r="22" spans="1:3">
      <c r="A22" s="255" t="s">
        <v>970</v>
      </c>
      <c r="B22" s="151"/>
      <c r="C22" s="256">
        <v>715298</v>
      </c>
    </row>
    <row r="23" spans="1:3">
      <c r="A23" s="255" t="s">
        <v>971</v>
      </c>
      <c r="B23" s="151"/>
      <c r="C23" s="256">
        <f>960302+26841</f>
        <v>987143</v>
      </c>
    </row>
    <row r="24" spans="1:3">
      <c r="A24" s="255" t="s">
        <v>972</v>
      </c>
      <c r="B24" s="256">
        <v>276205</v>
      </c>
    </row>
    <row r="25" spans="1:3">
      <c r="A25" s="255" t="s">
        <v>973</v>
      </c>
      <c r="B25" s="256">
        <v>1173836</v>
      </c>
    </row>
    <row r="26" spans="1:3">
      <c r="B26" s="264"/>
    </row>
    <row r="27" spans="1:3">
      <c r="A27" s="253" t="s">
        <v>45</v>
      </c>
      <c r="B27" s="257"/>
    </row>
    <row r="28" spans="1:3">
      <c r="A28" s="255" t="s">
        <v>975</v>
      </c>
      <c r="B28" s="265">
        <v>81246</v>
      </c>
    </row>
    <row r="29" spans="1:3">
      <c r="A29" s="255" t="s">
        <v>976</v>
      </c>
      <c r="B29" s="256">
        <v>737750</v>
      </c>
    </row>
    <row r="30" spans="1:3">
      <c r="A30" s="255" t="s">
        <v>977</v>
      </c>
      <c r="B30" s="256">
        <v>130229</v>
      </c>
    </row>
    <row r="31" spans="1:3">
      <c r="A31" s="255" t="s">
        <v>978</v>
      </c>
      <c r="B31" s="266">
        <v>5744</v>
      </c>
    </row>
    <row r="32" spans="1:3">
      <c r="A32" s="255" t="s">
        <v>979</v>
      </c>
      <c r="B32" s="266">
        <v>880653</v>
      </c>
    </row>
    <row r="33" spans="1:3">
      <c r="A33" s="255" t="s">
        <v>980</v>
      </c>
      <c r="B33" s="266">
        <v>207017</v>
      </c>
    </row>
    <row r="34" spans="1:3">
      <c r="A34" s="255" t="s">
        <v>962</v>
      </c>
      <c r="B34" s="257"/>
    </row>
    <row r="35" spans="1:3">
      <c r="A35" s="255" t="s">
        <v>981</v>
      </c>
      <c r="B35" s="151"/>
      <c r="C35" s="256">
        <v>36485</v>
      </c>
    </row>
    <row r="36" spans="1:3">
      <c r="A36" s="255" t="s">
        <v>982</v>
      </c>
      <c r="B36" s="151"/>
      <c r="C36" s="256">
        <v>155597</v>
      </c>
    </row>
    <row r="37" spans="1:3">
      <c r="A37" s="255" t="s">
        <v>983</v>
      </c>
      <c r="B37" s="151"/>
      <c r="C37" s="256">
        <v>106415</v>
      </c>
    </row>
    <row r="38" spans="1:3">
      <c r="A38" s="255" t="s">
        <v>984</v>
      </c>
      <c r="B38" s="256">
        <v>110248</v>
      </c>
    </row>
    <row r="39" spans="1:3">
      <c r="A39" s="255" t="s">
        <v>985</v>
      </c>
      <c r="B39" s="256">
        <v>68391</v>
      </c>
    </row>
    <row r="40" spans="1:3">
      <c r="A40" s="261"/>
      <c r="B40" s="261"/>
    </row>
    <row r="41" spans="1:3">
      <c r="A41" s="253" t="s">
        <v>986</v>
      </c>
      <c r="B41" s="263"/>
    </row>
    <row r="42" spans="1:3">
      <c r="A42" s="255" t="s">
        <v>987</v>
      </c>
      <c r="B42" s="256">
        <v>194904</v>
      </c>
    </row>
    <row r="43" spans="1:3">
      <c r="A43" s="255" t="s">
        <v>988</v>
      </c>
      <c r="B43" s="256">
        <v>409810</v>
      </c>
    </row>
    <row r="44" spans="1:3">
      <c r="A44" s="255" t="s">
        <v>989</v>
      </c>
      <c r="B44" s="256">
        <v>98072</v>
      </c>
    </row>
    <row r="45" spans="1:3">
      <c r="A45" s="255" t="s">
        <v>990</v>
      </c>
      <c r="B45" s="256">
        <v>28324</v>
      </c>
    </row>
    <row r="46" spans="1:3">
      <c r="A46" s="255" t="s">
        <v>991</v>
      </c>
      <c r="B46" s="256">
        <v>150038</v>
      </c>
    </row>
    <row r="47" spans="1:3">
      <c r="A47" s="255" t="s">
        <v>992</v>
      </c>
      <c r="B47" s="256">
        <v>42939</v>
      </c>
    </row>
    <row r="48" spans="1:3">
      <c r="A48" s="255" t="s">
        <v>993</v>
      </c>
      <c r="B48" s="258">
        <v>9694</v>
      </c>
    </row>
    <row r="49" spans="1:3">
      <c r="A49" s="255" t="s">
        <v>994</v>
      </c>
      <c r="B49" s="266">
        <v>1389</v>
      </c>
    </row>
    <row r="50" spans="1:3">
      <c r="A50" s="255" t="s">
        <v>995</v>
      </c>
      <c r="B50" s="256">
        <v>124276</v>
      </c>
    </row>
    <row r="51" spans="1:3">
      <c r="A51" s="255" t="s">
        <v>996</v>
      </c>
      <c r="B51" s="256">
        <v>8122</v>
      </c>
    </row>
    <row r="52" spans="1:3">
      <c r="A52" s="255" t="s">
        <v>997</v>
      </c>
      <c r="B52" s="256">
        <v>674169</v>
      </c>
    </row>
    <row r="53" spans="1:3">
      <c r="A53" s="255" t="s">
        <v>962</v>
      </c>
      <c r="B53" s="257"/>
    </row>
    <row r="54" spans="1:3">
      <c r="A54" s="255" t="s">
        <v>998</v>
      </c>
      <c r="B54" s="151"/>
      <c r="C54" s="266">
        <v>153964</v>
      </c>
    </row>
    <row r="55" spans="1:3">
      <c r="A55" s="255" t="s">
        <v>999</v>
      </c>
      <c r="B55" s="151"/>
      <c r="C55" s="266">
        <v>17</v>
      </c>
    </row>
    <row r="56" spans="1:3">
      <c r="A56" s="255" t="s">
        <v>1000</v>
      </c>
      <c r="B56" s="151"/>
      <c r="C56" s="266">
        <v>210084</v>
      </c>
    </row>
    <row r="57" spans="1:3">
      <c r="A57" s="255" t="s">
        <v>1001</v>
      </c>
      <c r="B57" s="151"/>
      <c r="C57" s="256">
        <v>578695</v>
      </c>
    </row>
    <row r="58" spans="1:3">
      <c r="A58" s="255" t="s">
        <v>1002</v>
      </c>
      <c r="B58" s="151"/>
      <c r="C58" s="256">
        <v>189449</v>
      </c>
    </row>
    <row r="59" spans="1:3">
      <c r="A59" s="255" t="s">
        <v>1003</v>
      </c>
      <c r="B59" s="151"/>
      <c r="C59" s="256">
        <v>50443</v>
      </c>
    </row>
    <row r="60" spans="1:3">
      <c r="A60" s="255" t="s">
        <v>1004</v>
      </c>
      <c r="B60" s="151"/>
      <c r="C60" s="256">
        <v>185221</v>
      </c>
    </row>
    <row r="61" spans="1:3">
      <c r="A61" s="255" t="s">
        <v>1005</v>
      </c>
      <c r="B61" s="151"/>
      <c r="C61" s="256">
        <v>39251</v>
      </c>
    </row>
    <row r="62" spans="1:3">
      <c r="A62" s="255" t="s">
        <v>1006</v>
      </c>
      <c r="B62" s="151"/>
      <c r="C62" s="266">
        <v>29118</v>
      </c>
    </row>
    <row r="63" spans="1:3">
      <c r="A63" s="255" t="s">
        <v>1007</v>
      </c>
      <c r="B63" s="151"/>
      <c r="C63" s="256">
        <v>30448</v>
      </c>
    </row>
    <row r="64" spans="1:3">
      <c r="A64" s="255" t="s">
        <v>1008</v>
      </c>
      <c r="B64" s="256">
        <v>419790</v>
      </c>
    </row>
    <row r="65" spans="1:3">
      <c r="A65" s="255" t="s">
        <v>1009</v>
      </c>
      <c r="B65" s="256">
        <v>20428</v>
      </c>
    </row>
    <row r="66" spans="1:3">
      <c r="A66" s="250"/>
      <c r="B66" s="256"/>
    </row>
    <row r="67" spans="1:3">
      <c r="A67" s="253" t="s">
        <v>1010</v>
      </c>
      <c r="B67" s="256"/>
    </row>
    <row r="68" spans="1:3">
      <c r="A68" s="255" t="s">
        <v>1011</v>
      </c>
      <c r="B68" s="256">
        <v>78306</v>
      </c>
    </row>
    <row r="69" spans="1:3">
      <c r="A69" s="255" t="s">
        <v>1012</v>
      </c>
      <c r="B69" s="256">
        <v>111683</v>
      </c>
      <c r="C69" s="262"/>
    </row>
    <row r="70" spans="1:3">
      <c r="A70" s="255" t="s">
        <v>1013</v>
      </c>
      <c r="B70" s="256">
        <v>1800</v>
      </c>
    </row>
    <row r="71" spans="1:3">
      <c r="A71" s="255" t="s">
        <v>1014</v>
      </c>
      <c r="B71" s="256">
        <v>677</v>
      </c>
    </row>
    <row r="72" spans="1:3">
      <c r="A72" s="251"/>
      <c r="B72" s="256"/>
    </row>
    <row r="73" spans="1:3">
      <c r="A73" s="253" t="s">
        <v>1015</v>
      </c>
      <c r="B73" s="256"/>
    </row>
    <row r="74" spans="1:3">
      <c r="A74" s="255" t="s">
        <v>1016</v>
      </c>
      <c r="B74" s="256">
        <v>38601</v>
      </c>
    </row>
    <row r="75" spans="1:3">
      <c r="A75" s="255" t="s">
        <v>1017</v>
      </c>
      <c r="B75" s="256">
        <v>107444</v>
      </c>
    </row>
    <row r="76" spans="1:3">
      <c r="A76" s="255" t="s">
        <v>1018</v>
      </c>
      <c r="B76" s="256">
        <v>436420</v>
      </c>
    </row>
    <row r="77" spans="1:3">
      <c r="A77" s="255" t="s">
        <v>1019</v>
      </c>
      <c r="B77" s="256">
        <v>65905</v>
      </c>
    </row>
    <row r="78" spans="1:3">
      <c r="A78" s="255" t="s">
        <v>1020</v>
      </c>
      <c r="B78" s="256">
        <v>72916</v>
      </c>
    </row>
    <row r="79" spans="1:3">
      <c r="B79" s="256"/>
    </row>
    <row r="80" spans="1:3">
      <c r="A80" s="253" t="s">
        <v>1021</v>
      </c>
      <c r="B80" s="256"/>
    </row>
    <row r="81" spans="1:3">
      <c r="A81" s="267" t="s">
        <v>1022</v>
      </c>
      <c r="B81" s="256">
        <v>2123230</v>
      </c>
    </row>
    <row r="82" spans="1:3">
      <c r="A82" s="267" t="s">
        <v>1023</v>
      </c>
      <c r="B82" s="256">
        <v>156895</v>
      </c>
    </row>
    <row r="83" spans="1:3">
      <c r="A83" s="267" t="s">
        <v>1024</v>
      </c>
      <c r="B83" s="256">
        <v>527851</v>
      </c>
    </row>
    <row r="84" spans="1:3">
      <c r="A84" s="267" t="s">
        <v>1025</v>
      </c>
      <c r="B84" s="256">
        <v>660347</v>
      </c>
    </row>
    <row r="85" spans="1:3">
      <c r="A85" s="267" t="s">
        <v>1026</v>
      </c>
      <c r="B85" s="256">
        <f>815630+159625</f>
        <v>975255</v>
      </c>
    </row>
    <row r="86" spans="1:3">
      <c r="A86" s="267" t="s">
        <v>1027</v>
      </c>
      <c r="B86" s="256">
        <v>7014016</v>
      </c>
    </row>
    <row r="87" spans="1:3">
      <c r="A87" s="267" t="s">
        <v>1028</v>
      </c>
      <c r="B87" s="256">
        <v>-330653</v>
      </c>
    </row>
    <row r="88" spans="1:3">
      <c r="A88" s="255" t="s">
        <v>1029</v>
      </c>
      <c r="B88" s="256">
        <v>94806</v>
      </c>
    </row>
    <row r="89" spans="1:3">
      <c r="A89" s="267" t="s">
        <v>1030</v>
      </c>
      <c r="B89" s="256">
        <v>503628</v>
      </c>
    </row>
    <row r="90" spans="1:3">
      <c r="A90" s="267" t="s">
        <v>1031</v>
      </c>
      <c r="B90" s="151"/>
      <c r="C90" s="256">
        <v>339562</v>
      </c>
    </row>
    <row r="91" spans="1:3">
      <c r="A91" s="255" t="s">
        <v>1032</v>
      </c>
      <c r="B91" s="151"/>
      <c r="C91" s="269">
        <v>433308</v>
      </c>
    </row>
    <row r="92" spans="1:3">
      <c r="A92" s="267" t="s">
        <v>1033</v>
      </c>
      <c r="B92" s="269">
        <v>365718</v>
      </c>
    </row>
    <row r="93" spans="1:3">
      <c r="A93" s="267"/>
      <c r="B93" s="256"/>
    </row>
    <row r="94" spans="1:3">
      <c r="A94" s="151" t="s">
        <v>1035</v>
      </c>
      <c r="B94" s="270">
        <f>SUM(B8:B92)</f>
        <v>25924189</v>
      </c>
      <c r="C94" s="270">
        <f>SUM(C8:C92)</f>
        <v>8825240</v>
      </c>
    </row>
    <row r="95" spans="1:3">
      <c r="A95" s="255"/>
      <c r="B95" s="256"/>
    </row>
    <row r="96" spans="1:3">
      <c r="A96" s="251"/>
      <c r="B96" s="256"/>
    </row>
    <row r="97" spans="1:2">
      <c r="A97" s="255"/>
      <c r="B97" s="256"/>
    </row>
    <row r="98" spans="1:2">
      <c r="A98" s="251"/>
      <c r="B98" s="256"/>
    </row>
    <row r="99" spans="1:2">
      <c r="A99" s="255"/>
      <c r="B99" s="256"/>
    </row>
    <row r="100" spans="1:2">
      <c r="A100" s="261"/>
      <c r="B100" s="256"/>
    </row>
    <row r="101" spans="1:2">
      <c r="B101" s="256"/>
    </row>
    <row r="102" spans="1:2">
      <c r="B102" s="256"/>
    </row>
    <row r="103" spans="1:2">
      <c r="B103" s="256"/>
    </row>
    <row r="104" spans="1:2">
      <c r="B104" s="256"/>
    </row>
    <row r="105" spans="1:2">
      <c r="B105" s="256"/>
    </row>
    <row r="106" spans="1:2">
      <c r="B106" s="256"/>
    </row>
    <row r="107" spans="1:2">
      <c r="B107" s="256"/>
    </row>
    <row r="108" spans="1:2">
      <c r="A108" s="261"/>
      <c r="B108" s="256"/>
    </row>
    <row r="109" spans="1:2">
      <c r="B109" s="256"/>
    </row>
    <row r="110" spans="1:2">
      <c r="A110" s="261"/>
      <c r="B110" s="256"/>
    </row>
    <row r="111" spans="1:2">
      <c r="A111" s="261"/>
      <c r="B111" s="256"/>
    </row>
    <row r="112" spans="1:2">
      <c r="A112" s="261"/>
      <c r="B112" s="256"/>
    </row>
    <row r="113" spans="1:2">
      <c r="A113" s="261"/>
      <c r="B113" s="256"/>
    </row>
    <row r="114" spans="1:2">
      <c r="A114" s="261"/>
      <c r="B114" s="256"/>
    </row>
    <row r="115" spans="1:2">
      <c r="A115" s="261"/>
      <c r="B115" s="256"/>
    </row>
    <row r="116" spans="1:2">
      <c r="A116" s="261"/>
      <c r="B116" s="256"/>
    </row>
    <row r="117" spans="1:2">
      <c r="A117" s="261"/>
      <c r="B117" s="256"/>
    </row>
    <row r="118" spans="1:2">
      <c r="A118" s="261"/>
      <c r="B118" s="256"/>
    </row>
    <row r="119" spans="1:2">
      <c r="A119" s="261"/>
      <c r="B119" s="256"/>
    </row>
    <row r="120" spans="1:2">
      <c r="A120" s="261"/>
      <c r="B120" s="256"/>
    </row>
    <row r="121" spans="1:2">
      <c r="B121" s="256"/>
    </row>
    <row r="122" spans="1:2">
      <c r="A122" s="261"/>
      <c r="B122" s="256"/>
    </row>
    <row r="123" spans="1:2">
      <c r="A123" s="261"/>
      <c r="B123" s="256"/>
    </row>
    <row r="124" spans="1:2">
      <c r="A124" s="261"/>
      <c r="B124" s="256"/>
    </row>
    <row r="125" spans="1:2">
      <c r="A125" s="261"/>
      <c r="B125" s="256"/>
    </row>
    <row r="126" spans="1:2">
      <c r="A126" s="261"/>
      <c r="B126" s="256"/>
    </row>
    <row r="127" spans="1:2">
      <c r="A127" s="261"/>
      <c r="B127" s="256"/>
    </row>
    <row r="128" spans="1:2">
      <c r="B128" s="256"/>
    </row>
    <row r="129" spans="1:2">
      <c r="B129" s="256"/>
    </row>
    <row r="130" spans="1:2">
      <c r="B130" s="256"/>
    </row>
    <row r="131" spans="1:2">
      <c r="B131" s="256"/>
    </row>
    <row r="132" spans="1:2">
      <c r="B132" s="256"/>
    </row>
    <row r="133" spans="1:2">
      <c r="B133" s="256"/>
    </row>
    <row r="134" spans="1:2">
      <c r="B134" s="256"/>
    </row>
    <row r="135" spans="1:2">
      <c r="B135" s="256"/>
    </row>
    <row r="136" spans="1:2">
      <c r="A136" s="261"/>
      <c r="B136" s="256"/>
    </row>
    <row r="137" spans="1:2">
      <c r="A137" s="261"/>
      <c r="B137" s="256"/>
    </row>
    <row r="138" spans="1:2">
      <c r="A138" s="261"/>
      <c r="B138" s="256"/>
    </row>
    <row r="139" spans="1:2">
      <c r="A139" s="261"/>
      <c r="B139" s="256"/>
    </row>
    <row r="140" spans="1:2">
      <c r="A140" s="261"/>
      <c r="B140" s="256"/>
    </row>
    <row r="141" spans="1:2">
      <c r="A141" s="261"/>
      <c r="B141" s="256"/>
    </row>
    <row r="142" spans="1:2">
      <c r="A142" s="261"/>
      <c r="B142" s="256"/>
    </row>
    <row r="143" spans="1:2">
      <c r="A143" s="261"/>
      <c r="B143" s="256"/>
    </row>
    <row r="144" spans="1:2">
      <c r="A144" s="261"/>
      <c r="B144" s="256"/>
    </row>
    <row r="145" spans="1:2">
      <c r="A145" s="261"/>
      <c r="B145" s="256"/>
    </row>
    <row r="146" spans="1:2">
      <c r="A146" s="261"/>
      <c r="B146" s="256"/>
    </row>
    <row r="147" spans="1:2">
      <c r="A147" s="261"/>
      <c r="B147" s="256"/>
    </row>
    <row r="148" spans="1:2">
      <c r="A148" s="261"/>
      <c r="B148" s="256"/>
    </row>
    <row r="149" spans="1:2">
      <c r="A149" s="261"/>
      <c r="B149" s="256"/>
    </row>
    <row r="150" spans="1:2">
      <c r="A150" s="261"/>
      <c r="B150" s="256"/>
    </row>
    <row r="151" spans="1:2">
      <c r="A151" s="261"/>
      <c r="B151" s="256"/>
    </row>
    <row r="152" spans="1:2">
      <c r="A152" s="261"/>
      <c r="B152" s="256"/>
    </row>
    <row r="153" spans="1:2">
      <c r="A153" s="261"/>
      <c r="B153" s="256"/>
    </row>
    <row r="154" spans="1:2">
      <c r="A154" s="261"/>
      <c r="B154" s="256"/>
    </row>
    <row r="155" spans="1:2">
      <c r="A155" s="261"/>
      <c r="B155" s="256"/>
    </row>
    <row r="156" spans="1:2">
      <c r="A156" s="261"/>
      <c r="B156" s="256"/>
    </row>
    <row r="157" spans="1:2">
      <c r="A157" s="261"/>
      <c r="B157" s="256"/>
    </row>
    <row r="158" spans="1:2">
      <c r="A158" s="261"/>
      <c r="B158" s="256"/>
    </row>
    <row r="159" spans="1:2">
      <c r="A159" s="261"/>
      <c r="B159" s="256"/>
    </row>
    <row r="160" spans="1:2">
      <c r="A160" s="261"/>
      <c r="B160" s="256"/>
    </row>
    <row r="161" spans="1:2">
      <c r="A161" s="261"/>
      <c r="B161" s="256"/>
    </row>
    <row r="162" spans="1:2">
      <c r="A162" s="261"/>
      <c r="B162" s="256"/>
    </row>
    <row r="163" spans="1:2">
      <c r="A163" s="261"/>
      <c r="B163" s="256"/>
    </row>
    <row r="164" spans="1:2">
      <c r="A164" s="261"/>
      <c r="B164" s="256"/>
    </row>
    <row r="170" spans="1:2">
      <c r="A170" s="261"/>
      <c r="B170" s="261"/>
    </row>
    <row r="171" spans="1:2">
      <c r="A171" s="261"/>
      <c r="B171" s="261"/>
    </row>
    <row r="172" spans="1:2">
      <c r="A172" s="261"/>
      <c r="B172" s="261"/>
    </row>
    <row r="173" spans="1:2">
      <c r="A173" s="261"/>
      <c r="B173" s="261"/>
    </row>
    <row r="174" spans="1:2">
      <c r="A174" s="261"/>
      <c r="B174" s="261"/>
    </row>
    <row r="175" spans="1:2">
      <c r="A175" s="261"/>
      <c r="B175" s="261"/>
    </row>
    <row r="176" spans="1:2">
      <c r="A176" s="261"/>
      <c r="B176" s="261"/>
    </row>
    <row r="177" spans="1:2">
      <c r="A177" s="261"/>
      <c r="B177" s="261"/>
    </row>
    <row r="178" spans="1:2">
      <c r="A178" s="261"/>
      <c r="B178" s="261"/>
    </row>
    <row r="179" spans="1:2">
      <c r="A179" s="261"/>
      <c r="B179" s="261"/>
    </row>
    <row r="180" spans="1:2">
      <c r="A180" s="261"/>
      <c r="B180" s="261"/>
    </row>
    <row r="181" spans="1:2">
      <c r="A181" s="261"/>
      <c r="B181" s="261"/>
    </row>
    <row r="182" spans="1:2">
      <c r="A182" s="261"/>
      <c r="B182" s="261"/>
    </row>
    <row r="183" spans="1:2">
      <c r="A183" s="261"/>
      <c r="B183" s="261"/>
    </row>
    <row r="184" spans="1:2">
      <c r="A184" s="261"/>
      <c r="B184" s="261"/>
    </row>
    <row r="185" spans="1:2">
      <c r="A185" s="261"/>
      <c r="B185" s="261"/>
    </row>
    <row r="186" spans="1:2">
      <c r="A186" s="261"/>
      <c r="B186" s="261"/>
    </row>
    <row r="187" spans="1:2">
      <c r="A187" s="261"/>
      <c r="B187" s="261"/>
    </row>
    <row r="188" spans="1:2">
      <c r="A188" s="261"/>
      <c r="B188" s="261"/>
    </row>
    <row r="189" spans="1:2">
      <c r="A189" s="261"/>
      <c r="B189" s="261"/>
    </row>
    <row r="190" spans="1:2">
      <c r="A190" s="261"/>
      <c r="B190" s="261"/>
    </row>
    <row r="191" spans="1:2">
      <c r="A191" s="261"/>
      <c r="B191" s="261"/>
    </row>
    <row r="192" spans="1:2">
      <c r="A192" s="261"/>
      <c r="B192" s="261"/>
    </row>
    <row r="193" spans="1:2">
      <c r="A193" s="261"/>
      <c r="B193" s="261"/>
    </row>
    <row r="194" spans="1:2">
      <c r="A194" s="261"/>
      <c r="B194" s="261"/>
    </row>
    <row r="195" spans="1:2">
      <c r="A195" s="261"/>
      <c r="B195" s="261"/>
    </row>
    <row r="196" spans="1:2">
      <c r="A196" s="261"/>
      <c r="B196" s="261"/>
    </row>
    <row r="197" spans="1:2">
      <c r="A197" s="261"/>
      <c r="B197" s="261"/>
    </row>
    <row r="198" spans="1:2">
      <c r="A198" s="261"/>
      <c r="B198" s="261"/>
    </row>
    <row r="199" spans="1:2">
      <c r="A199" s="261"/>
      <c r="B199" s="261"/>
    </row>
    <row r="200" spans="1:2">
      <c r="A200" s="261"/>
      <c r="B200" s="261"/>
    </row>
    <row r="201" spans="1:2">
      <c r="A201" s="261"/>
      <c r="B201" s="261"/>
    </row>
    <row r="202" spans="1:2">
      <c r="A202" s="261"/>
      <c r="B202" s="261"/>
    </row>
    <row r="203" spans="1:2">
      <c r="A203" s="261"/>
      <c r="B203" s="261"/>
    </row>
    <row r="204" spans="1:2">
      <c r="A204" s="261"/>
      <c r="B204" s="261"/>
    </row>
    <row r="205" spans="1:2">
      <c r="A205" s="261"/>
      <c r="B205" s="261"/>
    </row>
    <row r="206" spans="1:2">
      <c r="A206" s="261"/>
      <c r="B206" s="261"/>
    </row>
    <row r="207" spans="1:2">
      <c r="A207" s="261"/>
      <c r="B207" s="261"/>
    </row>
    <row r="208" spans="1:2">
      <c r="A208" s="261"/>
      <c r="B208" s="261"/>
    </row>
    <row r="209" spans="1:2">
      <c r="A209" s="261"/>
      <c r="B209" s="261"/>
    </row>
    <row r="210" spans="1:2">
      <c r="A210" s="261"/>
      <c r="B210" s="261"/>
    </row>
    <row r="211" spans="1:2">
      <c r="A211" s="261"/>
      <c r="B211" s="261"/>
    </row>
    <row r="212" spans="1:2">
      <c r="A212" s="261"/>
      <c r="B212" s="261"/>
    </row>
    <row r="213" spans="1:2">
      <c r="A213" s="261"/>
      <c r="B213" s="261"/>
    </row>
    <row r="214" spans="1:2">
      <c r="A214" s="261"/>
      <c r="B214" s="261"/>
    </row>
    <row r="215" spans="1:2">
      <c r="A215" s="261"/>
      <c r="B215" s="261"/>
    </row>
    <row r="216" spans="1:2">
      <c r="A216" s="261"/>
      <c r="B216" s="261"/>
    </row>
    <row r="217" spans="1:2">
      <c r="A217" s="261"/>
      <c r="B217" s="261"/>
    </row>
    <row r="218" spans="1:2">
      <c r="A218" s="261"/>
      <c r="B218" s="261"/>
    </row>
    <row r="219" spans="1:2">
      <c r="A219" s="261"/>
      <c r="B219" s="261"/>
    </row>
    <row r="220" spans="1:2">
      <c r="A220" s="261"/>
      <c r="B220" s="261"/>
    </row>
    <row r="221" spans="1:2">
      <c r="A221" s="261"/>
      <c r="B221" s="261"/>
    </row>
    <row r="222" spans="1:2">
      <c r="A222" s="261"/>
      <c r="B222" s="261"/>
    </row>
    <row r="223" spans="1:2">
      <c r="A223" s="261"/>
      <c r="B223" s="261"/>
    </row>
    <row r="224" spans="1:2">
      <c r="A224" s="261"/>
      <c r="B224" s="261"/>
    </row>
    <row r="225" spans="1:2">
      <c r="A225" s="261"/>
      <c r="B225" s="261"/>
    </row>
    <row r="226" spans="1:2">
      <c r="A226" s="261"/>
      <c r="B226" s="261"/>
    </row>
    <row r="227" spans="1:2">
      <c r="A227" s="261"/>
      <c r="B227" s="261"/>
    </row>
    <row r="228" spans="1:2">
      <c r="A228" s="261"/>
      <c r="B228" s="261"/>
    </row>
    <row r="229" spans="1:2">
      <c r="A229" s="261"/>
      <c r="B229" s="261"/>
    </row>
    <row r="230" spans="1:2">
      <c r="A230" s="261"/>
      <c r="B230" s="261"/>
    </row>
    <row r="231" spans="1:2">
      <c r="A231" s="261"/>
      <c r="B231" s="261"/>
    </row>
    <row r="232" spans="1:2">
      <c r="A232" s="261"/>
      <c r="B232" s="261"/>
    </row>
    <row r="233" spans="1:2">
      <c r="A233" s="261"/>
      <c r="B233" s="261"/>
    </row>
    <row r="234" spans="1:2">
      <c r="A234" s="261"/>
      <c r="B234" s="261"/>
    </row>
    <row r="235" spans="1:2">
      <c r="A235" s="261"/>
      <c r="B235" s="261"/>
    </row>
    <row r="236" spans="1:2">
      <c r="A236" s="261"/>
      <c r="B236" s="261"/>
    </row>
    <row r="237" spans="1:2">
      <c r="A237" s="261"/>
      <c r="B237" s="261"/>
    </row>
    <row r="238" spans="1:2">
      <c r="A238" s="261"/>
      <c r="B238" s="261"/>
    </row>
    <row r="239" spans="1:2">
      <c r="A239" s="261"/>
      <c r="B239" s="261"/>
    </row>
    <row r="240" spans="1:2">
      <c r="A240" s="261"/>
      <c r="B240" s="261"/>
    </row>
    <row r="241" spans="1:2">
      <c r="A241" s="261"/>
      <c r="B241" s="261"/>
    </row>
    <row r="242" spans="1:2">
      <c r="A242" s="261"/>
      <c r="B242" s="261"/>
    </row>
    <row r="243" spans="1:2">
      <c r="A243" s="261"/>
      <c r="B243" s="261"/>
    </row>
    <row r="244" spans="1:2">
      <c r="A244" s="261"/>
      <c r="B244" s="261"/>
    </row>
    <row r="245" spans="1:2">
      <c r="A245" s="261"/>
      <c r="B245" s="261"/>
    </row>
    <row r="246" spans="1:2">
      <c r="A246" s="261"/>
      <c r="B246" s="261"/>
    </row>
    <row r="247" spans="1:2">
      <c r="A247" s="261"/>
      <c r="B247" s="261"/>
    </row>
    <row r="248" spans="1:2">
      <c r="A248" s="261"/>
      <c r="B248" s="261"/>
    </row>
    <row r="249" spans="1:2">
      <c r="A249" s="261"/>
      <c r="B249" s="261"/>
    </row>
    <row r="250" spans="1:2">
      <c r="A250" s="261"/>
      <c r="B250" s="261"/>
    </row>
    <row r="251" spans="1:2">
      <c r="A251" s="261"/>
      <c r="B251" s="261"/>
    </row>
    <row r="252" spans="1:2">
      <c r="A252" s="261"/>
      <c r="B252" s="261"/>
    </row>
    <row r="253" spans="1:2">
      <c r="A253" s="261"/>
      <c r="B253" s="261"/>
    </row>
    <row r="254" spans="1:2">
      <c r="A254" s="261"/>
      <c r="B254" s="261"/>
    </row>
    <row r="255" spans="1:2">
      <c r="A255" s="261"/>
      <c r="B255" s="261"/>
    </row>
    <row r="256" spans="1:2">
      <c r="A256" s="261"/>
      <c r="B256" s="261"/>
    </row>
    <row r="257" spans="1:2">
      <c r="A257" s="261"/>
      <c r="B257" s="261"/>
    </row>
    <row r="258" spans="1:2">
      <c r="A258" s="261"/>
      <c r="B258" s="261"/>
    </row>
    <row r="259" spans="1:2">
      <c r="A259" s="261"/>
      <c r="B259" s="261"/>
    </row>
    <row r="260" spans="1:2">
      <c r="A260" s="261"/>
      <c r="B260" s="261"/>
    </row>
    <row r="261" spans="1:2">
      <c r="A261" s="261"/>
      <c r="B261" s="261"/>
    </row>
    <row r="263" spans="1:2">
      <c r="A263" s="261"/>
      <c r="B263" s="261"/>
    </row>
    <row r="264" spans="1:2">
      <c r="A264" s="261"/>
      <c r="B264" s="261"/>
    </row>
    <row r="265" spans="1:2">
      <c r="A265" s="261"/>
      <c r="B265" s="261"/>
    </row>
    <row r="266" spans="1:2">
      <c r="A266" s="261"/>
      <c r="B266" s="261"/>
    </row>
    <row r="267" spans="1:2">
      <c r="A267" s="261"/>
      <c r="B267" s="261"/>
    </row>
    <row r="268" spans="1:2">
      <c r="A268" s="261"/>
      <c r="B268" s="261"/>
    </row>
    <row r="269" spans="1:2">
      <c r="A269" s="261"/>
      <c r="B269" s="261"/>
    </row>
    <row r="270" spans="1:2">
      <c r="A270" s="261"/>
      <c r="B270" s="261"/>
    </row>
    <row r="271" spans="1:2">
      <c r="A271" s="261"/>
      <c r="B271" s="261"/>
    </row>
    <row r="272" spans="1:2">
      <c r="A272" s="261"/>
      <c r="B272" s="261"/>
    </row>
    <row r="273" spans="1:2">
      <c r="A273" s="261"/>
      <c r="B273" s="261"/>
    </row>
    <row r="274" spans="1:2">
      <c r="A274" s="261"/>
      <c r="B274" s="26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Nonlevelized-EIA 412</vt:lpstr>
      <vt:lpstr>MPW 12 CP Demand</vt:lpstr>
      <vt:lpstr>Plant &amp; Depr</vt:lpstr>
      <vt:lpstr>Land for future use</vt:lpstr>
      <vt:lpstr>Prepayments</vt:lpstr>
      <vt:lpstr>Matl &amp; Supplies</vt:lpstr>
      <vt:lpstr>Transmission O&amp;M</vt:lpstr>
      <vt:lpstr>Admin &amp; General</vt:lpstr>
      <vt:lpstr>Summary of O&amp;M Expenses</vt:lpstr>
      <vt:lpstr>LSE exp</vt:lpstr>
      <vt:lpstr>FERC Fees</vt:lpstr>
      <vt:lpstr>EPRI Reg Comm Non Safety</vt:lpstr>
      <vt:lpstr>Taxes other than inc tax</vt:lpstr>
      <vt:lpstr>Radial Line Allocation</vt:lpstr>
      <vt:lpstr>Wage &amp; Salaries</vt:lpstr>
      <vt:lpstr>Debt Detail</vt:lpstr>
      <vt:lpstr>Account 454</vt:lpstr>
      <vt:lpstr>Account 456.1</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Griffin</dc:creator>
  <cp:lastModifiedBy>Kathy Griffin</cp:lastModifiedBy>
  <dcterms:created xsi:type="dcterms:W3CDTF">1901-01-01T05:00:00Z</dcterms:created>
  <dcterms:modified xsi:type="dcterms:W3CDTF">2018-03-20T16:15:51Z</dcterms:modified>
</cp:coreProperties>
</file>