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3124" yWindow="252" windowWidth="20988" windowHeight="9432" activeTab="1"/>
  </bookViews>
  <sheets>
    <sheet name="MP Attach O" sheetId="3" r:id="rId1"/>
    <sheet name="MP Attach GG" sheetId="5" r:id="rId2"/>
    <sheet name="MP Attach ZZ" sheetId="8" r:id="rId3"/>
  </sheets>
  <externalReferences>
    <externalReference r:id="rId4"/>
  </externalReferences>
  <definedNames>
    <definedName name="CH_COS" localSheetId="2">#REF!</definedName>
    <definedName name="CH_COS">#REF!</definedName>
    <definedName name="NSP_COS" localSheetId="2">#REF!</definedName>
    <definedName name="NSP_COS">#REF!</definedName>
    <definedName name="_xlnm.Print_Area" localSheetId="1">'MP Attach GG'!$A$1:$N$101</definedName>
    <definedName name="_xlnm.Print_Area" localSheetId="0">'MP Attach O'!$A$1:$P$406</definedName>
    <definedName name="_xlnm.Print_Area" localSheetId="2">'MP Attach ZZ'!$A$1:$N$98</definedName>
    <definedName name="Print1" localSheetId="1">#REF!</definedName>
    <definedName name="Print1" localSheetId="2">#REF!</definedName>
    <definedName name="Print1">#REF!</definedName>
    <definedName name="Print3" localSheetId="1">#REF!</definedName>
    <definedName name="Print3" localSheetId="2">#REF!</definedName>
    <definedName name="Print3">#REF!</definedName>
    <definedName name="Print4" localSheetId="1">#REF!</definedName>
    <definedName name="Print4" localSheetId="2">#REF!</definedName>
    <definedName name="Print4">#REF!</definedName>
    <definedName name="Print5" localSheetId="2">#REF!</definedName>
    <definedName name="Print5">#REF!</definedName>
    <definedName name="ProjIDList" localSheetId="2">#REF!</definedName>
    <definedName name="ProjIDList">#REF!</definedName>
    <definedName name="PSCo_COS" localSheetId="2">#REF!</definedName>
    <definedName name="PSCo_COS">#REF!</definedName>
    <definedName name="q_MTEP06_App_AB_Facility" localSheetId="2">#REF!</definedName>
    <definedName name="q_MTEP06_App_AB_Facility">#REF!</definedName>
    <definedName name="q_MTEP06_App_AB_Projects" localSheetId="2">#REF!</definedName>
    <definedName name="q_MTEP06_App_AB_Projects">#REF!</definedName>
    <definedName name="revreq" localSheetId="2">#REF!</definedName>
    <definedName name="revreq">#REF!</definedName>
    <definedName name="SPS_COS" localSheetId="2">#REF!</definedName>
    <definedName name="SPS_COS">#REF!</definedName>
    <definedName name="Xcel" localSheetId="2">'[1]Data Entry and Forecaster'!#REF!</definedName>
    <definedName name="Xcel">'[1]Data Entry and Forecaster'!#REF!</definedName>
    <definedName name="Xcel_COS" localSheetId="1">#REF!</definedName>
    <definedName name="Xcel_COS" localSheetId="2">#REF!</definedName>
    <definedName name="Xcel_COS">#REF!</definedName>
  </definedNames>
  <calcPr calcId="145621" iterate="1"/>
</workbook>
</file>

<file path=xl/calcChain.xml><?xml version="1.0" encoding="utf-8"?>
<calcChain xmlns="http://schemas.openxmlformats.org/spreadsheetml/2006/main">
  <c r="N79" i="5" l="1"/>
  <c r="E159" i="3" l="1"/>
  <c r="L17" i="8"/>
  <c r="L17" i="5"/>
  <c r="E88" i="3"/>
  <c r="E80" i="3" l="1"/>
  <c r="N62" i="8" l="1"/>
  <c r="M76" i="8" l="1"/>
  <c r="M84" i="8"/>
  <c r="M86" i="8" l="1"/>
  <c r="C62" i="5"/>
  <c r="G62" i="5"/>
  <c r="N62" i="5"/>
  <c r="G63" i="5"/>
  <c r="G65" i="5"/>
  <c r="M79" i="5"/>
  <c r="M87" i="5"/>
  <c r="J158" i="3" l="1"/>
  <c r="M158" i="3" s="1"/>
  <c r="J157" i="3"/>
  <c r="M157" i="3" s="1"/>
  <c r="E116" i="3"/>
  <c r="J114" i="3"/>
  <c r="M114" i="3" s="1"/>
  <c r="J113" i="3"/>
  <c r="M113" i="3" s="1"/>
  <c r="J103" i="3"/>
  <c r="M103" i="3" s="1"/>
  <c r="J44" i="3" l="1"/>
  <c r="J43" i="3"/>
  <c r="J41" i="3"/>
  <c r="J40" i="3"/>
  <c r="J39" i="3"/>
  <c r="J38" i="3"/>
  <c r="J310" i="3" l="1"/>
  <c r="J197" i="3"/>
  <c r="M197" i="3" s="1"/>
  <c r="J101" i="3" l="1"/>
  <c r="P26" i="3" l="1"/>
  <c r="M26" i="3"/>
  <c r="J31" i="3" l="1"/>
  <c r="J111" i="3" l="1"/>
  <c r="M111" i="3" s="1"/>
  <c r="J155" i="3"/>
  <c r="M155" i="3" s="1"/>
  <c r="J156" i="3"/>
  <c r="M156" i="3" s="1"/>
  <c r="N331" i="3"/>
  <c r="J212" i="3"/>
  <c r="J215" i="3" s="1"/>
  <c r="J112" i="3"/>
  <c r="M112" i="3" s="1"/>
  <c r="H239" i="3"/>
  <c r="H241" i="3"/>
  <c r="H242" i="3"/>
  <c r="E243" i="3"/>
  <c r="E82" i="3"/>
  <c r="E275" i="3" s="1"/>
  <c r="H272" i="3" s="1"/>
  <c r="E93" i="3"/>
  <c r="E94" i="3"/>
  <c r="E95" i="3"/>
  <c r="E96" i="3"/>
  <c r="E97" i="3"/>
  <c r="E176" i="3"/>
  <c r="J229" i="3"/>
  <c r="J231" i="3" s="1"/>
  <c r="J143" i="3"/>
  <c r="M143" i="3" s="1"/>
  <c r="J150" i="3"/>
  <c r="M150" i="3" s="1"/>
  <c r="H289" i="3"/>
  <c r="J286" i="3"/>
  <c r="E291" i="3" s="1"/>
  <c r="E292" i="3" s="1"/>
  <c r="H290" i="3"/>
  <c r="J34" i="3"/>
  <c r="E221" i="3"/>
  <c r="P94" i="3"/>
  <c r="E14" i="3"/>
  <c r="E15" i="3"/>
  <c r="G15" i="3"/>
  <c r="G16" i="3" s="1"/>
  <c r="G17" i="3" s="1"/>
  <c r="P18" i="3"/>
  <c r="M22" i="3"/>
  <c r="P22" i="3"/>
  <c r="M29" i="3"/>
  <c r="P29" i="3"/>
  <c r="J42" i="3"/>
  <c r="P45" i="3"/>
  <c r="J61" i="3"/>
  <c r="J62" i="3"/>
  <c r="N68" i="3"/>
  <c r="E70" i="3"/>
  <c r="C85" i="3"/>
  <c r="C93" i="3" s="1"/>
  <c r="G85" i="3"/>
  <c r="G106" i="3" s="1"/>
  <c r="G169" i="3" s="1"/>
  <c r="H85" i="3"/>
  <c r="C86" i="3"/>
  <c r="C94" i="3" s="1"/>
  <c r="G86" i="3"/>
  <c r="G118" i="3" s="1"/>
  <c r="C87" i="3"/>
  <c r="C95" i="3" s="1"/>
  <c r="G87" i="3"/>
  <c r="H87" i="3"/>
  <c r="C88" i="3"/>
  <c r="C96" i="3" s="1"/>
  <c r="G88" i="3"/>
  <c r="C89" i="3"/>
  <c r="C97" i="3" s="1"/>
  <c r="G89" i="3"/>
  <c r="E90" i="3"/>
  <c r="G109" i="3"/>
  <c r="E151" i="3"/>
  <c r="E121" i="3" s="1"/>
  <c r="E124" i="3" s="1"/>
  <c r="N133" i="3"/>
  <c r="E136" i="3"/>
  <c r="G146" i="3"/>
  <c r="G147" i="3" s="1"/>
  <c r="G148" i="3"/>
  <c r="C154" i="3"/>
  <c r="C160" i="3"/>
  <c r="E161" i="3"/>
  <c r="D166" i="3"/>
  <c r="G166" i="3"/>
  <c r="D170" i="3"/>
  <c r="G170" i="3"/>
  <c r="E172" i="3"/>
  <c r="N205" i="3"/>
  <c r="E207" i="3"/>
  <c r="N267" i="3"/>
  <c r="E268" i="3"/>
  <c r="J270" i="3"/>
  <c r="J300" i="3"/>
  <c r="E331" i="3"/>
  <c r="M101" i="3"/>
  <c r="L18" i="8" l="1"/>
  <c r="L18" i="5"/>
  <c r="E180" i="3"/>
  <c r="E184" i="3" s="1"/>
  <c r="J22" i="3"/>
  <c r="J29" i="3"/>
  <c r="J217" i="3"/>
  <c r="J234" i="3" s="1"/>
  <c r="J233" i="3"/>
  <c r="E98" i="3"/>
  <c r="E126" i="3" s="1"/>
  <c r="F290" i="3"/>
  <c r="J290" i="3" s="1"/>
  <c r="F289" i="3"/>
  <c r="J289" i="3" s="1"/>
  <c r="F291" i="3"/>
  <c r="J291" i="3" s="1"/>
  <c r="H78" i="3" l="1"/>
  <c r="H86" i="3" s="1"/>
  <c r="J235" i="3"/>
  <c r="H142" i="3" s="1"/>
  <c r="F240" i="3"/>
  <c r="H240" i="3" s="1"/>
  <c r="H243" i="3" s="1"/>
  <c r="J243" i="3" s="1"/>
  <c r="H80" i="3" s="1"/>
  <c r="H14" i="3"/>
  <c r="H15" i="3" s="1"/>
  <c r="J292" i="3"/>
  <c r="J78" i="3" l="1"/>
  <c r="H144" i="3"/>
  <c r="J144" i="3" s="1"/>
  <c r="M144" i="3" s="1"/>
  <c r="H122" i="3"/>
  <c r="J122" i="3" s="1"/>
  <c r="J14" i="3"/>
  <c r="M14" i="3" s="1"/>
  <c r="J142" i="3"/>
  <c r="M142" i="3" s="1"/>
  <c r="H148" i="3"/>
  <c r="J148" i="3" s="1"/>
  <c r="M148" i="3" s="1"/>
  <c r="J272" i="3"/>
  <c r="L272" i="3" s="1"/>
  <c r="H81" i="3" s="1"/>
  <c r="J81" i="3" s="1"/>
  <c r="E187" i="3"/>
  <c r="E177" i="3"/>
  <c r="H118" i="3"/>
  <c r="J86" i="3"/>
  <c r="H16" i="3"/>
  <c r="J15" i="3"/>
  <c r="M15" i="3" s="1"/>
  <c r="J80" i="3"/>
  <c r="H88" i="3"/>
  <c r="F17" i="5" l="1"/>
  <c r="F17" i="8"/>
  <c r="E219" i="3"/>
  <c r="J221" i="3" s="1"/>
  <c r="P81" i="3" s="1"/>
  <c r="M81" i="3" s="1"/>
  <c r="M78" i="3"/>
  <c r="J94" i="3"/>
  <c r="H89" i="3"/>
  <c r="J89" i="3" s="1"/>
  <c r="H145" i="3"/>
  <c r="J88" i="3"/>
  <c r="M86" i="3"/>
  <c r="E183" i="3"/>
  <c r="E185" i="3" s="1"/>
  <c r="E190" i="3" s="1"/>
  <c r="J16" i="3"/>
  <c r="M16" i="3" s="1"/>
  <c r="H17" i="3"/>
  <c r="J17" i="3" s="1"/>
  <c r="M17" i="3" s="1"/>
  <c r="H154" i="3"/>
  <c r="J154" i="3" s="1"/>
  <c r="J118" i="3"/>
  <c r="M118" i="3" s="1"/>
  <c r="J82" i="3"/>
  <c r="H82" i="3" s="1"/>
  <c r="H17" i="8" l="1"/>
  <c r="H17" i="5"/>
  <c r="P80" i="3"/>
  <c r="M80" i="3" s="1"/>
  <c r="M82" i="3" s="1"/>
  <c r="P122" i="3"/>
  <c r="M122" i="3" s="1"/>
  <c r="E220" i="3"/>
  <c r="J220" i="3" s="1"/>
  <c r="F18" i="5"/>
  <c r="F18" i="8"/>
  <c r="H149" i="3"/>
  <c r="H160" i="3" s="1"/>
  <c r="J160" i="3" s="1"/>
  <c r="P88" i="3"/>
  <c r="J97" i="3"/>
  <c r="P89" i="3"/>
  <c r="M89" i="3" s="1"/>
  <c r="M97" i="3" s="1"/>
  <c r="P82" i="3"/>
  <c r="M18" i="3"/>
  <c r="J90" i="3"/>
  <c r="H123" i="3"/>
  <c r="J123" i="3" s="1"/>
  <c r="H168" i="3"/>
  <c r="M154" i="3"/>
  <c r="H159" i="3"/>
  <c r="H146" i="3"/>
  <c r="J145" i="3"/>
  <c r="M94" i="3"/>
  <c r="J96" i="3"/>
  <c r="J18" i="3"/>
  <c r="P96" i="3" l="1"/>
  <c r="H18" i="5"/>
  <c r="H18" i="8"/>
  <c r="J149" i="3"/>
  <c r="M149" i="3" s="1"/>
  <c r="J98" i="3"/>
  <c r="E223" i="3" s="1"/>
  <c r="P90" i="3"/>
  <c r="M88" i="3"/>
  <c r="P145" i="3"/>
  <c r="P97" i="3"/>
  <c r="P98" i="3" s="1"/>
  <c r="E225" i="3" s="1"/>
  <c r="P160" i="3"/>
  <c r="P123" i="3"/>
  <c r="J146" i="3"/>
  <c r="H147" i="3"/>
  <c r="J147" i="3" s="1"/>
  <c r="H171" i="3"/>
  <c r="J171" i="3" s="1"/>
  <c r="H170" i="3"/>
  <c r="J170" i="3" s="1"/>
  <c r="P170" i="3" s="1"/>
  <c r="J168" i="3"/>
  <c r="J159" i="3"/>
  <c r="H165" i="3"/>
  <c r="F27" i="8" l="1"/>
  <c r="F27" i="5"/>
  <c r="F28" i="5" s="1"/>
  <c r="H98" i="3"/>
  <c r="H184" i="3" s="1"/>
  <c r="J184" i="3" s="1"/>
  <c r="M184" i="3" s="1"/>
  <c r="M96" i="3"/>
  <c r="M98" i="3" s="1"/>
  <c r="E224" i="3" s="1"/>
  <c r="J224" i="3" s="1"/>
  <c r="M90" i="3"/>
  <c r="J161" i="3"/>
  <c r="P159" i="3"/>
  <c r="P146" i="3"/>
  <c r="M145" i="3"/>
  <c r="P147" i="3"/>
  <c r="M147" i="3" s="1"/>
  <c r="M170" i="3"/>
  <c r="P171" i="3"/>
  <c r="M168" i="3"/>
  <c r="M123" i="3"/>
  <c r="M160" i="3"/>
  <c r="J225" i="3"/>
  <c r="J151" i="3"/>
  <c r="J165" i="3"/>
  <c r="H166" i="3"/>
  <c r="J166" i="3" s="1"/>
  <c r="J121" i="3" l="1"/>
  <c r="J124" i="3" s="1"/>
  <c r="F22" i="5"/>
  <c r="F23" i="5" s="1"/>
  <c r="F22" i="8"/>
  <c r="M159" i="3"/>
  <c r="M161" i="3" s="1"/>
  <c r="L27" i="5"/>
  <c r="L28" i="5" s="1"/>
  <c r="N28" i="5" s="1"/>
  <c r="L27" i="8"/>
  <c r="L28" i="8" s="1"/>
  <c r="H107" i="3"/>
  <c r="J107" i="3" s="1"/>
  <c r="P151" i="3"/>
  <c r="M146" i="3"/>
  <c r="M151" i="3" s="1"/>
  <c r="P165" i="3"/>
  <c r="M165" i="3" s="1"/>
  <c r="P161" i="3"/>
  <c r="M171" i="3"/>
  <c r="J172" i="3"/>
  <c r="H27" i="8" l="1"/>
  <c r="H28" i="8" s="1"/>
  <c r="H27" i="5"/>
  <c r="H28" i="5" s="1"/>
  <c r="J28" i="5" s="1"/>
  <c r="P121" i="3"/>
  <c r="P124" i="3" s="1"/>
  <c r="L22" i="8"/>
  <c r="L23" i="8" s="1"/>
  <c r="L22" i="5"/>
  <c r="L23" i="5" s="1"/>
  <c r="N23" i="5" s="1"/>
  <c r="M121" i="3"/>
  <c r="M124" i="3" s="1"/>
  <c r="H22" i="8"/>
  <c r="H23" i="8" s="1"/>
  <c r="H22" i="5"/>
  <c r="H23" i="5" s="1"/>
  <c r="J23" i="5" s="1"/>
  <c r="F32" i="5"/>
  <c r="F33" i="5" s="1"/>
  <c r="F36" i="5" s="1"/>
  <c r="F32" i="8"/>
  <c r="H108" i="3"/>
  <c r="H110" i="3" s="1"/>
  <c r="J110" i="3" s="1"/>
  <c r="P172" i="3"/>
  <c r="M172" i="3"/>
  <c r="P107" i="3"/>
  <c r="H109" i="3" l="1"/>
  <c r="J109" i="3" s="1"/>
  <c r="P109" i="3" s="1"/>
  <c r="M109" i="3" s="1"/>
  <c r="J108" i="3"/>
  <c r="P108" i="3" s="1"/>
  <c r="H32" i="5"/>
  <c r="H33" i="5" s="1"/>
  <c r="H32" i="8"/>
  <c r="H33" i="8" s="1"/>
  <c r="J36" i="8" s="1"/>
  <c r="L32" i="5"/>
  <c r="L33" i="5" s="1"/>
  <c r="L32" i="8"/>
  <c r="L33" i="8" s="1"/>
  <c r="N36" i="8" s="1"/>
  <c r="M107" i="3"/>
  <c r="P110" i="3"/>
  <c r="M110" i="3" s="1"/>
  <c r="J116" i="3" l="1"/>
  <c r="J126" i="3" s="1"/>
  <c r="J187" i="3" s="1"/>
  <c r="F45" i="8" s="1"/>
  <c r="F81" i="8"/>
  <c r="G81" i="8" s="1"/>
  <c r="N33" i="5"/>
  <c r="L36" i="5"/>
  <c r="F73" i="8"/>
  <c r="G73" i="8" s="1"/>
  <c r="F74" i="8"/>
  <c r="G74" i="8" s="1"/>
  <c r="J33" i="5"/>
  <c r="H36" i="5"/>
  <c r="P116" i="3"/>
  <c r="P126" i="3" s="1"/>
  <c r="P187" i="3" s="1"/>
  <c r="M108" i="3"/>
  <c r="M116" i="3" s="1"/>
  <c r="M126" i="3" s="1"/>
  <c r="F77" i="5" l="1"/>
  <c r="G77" i="5" s="1"/>
  <c r="F76" i="5"/>
  <c r="G76" i="5" s="1"/>
  <c r="F73" i="5"/>
  <c r="J183" i="3"/>
  <c r="J185" i="3" s="1"/>
  <c r="F40" i="5" s="1"/>
  <c r="F41" i="5" s="1"/>
  <c r="F45" i="5"/>
  <c r="F46" i="5" s="1"/>
  <c r="N36" i="5"/>
  <c r="F84" i="5"/>
  <c r="G84" i="5" s="1"/>
  <c r="P183" i="3"/>
  <c r="P185" i="3" s="1"/>
  <c r="L45" i="5"/>
  <c r="L46" i="5" s="1"/>
  <c r="N46" i="5" s="1"/>
  <c r="L45" i="8"/>
  <c r="L46" i="8" s="1"/>
  <c r="J36" i="5"/>
  <c r="F74" i="5"/>
  <c r="G74" i="5" s="1"/>
  <c r="F75" i="5"/>
  <c r="G75" i="5" s="1"/>
  <c r="M187" i="3"/>
  <c r="G73" i="5" l="1"/>
  <c r="J190" i="3"/>
  <c r="F40" i="8"/>
  <c r="P190" i="3"/>
  <c r="L40" i="5"/>
  <c r="L41" i="5" s="1"/>
  <c r="L40" i="8"/>
  <c r="L41" i="8" s="1"/>
  <c r="N49" i="8" s="1"/>
  <c r="M183" i="3"/>
  <c r="M185" i="3" s="1"/>
  <c r="H45" i="8"/>
  <c r="H46" i="8" s="1"/>
  <c r="H45" i="5"/>
  <c r="H46" i="5" s="1"/>
  <c r="J46" i="5" s="1"/>
  <c r="J45" i="3"/>
  <c r="M45" i="3"/>
  <c r="I81" i="8" l="1"/>
  <c r="J81" i="8" s="1"/>
  <c r="L81" i="8" s="1"/>
  <c r="N41" i="5"/>
  <c r="L49" i="5"/>
  <c r="M190" i="3"/>
  <c r="H40" i="8"/>
  <c r="H41" i="8" s="1"/>
  <c r="J49" i="8" s="1"/>
  <c r="H40" i="5"/>
  <c r="H41" i="5" s="1"/>
  <c r="J41" i="5" l="1"/>
  <c r="H49" i="5"/>
  <c r="I84" i="5"/>
  <c r="J84" i="5" s="1"/>
  <c r="L84" i="5" s="1"/>
  <c r="I73" i="8"/>
  <c r="J73" i="8" s="1"/>
  <c r="L73" i="8" s="1"/>
  <c r="I74" i="8"/>
  <c r="J74" i="8" s="1"/>
  <c r="L74" i="8" s="1"/>
  <c r="N74" i="8" s="1"/>
  <c r="N81" i="8"/>
  <c r="N84" i="8" s="1"/>
  <c r="L84" i="8"/>
  <c r="P200" i="3" s="1"/>
  <c r="I77" i="5" l="1"/>
  <c r="J77" i="5" s="1"/>
  <c r="L77" i="5" s="1"/>
  <c r="N77" i="5" s="1"/>
  <c r="I76" i="5"/>
  <c r="J76" i="5" s="1"/>
  <c r="L76" i="5" s="1"/>
  <c r="N76" i="5" s="1"/>
  <c r="I73" i="5"/>
  <c r="N73" i="8"/>
  <c r="N76" i="8" s="1"/>
  <c r="N86" i="8" s="1"/>
  <c r="L76" i="8"/>
  <c r="N84" i="5"/>
  <c r="N87" i="5" s="1"/>
  <c r="L87" i="5"/>
  <c r="I75" i="5"/>
  <c r="J75" i="5" s="1"/>
  <c r="I74" i="5"/>
  <c r="J74" i="5" s="1"/>
  <c r="L74" i="5" s="1"/>
  <c r="N74" i="5" s="1"/>
  <c r="J73" i="5" l="1"/>
  <c r="L73" i="5" s="1"/>
  <c r="L75" i="5"/>
  <c r="N75" i="5" s="1"/>
  <c r="P201" i="3"/>
  <c r="P10" i="3" s="1"/>
  <c r="P33" i="3" s="1"/>
  <c r="P35" i="3" s="1"/>
  <c r="P47" i="3" s="1"/>
  <c r="L86" i="8"/>
  <c r="E200" i="3" s="1"/>
  <c r="L79" i="5" l="1"/>
  <c r="N73" i="5"/>
  <c r="N89" i="5" s="1"/>
  <c r="L89" i="5"/>
  <c r="E194" i="3"/>
  <c r="J194" i="3" s="1"/>
  <c r="M194" i="3" s="1"/>
  <c r="J200" i="3"/>
  <c r="P49" i="3"/>
  <c r="P48" i="3"/>
  <c r="P53" i="3"/>
  <c r="P57" i="3"/>
  <c r="P52" i="3"/>
  <c r="P58" i="3"/>
  <c r="E201" i="3" l="1"/>
  <c r="M200" i="3"/>
  <c r="M201" i="3" s="1"/>
  <c r="M10" i="3" s="1"/>
  <c r="M33" i="3" s="1"/>
  <c r="M35" i="3" s="1"/>
  <c r="M47" i="3" s="1"/>
  <c r="J201" i="3"/>
  <c r="J10" i="3" s="1"/>
  <c r="J33" i="3" s="1"/>
  <c r="J35" i="3" s="1"/>
  <c r="M49" i="3" l="1"/>
  <c r="M53" i="3"/>
  <c r="M57" i="3"/>
  <c r="M52" i="3"/>
  <c r="M58" i="3"/>
  <c r="M48" i="3"/>
</calcChain>
</file>

<file path=xl/sharedStrings.xml><?xml version="1.0" encoding="utf-8"?>
<sst xmlns="http://schemas.openxmlformats.org/spreadsheetml/2006/main" count="1033" uniqueCount="597">
  <si>
    <t xml:space="preserve">     Rate Formula Template</t>
  </si>
  <si>
    <t>Line</t>
  </si>
  <si>
    <t>No.</t>
  </si>
  <si>
    <t xml:space="preserve"> </t>
  </si>
  <si>
    <t>Allocator</t>
  </si>
  <si>
    <t>(Note C)</t>
  </si>
  <si>
    <t>(Note D)</t>
  </si>
  <si>
    <t>(1)</t>
  </si>
  <si>
    <t>(2)</t>
  </si>
  <si>
    <t>(3)</t>
  </si>
  <si>
    <t>(4)</t>
  </si>
  <si>
    <t>Transmission</t>
  </si>
  <si>
    <t>Page, Line, Col.</t>
  </si>
  <si>
    <t>1a</t>
  </si>
  <si>
    <t>Total Income Taxes</t>
  </si>
  <si>
    <t xml:space="preserve">RETURN </t>
  </si>
  <si>
    <t>Note</t>
  </si>
  <si>
    <t>Letter</t>
  </si>
  <si>
    <t>A</t>
  </si>
  <si>
    <t>B</t>
  </si>
  <si>
    <t>C</t>
  </si>
  <si>
    <t>D</t>
  </si>
  <si>
    <t>E</t>
  </si>
  <si>
    <t>F</t>
  </si>
  <si>
    <t>G</t>
  </si>
  <si>
    <t>Page 1 of 6</t>
  </si>
  <si>
    <t xml:space="preserve">Formula Rate - Non-Levelized </t>
  </si>
  <si>
    <t xml:space="preserve"> Utilizing FERC Form 1 Data</t>
  </si>
  <si>
    <t>Allete, Inc. dba Minnesota Power</t>
  </si>
  <si>
    <t>AC Allocator</t>
  </si>
  <si>
    <t>AC System</t>
  </si>
  <si>
    <t>DC Allocator</t>
  </si>
  <si>
    <t>DC System</t>
  </si>
  <si>
    <t>Allocated</t>
  </si>
  <si>
    <t>Amount</t>
  </si>
  <si>
    <t>GROSS REVENUE REQUIREMENT    (page 3, line 31)</t>
  </si>
  <si>
    <t xml:space="preserve">REVENUE CREDITS </t>
  </si>
  <si>
    <t>(Note T)</t>
  </si>
  <si>
    <t>Total</t>
  </si>
  <si>
    <t xml:space="preserve">  Account No. 454</t>
  </si>
  <si>
    <t>(page 5, line 18)</t>
  </si>
  <si>
    <t>TP</t>
  </si>
  <si>
    <t>DA</t>
  </si>
  <si>
    <t xml:space="preserve">  Account No. 456.1</t>
  </si>
  <si>
    <t>(page 5, line 21)</t>
  </si>
  <si>
    <t xml:space="preserve">  Revenues from Grandfathered Interzonal Transactions</t>
  </si>
  <si>
    <t xml:space="preserve">  Revenues from service provided by the ISO at a discount</t>
  </si>
  <si>
    <t>TOTAL REVENUE CREDITS  (sum lines 2-5)</t>
  </si>
  <si>
    <t>6a</t>
  </si>
  <si>
    <t>Historic Year Actual Revenue Requirements</t>
  </si>
  <si>
    <t>6b</t>
  </si>
  <si>
    <t>Historic Year Projected Revenue Requirements</t>
  </si>
  <si>
    <t>6c</t>
  </si>
  <si>
    <t>Historic Year True Up</t>
  </si>
  <si>
    <t>(Line 6a-Line 6b)</t>
  </si>
  <si>
    <t xml:space="preserve">6d </t>
  </si>
  <si>
    <t>Historic Year Actual Divisor</t>
  </si>
  <si>
    <t>6e</t>
  </si>
  <si>
    <t>Historic Year Projected Divisor</t>
  </si>
  <si>
    <t>6f</t>
  </si>
  <si>
    <t>Difference in Divisor</t>
  </si>
  <si>
    <t>(Line 6e-Line 6d)</t>
  </si>
  <si>
    <t>6g</t>
  </si>
  <si>
    <t>Historic Year Projected Annual Cost ($/KW/Yr)</t>
  </si>
  <si>
    <t>6h</t>
  </si>
  <si>
    <t>Historic Year Divisor True Up</t>
  </si>
  <si>
    <t>(Line 6f * Line 6g)</t>
  </si>
  <si>
    <t>6i</t>
  </si>
  <si>
    <t>Interest on Historic Year True Up</t>
  </si>
  <si>
    <t>NET REVENUE REQUIREMENT</t>
  </si>
  <si>
    <t>7a</t>
  </si>
  <si>
    <t>Revenue Requirements from Attachment N-1 Projects</t>
  </si>
  <si>
    <t>7b</t>
  </si>
  <si>
    <t>Adjusted NET REVENUE REQUIREMENTS  (line 7 minus line 7a)</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</si>
  <si>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</si>
  <si>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</si>
  <si>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</si>
  <si>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</si>
  <si>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</si>
  <si>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</si>
  <si>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 xml:space="preserve">  Less 12 CP of firm P-T-P over one year (enter negative)</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</si>
  <si>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</si>
  <si>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</si>
  <si>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</si>
  <si>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</si>
  <si>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</si>
  <si>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7b / line 15)</t>
  </si>
  <si>
    <t xml:space="preserve">Network &amp; P-to-P Rate ($/kW/Mo) </t>
  </si>
  <si>
    <t>(line 16 /12)</t>
  </si>
  <si>
    <t>Point-To-Point Rate ($/kW/Wk)</t>
  </si>
  <si>
    <t>(line 16 /52)</t>
  </si>
  <si>
    <t>Peak Rate</t>
  </si>
  <si>
    <t>Point-To-Point Rate ($/kW/Day)</t>
  </si>
  <si>
    <t>(line 16 / 260)</t>
  </si>
  <si>
    <t>Capped at weekly rate</t>
  </si>
  <si>
    <t>Point-To-Point Rate ($/MWh)</t>
  </si>
  <si>
    <t>(line 16/4160*1000)</t>
  </si>
  <si>
    <t>Capped at weekly</t>
  </si>
  <si>
    <t>and daily rates</t>
  </si>
  <si>
    <t>Off-Peak Rate</t>
  </si>
  <si>
    <t>(line 16/365)   (Note AA)</t>
  </si>
  <si>
    <t>(line 16 / 8760</t>
  </si>
  <si>
    <t xml:space="preserve"> times 1,000)    (Note AA)</t>
  </si>
  <si>
    <t>FERC Annual Charge($/MWh)</t>
  </si>
  <si>
    <t xml:space="preserve">          (Note E)</t>
  </si>
  <si>
    <t>Short Term</t>
  </si>
  <si>
    <t>Long Term</t>
  </si>
  <si>
    <t>Page 2 of 6</t>
  </si>
  <si>
    <t>(5)</t>
  </si>
  <si>
    <t>(6)</t>
  </si>
  <si>
    <t>(7)</t>
  </si>
  <si>
    <t>(8)</t>
  </si>
  <si>
    <t>(9)</t>
  </si>
  <si>
    <t>Form No. 1</t>
  </si>
  <si>
    <t>AC</t>
  </si>
  <si>
    <t>DC</t>
  </si>
  <si>
    <t>Company Total</t>
  </si>
  <si>
    <t xml:space="preserve">                  Allocator</t>
  </si>
  <si>
    <t>(Col 3 times Col 4)</t>
  </si>
  <si>
    <t>(Col 5 times Col 6)</t>
  </si>
  <si>
    <t>(Col 5 times Col 8)</t>
  </si>
  <si>
    <t>RATE BASE:</t>
  </si>
  <si>
    <t xml:space="preserve">  Production</t>
  </si>
  <si>
    <t>205.46.g             (Note AB)</t>
  </si>
  <si>
    <t>NA</t>
  </si>
  <si>
    <t xml:space="preserve">  Transmission</t>
  </si>
  <si>
    <t>207.58.g             (Note Y)  (Note AB)</t>
  </si>
  <si>
    <t xml:space="preserve">  Distribution</t>
  </si>
  <si>
    <t>207.75.g             (Note AB)</t>
  </si>
  <si>
    <t xml:space="preserve">  General &amp; Intangible</t>
  </si>
  <si>
    <t>205.5.g &amp; 207.99.g    (Note AB)</t>
  </si>
  <si>
    <t>W/S</t>
  </si>
  <si>
    <t>GrPlt  AC</t>
  </si>
  <si>
    <t>GrPlt DC</t>
  </si>
  <si>
    <t xml:space="preserve">  Common</t>
  </si>
  <si>
    <t>356.1                 (Note AB)</t>
  </si>
  <si>
    <t>CE</t>
  </si>
  <si>
    <t>TOTAL GROSS PLANT (sum lines 1-5)</t>
  </si>
  <si>
    <t>GP=</t>
  </si>
  <si>
    <t>219.20-24.c        (Note AB)</t>
  </si>
  <si>
    <t>219.25.c             (Note Y)  (Note AB)</t>
  </si>
  <si>
    <t>219.26.c             (Note AB)</t>
  </si>
  <si>
    <t>GrPlt AC</t>
  </si>
  <si>
    <t>TOTAL ACCUM. DEPRECIATION (sum lines 7-11)</t>
  </si>
  <si>
    <t>NET PLANT IN SERVICE</t>
  </si>
  <si>
    <t xml:space="preserve"> (line 1- line 7)          </t>
  </si>
  <si>
    <t xml:space="preserve"> (line 2- line 8)         </t>
  </si>
  <si>
    <t xml:space="preserve"> (line 3 - line 9)        </t>
  </si>
  <si>
    <t xml:space="preserve"> (line 4 - line 10)      </t>
  </si>
  <si>
    <t xml:space="preserve"> (line 5 - line 11)       </t>
  </si>
  <si>
    <t>TOTAL NET PLANT (sum lines 13-17)</t>
  </si>
  <si>
    <t>NP=</t>
  </si>
  <si>
    <t>ADJUSTMENTS TO RATE BASE       (Note F)</t>
  </si>
  <si>
    <t xml:space="preserve">  Account No. 281 (enter negative)</t>
  </si>
  <si>
    <t>273.8.k    (Note AC)</t>
  </si>
  <si>
    <t>zero</t>
  </si>
  <si>
    <t xml:space="preserve">  Account No. 282 (enter negative)</t>
  </si>
  <si>
    <t>275.2.k    (Note AC)</t>
  </si>
  <si>
    <t>NP</t>
  </si>
  <si>
    <t>NPlt AC</t>
  </si>
  <si>
    <t>NPlt DC</t>
  </si>
  <si>
    <t xml:space="preserve">  Account No. 283 (enter negative)</t>
  </si>
  <si>
    <t>277.9.k    (Note AC)</t>
  </si>
  <si>
    <t xml:space="preserve">  Account No. 190 </t>
  </si>
  <si>
    <t>234.8.c    (Note AC)</t>
  </si>
  <si>
    <t xml:space="preserve">  Account No. 255 (enter negative)</t>
  </si>
  <si>
    <t>267.8.h    (Note AC)</t>
  </si>
  <si>
    <t xml:space="preserve">LAND HELD FOR FUTURE USE </t>
  </si>
  <si>
    <t>214.x.d  (Notes G ,Y and AC)</t>
  </si>
  <si>
    <t>WORKING CAPITAL  (Note H)</t>
  </si>
  <si>
    <t xml:space="preserve">  CWC  </t>
  </si>
  <si>
    <t>calculated</t>
  </si>
  <si>
    <t xml:space="preserve">  Materials &amp; Supplies  (Note G)</t>
  </si>
  <si>
    <t>227.8.c &amp; .16.c    (Note AC)</t>
  </si>
  <si>
    <t>TE</t>
  </si>
  <si>
    <t xml:space="preserve">  Prepayments (Account 165)</t>
  </si>
  <si>
    <t>111.57.c               (Note AC)</t>
  </si>
  <si>
    <t>GP</t>
  </si>
  <si>
    <t>TOTAL WORKING CAPITAL (sum lines 26 - 28)</t>
  </si>
  <si>
    <t>Page 3 of 6</t>
  </si>
  <si>
    <t xml:space="preserve">  Transmission </t>
  </si>
  <si>
    <t>321.112.b    (Note Y)</t>
  </si>
  <si>
    <t xml:space="preserve">     Less LSE Expenses included in Transmission O&amp;M Accounts (Notes V and Y)</t>
  </si>
  <si>
    <t xml:space="preserve">     Less Account 565</t>
  </si>
  <si>
    <t>321.96.b   (Note Y)</t>
  </si>
  <si>
    <t xml:space="preserve">  A&amp;G</t>
  </si>
  <si>
    <t>323.197.b</t>
  </si>
  <si>
    <t xml:space="preserve">     Less FERC Annual Fees</t>
  </si>
  <si>
    <t xml:space="preserve">     Less EPRI &amp; Reg. Comm. Exp. &amp; Non-safety  Ad. (Note I)</t>
  </si>
  <si>
    <t>5a</t>
  </si>
  <si>
    <t xml:space="preserve">     Plus Transmission Related Reg. Comm.  Exp. (Notes I and Y)</t>
  </si>
  <si>
    <t>356.1   (Note Y)</t>
  </si>
  <si>
    <t>TOTAL O&amp;M  (sum lines 1, 3, 5a, 6, 7 less lines 1a, 2, 4, 5)</t>
  </si>
  <si>
    <t>336.7.b             (Note Y and Z)</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</si>
  <si>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</si>
  <si>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</si>
  <si>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</si>
  <si>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</si>
  <si>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</si>
  <si>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</si>
  <si>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</si>
  <si>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</si>
  <si>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</si>
  <si>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263.i       (Note Y)    </t>
  </si>
  <si>
    <t xml:space="preserve">         Gross Receipts</t>
  </si>
  <si>
    <t xml:space="preserve">263.i   </t>
  </si>
  <si>
    <t xml:space="preserve">         Other</t>
  </si>
  <si>
    <t xml:space="preserve">         Payments in lieu of taxes</t>
  </si>
  <si>
    <t>TOTAL OTHER TAXES  (sum lines 13 - 19)</t>
  </si>
  <si>
    <t xml:space="preserve">  </t>
  </si>
  <si>
    <t xml:space="preserve">INCOME TAXES          </t>
  </si>
  <si>
    <t xml:space="preserve"> (Note K)</t>
  </si>
  <si>
    <t xml:space="preserve">     T=1 - {[(1 - SIT) * (1 - FIT)] / (1 - SIT * FIT * p)} =</t>
  </si>
  <si>
    <t xml:space="preserve">     CIT=(T/1-T) * (1-(WCLTD/R)) =</t>
  </si>
  <si>
    <t xml:space="preserve">       where WCLTD=(page 5 , line 11) and R= (page 5, line 14)</t>
  </si>
  <si>
    <t xml:space="preserve">       and FIT, SIT &amp; p are as given in footnote K.</t>
  </si>
  <si>
    <t xml:space="preserve">      1 / (1 - T)  = (from line 21)</t>
  </si>
  <si>
    <t>Amortized Investment Tax Credit (266.8f) (enter negative)</t>
  </si>
  <si>
    <t>Income Tax Calculation = line 22 * line 28</t>
  </si>
  <si>
    <t>ITC adjustment (line 23 * line 24)</t>
  </si>
  <si>
    <t xml:space="preserve"> (Note Y)</t>
  </si>
  <si>
    <t>(line 25 plus line 26)</t>
  </si>
  <si>
    <t xml:space="preserve">  [ Rate Base (page 2, line 30) * Rate of Return (page 5, line 14)]</t>
  </si>
  <si>
    <t>REV. REQUIREMENT  (sum lines 8, 12, 20, 27, 28)</t>
  </si>
  <si>
    <t>included in Attachment GG]</t>
  </si>
  <si>
    <t>REV. REQUIREMENT TO BE COLLECTED UNDER ATTACHMENT O</t>
  </si>
  <si>
    <t>Page 4 of 6</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</si>
  <si>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</si>
  <si>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</si>
  <si>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</si>
  <si>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</si>
  <si>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</si>
  <si>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</si>
  <si>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</si>
  <si>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</si>
  <si>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Total Allocated Transmission Plant ( page 2, line 2, Column 5)</t>
  </si>
  <si>
    <t>Amount Directly Assigned to the MP AC System (page 2, line 2, Column 7)</t>
  </si>
  <si>
    <t>GrPlt AC =</t>
  </si>
  <si>
    <t>Amount Directly Assigned to the MP DC System (page 2, line 2, Column 9)</t>
  </si>
  <si>
    <t>GrPlt DC=</t>
  </si>
  <si>
    <t>Total Allocated Net Transmission Plant ( page 2, line 18, Column 5)</t>
  </si>
  <si>
    <t>Amount Directly Assigned to the MP AC System (page 2, line 18, Column 7)</t>
  </si>
  <si>
    <t>NPlt AC =</t>
  </si>
  <si>
    <t>Amount Directly Assigned to the MP DC System (page 2, line 18 Column 9)</t>
  </si>
  <si>
    <t>NPlt DC=</t>
  </si>
  <si>
    <t xml:space="preserve">TRANSMISSION EXPENSES </t>
  </si>
  <si>
    <t>Total transmission expenses    (page 3, line 1, column 3)</t>
  </si>
  <si>
    <t>Less transmission expenses included in OATT Ancillary Services   (Note L)</t>
  </si>
  <si>
    <t>Included transmission expenses (line 12 less line 13)</t>
  </si>
  <si>
    <t>Percentage of transmission expenses after adjustment (line 14 divided by line 12)</t>
  </si>
  <si>
    <t>Percentage of transmission plant included in ISO Rates (line 5)</t>
  </si>
  <si>
    <t>TE=</t>
  </si>
  <si>
    <t>WAGES &amp; SALARY ALLOCATOR   (W&amp;S)</t>
  </si>
  <si>
    <t>Form 1 Reference</t>
  </si>
  <si>
    <t>$</t>
  </si>
  <si>
    <t>Allocation</t>
  </si>
  <si>
    <t>354.20.b</t>
  </si>
  <si>
    <t>354.21.b</t>
  </si>
  <si>
    <t>354.23.b</t>
  </si>
  <si>
    <t>W&amp;S Allocator</t>
  </si>
  <si>
    <t xml:space="preserve">  Other</t>
  </si>
  <si>
    <t>354.24,25,26.b</t>
  </si>
  <si>
    <t>($ / Allocation)</t>
  </si>
  <si>
    <t xml:space="preserve">  Total  (sum lines 18-21)</t>
  </si>
  <si>
    <t>=</t>
  </si>
  <si>
    <t>=WS</t>
  </si>
  <si>
    <t>Page 5 of 6</t>
  </si>
  <si>
    <t>% Electric</t>
  </si>
  <si>
    <t>COMMON PLANT ALLOCATOR  (CE)   (Note O)</t>
  </si>
  <si>
    <t>(line 1 / line 4)</t>
  </si>
  <si>
    <t>(Page 4, line 22)</t>
  </si>
  <si>
    <t xml:space="preserve">  Electric</t>
  </si>
  <si>
    <t>200.3.c</t>
  </si>
  <si>
    <t>*</t>
  </si>
  <si>
    <t xml:space="preserve">  Gas</t>
  </si>
  <si>
    <t>201.3.d</t>
  </si>
  <si>
    <t xml:space="preserve">  Water</t>
  </si>
  <si>
    <t>201.3.e</t>
  </si>
  <si>
    <t xml:space="preserve">  Total  (sum lines 1-3)</t>
  </si>
  <si>
    <t>RETURN (R)</t>
  </si>
  <si>
    <t>Long Term Interest (117, sum of 62.c through 67.c)</t>
  </si>
  <si>
    <t>Preferred Dividends (118.29c) (positive number)</t>
  </si>
  <si>
    <t xml:space="preserve">                                          Development of Common Stock:</t>
  </si>
  <si>
    <t>Proprietary Capital (112.16.c)</t>
  </si>
  <si>
    <t xml:space="preserve">Less Preferred Stock (line 12) </t>
  </si>
  <si>
    <t>Less Account 216.1 (112.12.c)  (enter negative)</t>
  </si>
  <si>
    <t>Common Stock</t>
  </si>
  <si>
    <t>(sum lines 7-9)</t>
  </si>
  <si>
    <t>=WCLTD</t>
  </si>
  <si>
    <t>Cost</t>
  </si>
  <si>
    <t>%</t>
  </si>
  <si>
    <t>(Note P)</t>
  </si>
  <si>
    <t>Weighted</t>
  </si>
  <si>
    <t xml:space="preserve">  Long Term Debt (112, sum of  18.c through 21.c)</t>
  </si>
  <si>
    <t xml:space="preserve">  Preferred Stock  ( 112.3.c)</t>
  </si>
  <si>
    <t xml:space="preserve">  Common Stock  (line 10)</t>
  </si>
  <si>
    <t>Total  (sum lines 11-13)</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</si>
  <si>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</si>
  <si>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</si>
  <si>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</si>
  <si>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</si>
  <si>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</si>
  <si>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</si>
  <si>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</si>
  <si>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</si>
  <si>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</si>
  <si>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</si>
  <si>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</si>
  <si>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</si>
  <si>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</si>
  <si>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</si>
  <si>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20a</t>
  </si>
  <si>
    <t>Page 6 of 6</t>
  </si>
  <si>
    <t>General Note:  References to pages in this formulary rate are indicated as:  (page#, line#, col.#)</t>
  </si>
  <si>
    <t xml:space="preserve">                           References to data from FERC Form 1 are indicated as:   #.y.x  (page, line, column)</t>
  </si>
  <si>
    <t xml:space="preserve">The FERC's annual charges for the year assessed the Transmission Owner for service under this tariff. </t>
  </si>
  <si>
    <t xml:space="preserve">The balances in Accounts 190, 281, 282 and 283, as adjusted by any amounts in contra accounts identified as regulatory assets </t>
  </si>
  <si>
    <t xml:space="preserve">  or liabilities related to FASB 106 or 109.  Balance of Account 255 is reduced by prior flow throughs and excluded if the utility </t>
  </si>
  <si>
    <t xml:space="preserve">  chose to utilize amortization of tax credits against taxable income as discussed in Note K.  Account 281 is not allocated.</t>
  </si>
  <si>
    <t>Identified in Form 1 as being only transmission related.</t>
  </si>
  <si>
    <t>H</t>
  </si>
  <si>
    <t>Cash Working Capital assigned to transmission is one-eighth of O&amp;M allocated to transmission at page 3, line 8, column 5.</t>
  </si>
  <si>
    <t xml:space="preserve">  Prepayments are the electric related prepayments booked to Account No. 165 and reported on Page 111 line 57 in the Form 1.</t>
  </si>
  <si>
    <t>I</t>
  </si>
  <si>
    <t>Line 5 - EPRI Annual Membership Dues listed in Form 1 at 353.f, all Regulatory Commission Expenses itemized at 351.h, and non-safety</t>
  </si>
  <si>
    <t xml:space="preserve">   related advertising included in Account 930.1.  Line 5a - Regulatory Commission Expenses directly related to transmission service,  </t>
  </si>
  <si>
    <t xml:space="preserve">   ISO filings, or transmission siting itemized at 351.h. </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</si>
  <si>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</si>
  <si>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</si>
  <si>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</si>
  <si>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</si>
  <si>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</si>
  <si>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</si>
  <si>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</si>
  <si>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</si>
  <si>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</si>
  <si>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</si>
  <si>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multiplied by (1/1-T) (page 3, line 26).</t>
  </si>
  <si>
    <t>FIT =</t>
  </si>
  <si>
    <t xml:space="preserve">         Inputs Required:</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</si>
  <si>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</si>
  <si>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</si>
  <si>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</si>
  <si>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</si>
  <si>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</si>
  <si>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</si>
  <si>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t>
  </si>
  <si>
    <t xml:space="preserve">  balances are adjusted to reflect application of seven-factor test).</t>
  </si>
  <si>
    <t>N</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</si>
  <si>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</si>
  <si>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</si>
  <si>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</si>
  <si>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O</t>
  </si>
  <si>
    <t>Enter dollar amounts</t>
  </si>
  <si>
    <t>P</t>
  </si>
  <si>
    <t>Debt cost rate = long-term interest (line 21) / long term debt (line 27).  Preferred cost rate = preferred dividends (line 22) /</t>
  </si>
  <si>
    <t xml:space="preserve">  preferred outstanding (line 28).   ROE will be supported in the original filing and no change in ROE may be made absent</t>
  </si>
  <si>
    <t>Q</t>
  </si>
  <si>
    <t>Line 33 must equal zero since all short-term power sales must be unbundled and the transmission component reflected in Account</t>
  </si>
  <si>
    <t xml:space="preserve">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</si>
  <si>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</si>
  <si>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</si>
  <si>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</si>
  <si>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t>
  </si>
  <si>
    <t>pancaking - the revenues are not included in line 4, page 1 nor are the loads included in line 13, page 1.</t>
  </si>
  <si>
    <t>T</t>
  </si>
  <si>
    <t>The revenues credited on page 1 lines 2-5 shall include only the amounts received directly (in the case of grandfathered agreements)</t>
  </si>
  <si>
    <t xml:space="preserve">  or from the ISO (for service under this tariff) reflecting the Transmission Owner's integrated transmission facilities.  They do not include</t>
  </si>
  <si>
    <t xml:space="preserve">  revenues associated with FERC annual charges, gross receipts taxes, ancillary services, facilities not included in this template (e.g., direct</t>
  </si>
  <si>
    <t xml:space="preserve">  assignment facilities and GSUs) which are not recovered under this Rate Formula Template.</t>
  </si>
  <si>
    <t xml:space="preserve">  The ISO will report separately revenue derived from the AC system from revenue derived from the DC system thus allowing for Direct Assigment of those revenue credits.</t>
  </si>
  <si>
    <t>U</t>
  </si>
  <si>
    <t>Account 456.1 entry shall be the annual total of the quarterly values reported at Form 1, 330.x.n.</t>
  </si>
  <si>
    <t>V</t>
  </si>
  <si>
    <t>revenue requirements.</t>
  </si>
  <si>
    <t>W</t>
  </si>
  <si>
    <t>X</t>
  </si>
  <si>
    <t>Y</t>
  </si>
  <si>
    <t>Z</t>
  </si>
  <si>
    <t>AA</t>
  </si>
  <si>
    <t>The transmission charge for Non-Firm Point to Point Transmission Service over ALLETE's HVDC Facilities under Schedule 8 of the Tariff will be $1/MWh.</t>
  </si>
  <si>
    <t>AB</t>
  </si>
  <si>
    <r>
      <t>Percentage of transmission expenses included in ISO Rates (line 15 times line 1</t>
    </r>
    <r>
      <rPr>
        <b/>
        <sz val="12"/>
        <rFont val="Times New Roman"/>
        <family val="1"/>
      </rPr>
      <t>6</t>
    </r>
    <r>
      <rPr>
        <sz val="12"/>
        <rFont val="Times New Roman"/>
        <family val="1"/>
      </rPr>
      <t>)</t>
    </r>
  </si>
  <si>
    <t>18a</t>
  </si>
  <si>
    <t>100% CWIP Recovery for Commission Approved Order</t>
  </si>
  <si>
    <t>23a</t>
  </si>
  <si>
    <t>Peak as would be reported on page 401, column d of Form 1 at the time of the applicable pricing zone coincident monthly peaks.</t>
  </si>
  <si>
    <t>Labeled LF, LU, IF, IU on pages 310-311 of Form 1 at the time of the applicable pricing zone coincident monthly peaks.</t>
  </si>
  <si>
    <t>Labeled LF on page 328 of Form 1 at the time of the applicable pricing zone coincident monthly peaks.</t>
  </si>
  <si>
    <t xml:space="preserve">  Abandoned Plant Amortization</t>
  </si>
  <si>
    <t>AD</t>
  </si>
  <si>
    <t>Identifies which rate base balances are using average of the beginning of year and end of year balances reconiling to FERC From No.1 by page, line and column</t>
  </si>
  <si>
    <t xml:space="preserve">No. 679 Transmission Projects  </t>
  </si>
  <si>
    <t>(Note AB)</t>
  </si>
  <si>
    <t>9a</t>
  </si>
  <si>
    <t>23b</t>
  </si>
  <si>
    <t xml:space="preserve">  Pre-Funded AFUDC Amortization</t>
  </si>
  <si>
    <t>9b</t>
  </si>
  <si>
    <t>[Revenue Requirement for facilities included on page 2, line 2, and also</t>
  </si>
  <si>
    <t xml:space="preserve">  Pre-Funded AFUDC on CWIP ( Account 254) (Notes AB and AD)</t>
  </si>
  <si>
    <t xml:space="preserve">  Unamortized Balance of Abandoned Plant (Notes AB and  AD)</t>
  </si>
  <si>
    <t>(Note AD)</t>
  </si>
  <si>
    <t>(Note  AD)</t>
  </si>
  <si>
    <t>30a</t>
  </si>
  <si>
    <t>included in Attachment MM]</t>
  </si>
  <si>
    <t>20b</t>
  </si>
  <si>
    <t>AE</t>
  </si>
  <si>
    <t>AF</t>
  </si>
  <si>
    <t>(line 1- line 6 + Line 6c+ line 6h+ line 6i)</t>
  </si>
  <si>
    <t>GROSS PLANT IN SERVICE (Note AG)</t>
  </si>
  <si>
    <t>ACCUMULATED DEPRECIATION (Note AG)</t>
  </si>
  <si>
    <t>O&amp;M (Note AH)</t>
  </si>
  <si>
    <t xml:space="preserve">  Transmission Lease Payments  (Note Y, Note AI)</t>
  </si>
  <si>
    <t>DEPRECIATION AND AMORTIZATION EXPENSE (Note AG)</t>
  </si>
  <si>
    <t>336.10.f &amp; 336.1.f        (Note Z)</t>
  </si>
  <si>
    <t>Account Nos. 561.4 and 561.8 consist of RTO expenses billed to load-serving entities and are not included in Transmission Owner</t>
  </si>
  <si>
    <t>AG</t>
  </si>
  <si>
    <t>AH</t>
  </si>
  <si>
    <t>AI</t>
  </si>
  <si>
    <t>and reclassifies them to Transmission Lease Payments, Page 3, Line 7.</t>
  </si>
  <si>
    <t>219.28.c &amp; 200.21.c  (Note AB)</t>
  </si>
  <si>
    <t>Plant in Service, Accumulated Depreciation, and Depreciation Expense amounts exclude Asset Retirement Obligation amounts unless authorized by FERC.</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</si>
  <si>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</si>
  <si>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r>
      <t xml:space="preserve">and the loads are included in line 13, page 1.  Grandfathered agreements whose rates have </t>
    </r>
    <r>
      <rPr>
        <u/>
        <sz val="12"/>
        <rFont val="Times New Roman"/>
        <family val="1"/>
      </rPr>
      <t>not</t>
    </r>
    <r>
      <rPr>
        <sz val="12"/>
        <rFont val="Times New Roman"/>
        <family val="1"/>
      </rPr>
      <t xml:space="preserve"> been changed to eliminate or mitigate </t>
    </r>
  </si>
  <si>
    <t>Minnesota Power Transmission and General Plant Depreciation Rates are shown in an attached schedule.</t>
  </si>
  <si>
    <t>Minnesota Power will provide supporting calculations and work papers for all DA (Direct Assignment) DC Amounts</t>
  </si>
  <si>
    <t>Schedule 10-FERC charges should not be included in O&amp;M recovered under this Attachment O.</t>
  </si>
  <si>
    <t>ALLETE records transmission lease payments to Account 567 - Rents, which are included in Transmission O&amp;M, Page 3, Line 1.  ALLETE removes those payments from Transmission O&amp;M, Page 3, Line 1</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</si>
  <si>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</si>
  <si>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</si>
  <si>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GG ADJUSTMENT [Attachment GG, page 2, lines 2,4, column 10]   (Note W)</t>
  </si>
  <si>
    <t>LESS ATTACHMENT MM ADJUSTMENT [Attachment MM, page 2, line 3, column 14]   (Note AE)</t>
  </si>
  <si>
    <t xml:space="preserve">  c. Transmission charges from Schedules associated with Attachment GG  (Note X)</t>
  </si>
  <si>
    <t xml:space="preserve">  d. Transmission charges from Schedules associated with Attachment MM  (Note AF)</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</si>
  <si>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</si>
  <si>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</si>
  <si>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30b</t>
  </si>
  <si>
    <t>LESS ATTACHMENT ZZ ADJUSTMENT [Attachment ZZ, page 2, lines 2, 4, column 10]   (Note AJ)</t>
  </si>
  <si>
    <t>included in Attachment ZZ]</t>
  </si>
  <si>
    <t>(line 29 - line 30 - line30a - line 30b)</t>
  </si>
  <si>
    <t>20c</t>
  </si>
  <si>
    <t>Total (a-b-c-d-e)</t>
  </si>
  <si>
    <t xml:space="preserve">  e. Transmission charges from Schedules associated with Attachment ZZ  (Note AK)</t>
  </si>
  <si>
    <t>Pursuant to Attachment ZZ of the Midwest ISO Tariff, removes dollar amount of revenue requirements calculated pursuant to Attachment ZZ.</t>
  </si>
  <si>
    <t xml:space="preserve">Removes from revenue credits revenues that are distributed pursuant to Schedules associated with Attachment ZZ of the Midwest ISO Tariff, since the Transmission Owner's Attachment O revenue requirements have already been reduced by the Attachment ZZ revenue requirements.  </t>
  </si>
  <si>
    <t>AJ</t>
  </si>
  <si>
    <t>AK</t>
  </si>
  <si>
    <t>Attachment O-Allete</t>
  </si>
  <si>
    <t>100% CWIP Recovery for GNTL</t>
  </si>
  <si>
    <t>23c</t>
  </si>
  <si>
    <t>Pre-Funded AFUDC on CWIP for GNTL</t>
  </si>
  <si>
    <t>(Notes AB and AD)</t>
  </si>
  <si>
    <t>23d</t>
  </si>
  <si>
    <t>Unamortized Balance of Abandoned Plant for GNTL</t>
  </si>
  <si>
    <t>18b</t>
  </si>
  <si>
    <t>9c</t>
  </si>
  <si>
    <t>9d</t>
  </si>
  <si>
    <t>Pre-Funded AFUDC Amortization for GNTL</t>
  </si>
  <si>
    <t>Abandoned Plant Amortization for GNTL</t>
  </si>
  <si>
    <t xml:space="preserve">The calculations of ADIT in the annual true-up calculation will use the beginning-of-year and end-of-year balances. The calculation of ADIT in the annual projection will be performed </t>
  </si>
  <si>
    <t xml:space="preserve">in accordance with IRS regulation Section 1.167(l)-1(h)(6). Work papers supporting the ADIT calculations will be posted with each Annual True-Up and or projected net revenue </t>
  </si>
  <si>
    <t xml:space="preserve">requirement and included in the annual Informational Filing submitted to the Commission. The Annual True-Up or projected net revenue requirement ADIT worksheets set forth </t>
  </si>
  <si>
    <t>the calculation pursuant to IRS regulation Section 1.167(l)-1(h)(6).</t>
  </si>
  <si>
    <t>CWIP for the GNTL excludes accruals not expected to be paid within a reasonable billing cycle.</t>
  </si>
  <si>
    <r>
      <t>TOTAL ADJUSTMENTS  (sum lines 19- 23d</t>
    </r>
    <r>
      <rPr>
        <strike/>
        <sz val="12"/>
        <rFont val="Times New Roman"/>
        <family val="1"/>
      </rPr>
      <t>b</t>
    </r>
    <r>
      <rPr>
        <sz val="12"/>
        <rFont val="Times New Roman"/>
        <family val="1"/>
      </rPr>
      <t>)</t>
    </r>
  </si>
  <si>
    <t>RATE BASE  (sum lines 18, 18a, 18b, 24, 25, &amp; 29)</t>
  </si>
  <si>
    <t xml:space="preserve">Page 2, Lines 23a and 23c includes the net prefunded AFUDC on CWIP included in rate base and page 3 lines 9a and 9c includes the annual amortization of the prefunded AFUDC amounts included in Account No. 407.4 as required by Commission Order 129 FERC ¶ 61,287 (2009).  Page 2 lines 23b and 23d includes any unamortized balances related to the recovery of abandoned plant costs approved by FERC under a separate docket.   Page 3 lines 9b and 9d includes the Amortization expense of abandonment costs included in transmission depreciation expense.  These are shown in the workpapers required pursuant to the Annual Rate Calculation and True-Up Procedures. </t>
  </si>
  <si>
    <t>Identifies line items in which rate base balances are using a 13 month average balance reconiling to FERC Form No.1 by page, line and column.  As stipulated in FERC Docket No. ER16-118-000,</t>
  </si>
  <si>
    <t xml:space="preserve">  a filing with FERC. A 50 basis point adder for RTO participation may be added to the ROE up to the upper end of the zone of reasonableness established by FERC. </t>
  </si>
  <si>
    <t>The Total General and Common Depreciation Expense excludes any depreciation expense directly associated with a project and thereby included on page 2, column 9.</t>
  </si>
  <si>
    <r>
      <t>The Network Upgrade Charge is the value to be used in Schedule</t>
    </r>
    <r>
      <rPr>
        <sz val="12"/>
        <rFont val="Arial MT"/>
      </rPr>
      <t>s 26, 37 and 38.</t>
    </r>
  </si>
  <si>
    <t>True-Up Adjustment is included pursuant to a FERC approved methodology if applicable.</t>
  </si>
  <si>
    <r>
      <t>Project Depreciation Expense is the actual value booked for the project and included in the Depreciation Expense in Attachment O</t>
    </r>
    <r>
      <rPr>
        <sz val="12"/>
        <rFont val="Arial MT"/>
      </rPr>
      <t>-ALLETE (page 3 line 12).</t>
    </r>
  </si>
  <si>
    <t>Project Net Plant is the Project Gross Plant Identified in Column 3 less the associated Accumulated Depreciation and is inclusive of CWIP and Unamortized Balance of Abandoned Plant in rate base when authorized by FERC Order less any prefunded AFUDC, if applicable.</t>
  </si>
  <si>
    <t>Project Gross Plant is the total capital investment for the project calculated in the same method as the gross plant value in line 1 and includes CWIP in rate base when authorized by FERC Order less any prefunded AFUDC, if applicable.  This value includes subsequent capital investments required to maintain the facilities to their original capabilities.</t>
  </si>
  <si>
    <r>
      <t>Net Transmission Plant is that identified on page 2 line 14 cols 5, 7, 9 of Attachment O</t>
    </r>
    <r>
      <rPr>
        <sz val="12"/>
        <rFont val="Arial MT"/>
      </rPr>
      <t>-ALLETE and is inclusive of any CWIP and Unamortized Balance of Abandoned Plant in rate base when authorized by FERC order less any prefunded AFUDC, if applicable.</t>
    </r>
  </si>
  <si>
    <r>
      <t>Gross Transmission Plant is that identified on page 2 line 2 col 5, 7, 9 of Attachment O</t>
    </r>
    <r>
      <rPr>
        <sz val="12"/>
        <rFont val="Arial MT"/>
      </rPr>
      <t>-ALLETE and is inclusive of any CWIP included in rate base when authorized by FERC order, less any prefunded AFUDC, if applicable.</t>
    </r>
  </si>
  <si>
    <t>Rev. Req. Adj For Attachment O - Allete</t>
  </si>
  <si>
    <t>Annual DC System Totals</t>
  </si>
  <si>
    <t>4</t>
  </si>
  <si>
    <t>3a</t>
  </si>
  <si>
    <t xml:space="preserve">
(Note G)</t>
  </si>
  <si>
    <t>(Note F)</t>
  </si>
  <si>
    <t>(Sum Col. 5, 8 &amp; 9)</t>
  </si>
  <si>
    <t>(Note E)</t>
  </si>
  <si>
    <t>(Col. 6 * Col. 7)</t>
  </si>
  <si>
    <t>(Page 1, Line 14, Col 8)</t>
  </si>
  <si>
    <t>(Col. 3 * Col. 4)</t>
  </si>
  <si>
    <t>(Page 1, Line 9, Col 8)</t>
  </si>
  <si>
    <t>DC System Projects</t>
  </si>
  <si>
    <t>Annual AC System Totals</t>
  </si>
  <si>
    <t>2</t>
  </si>
  <si>
    <t>1c</t>
  </si>
  <si>
    <t>1b</t>
  </si>
  <si>
    <t>(Page 1, Line 14, Col 6)</t>
  </si>
  <si>
    <t>(Page 1, Line 9, Col 6)</t>
  </si>
  <si>
    <t>AC System Projects</t>
  </si>
  <si>
    <t>Network Upgrade Charge</t>
  </si>
  <si>
    <t>True-Up Adjustment</t>
  </si>
  <si>
    <t>Annual Revenue Requirements</t>
  </si>
  <si>
    <t>Project Depreciation Expense</t>
  </si>
  <si>
    <t>Annual Return Charge</t>
  </si>
  <si>
    <t>Annual Allocation Factor for Return</t>
  </si>
  <si>
    <t xml:space="preserve">Project Net Plant </t>
  </si>
  <si>
    <t>Annual Expense Charge</t>
  </si>
  <si>
    <t>Annual Allocation Factor for Expense</t>
  </si>
  <si>
    <t xml:space="preserve">Project Gross Plant </t>
  </si>
  <si>
    <t>MTEP Project Number</t>
  </si>
  <si>
    <t>Project Name</t>
  </si>
  <si>
    <t>Line No.</t>
  </si>
  <si>
    <t xml:space="preserve">                           Network Upgrade Charge Calculation By Project</t>
  </si>
  <si>
    <t>Page 2 of 2</t>
  </si>
  <si>
    <t>Attachment GG-ALLETE</t>
  </si>
  <si>
    <t>For DC System Sum 11 col 7 plus line 13 col 7)</t>
  </si>
  <si>
    <t>(For AC System Sum line 11 col 5 plus line 13 col 5 or</t>
  </si>
  <si>
    <t>14</t>
  </si>
  <si>
    <t>For DC System line 12 col 7 divided by line 2 col 7)</t>
  </si>
  <si>
    <t>(For AC System line 12 col 5 divided by line 2 col 5 or</t>
  </si>
  <si>
    <t>Annual Allocation Factor for Return on Rate Base</t>
  </si>
  <si>
    <t>13</t>
  </si>
  <si>
    <t>Attach O, p 3, line 28 col 5, 7, 9</t>
  </si>
  <si>
    <t>Return on Rate Base</t>
  </si>
  <si>
    <t>12</t>
  </si>
  <si>
    <t>For DC System line 10 col 7 divided by line 2 col 7)</t>
  </si>
  <si>
    <t>(For AC System line 10 col 5 divided by line 2 col 5 or</t>
  </si>
  <si>
    <t>Annual Allocation Factor for Income Tax</t>
  </si>
  <si>
    <t>11</t>
  </si>
  <si>
    <t>Attach O, p 3, line 27 col 5, 7, 9</t>
  </si>
  <si>
    <t>10</t>
  </si>
  <si>
    <t>INCOME TAXES</t>
  </si>
  <si>
    <t>For DC System Sum line 4 col 7 plus line 6 col 7 plus line 8 col 7)</t>
  </si>
  <si>
    <t>(For AC System Sum line 4 col 5 plus line 6 col 5 plus line 8 col 5 or</t>
  </si>
  <si>
    <t>Annual Allocaton Factor for Expense</t>
  </si>
  <si>
    <t>9</t>
  </si>
  <si>
    <t>For DC System line 7 col 7 divided by line 1 col 7)</t>
  </si>
  <si>
    <t>(For AC System line 7 col 5 divided by line 1 col 5 or</t>
  </si>
  <si>
    <t>Annual Allocation Factor for Other Taxes</t>
  </si>
  <si>
    <t>8</t>
  </si>
  <si>
    <t>Attach O, p 3, line 20 col 5, 7, 9</t>
  </si>
  <si>
    <t>Total Other Taxes</t>
  </si>
  <si>
    <t>7</t>
  </si>
  <si>
    <t>TAXES OTHER THAN INCOME TAXES</t>
  </si>
  <si>
    <t>For DC System line 5 col 7 divided by line 1 col 7)</t>
  </si>
  <si>
    <t>Expense</t>
  </si>
  <si>
    <t>(For AC System line 5 col 5 divided by line 1 col 5 or</t>
  </si>
  <si>
    <t>Annual Allocation Factor for G&amp;C Depreciation</t>
  </si>
  <si>
    <t>Attach O, p 3, line 10 &amp; 11, col 5, 7, 9 (Note H)</t>
  </si>
  <si>
    <t>Total G&amp;C Deprciation Expense</t>
  </si>
  <si>
    <t>GENERAL AND COMMON (G&amp;C) DEPRECIATION EXPENSE</t>
  </si>
  <si>
    <t>For DC System line 3 col 7 divided by line 1 col 7)</t>
  </si>
  <si>
    <t>(For AC System line 3 col 5 divided by line 1 col 5 or</t>
  </si>
  <si>
    <t>Annual Allocation Factor for O&amp;M</t>
  </si>
  <si>
    <t>Attach O, p 3, line 8 col 5, 7, 9</t>
  </si>
  <si>
    <t>Total O&amp;M Allocated to Transmission</t>
  </si>
  <si>
    <t>O&amp;M EXPENSE</t>
  </si>
  <si>
    <t>Attach O, p 2, line 14 col 5, 7, 9 (Note B)</t>
  </si>
  <si>
    <t>Net Transmission Plant - Total</t>
  </si>
  <si>
    <t>Attach O, p 2, line 2 col 5, 7, 9 (Note A)</t>
  </si>
  <si>
    <t>Gross Transmission Plant- Total</t>
  </si>
  <si>
    <t>Attachment O - Allete</t>
  </si>
  <si>
    <t xml:space="preserve">To be completed in conjunction with Attachment O - Allete. </t>
  </si>
  <si>
    <t>Page 1 of 2</t>
  </si>
  <si>
    <t xml:space="preserve"> Utilizing Attachment O - Allete Data</t>
  </si>
  <si>
    <t>Formula Rate calculation</t>
  </si>
  <si>
    <t>The Total General and Common Depreciation Expense excludes any depreciation expense directly associated with a project and thereby included on Page 2, Columns 5, 7, 9.</t>
  </si>
  <si>
    <t>The NREAC is the value to be used in Schedule 45.</t>
  </si>
  <si>
    <t>True-Up Adjustment is included pursuant to the Attachment GG - ALLETE FERC approved methodology.</t>
  </si>
  <si>
    <t>Project Depreciation Expense is the actual value booked for the project and included in the Depreciation Expense in Attachment O - ALLETE (page 3 line 12).</t>
  </si>
  <si>
    <t>Project Net Plant is the Project Gross Plant Identified in Column 3 less the associated Accumulated Depreciation and is inclusive of CWIP and Unamortized Balance of Abondoned Plant in rate base when authorized by FERC Order less any prefunded AFUDC, if applicable.</t>
  </si>
  <si>
    <t>Project Gross Plant is the total capital investment for the project calculated in the same method as the gross plant value in line 1 and is inclusive of CWIP in rate base when authorized by FERC Order less any prefunded AFUDC, if applicable.  This value includes subsequent capital investments required to maintain the facilities to their original capabilities.</t>
  </si>
  <si>
    <t>Net Transmission Plant is that identified on Page 2 line 14 cols 5, 7, 9 of Attachment O - ALLETE and is inclusive of any CWIP and Unamortized Balance of Abandoned Plant in rate base when authorized by FERC order less any prefunded AFUDC, if applicable.</t>
  </si>
  <si>
    <t>Gross Transmission Plant is that identified on Page 2 line 2 col 5, 7, 9 of Attachment O - ALLETE and is inclusive of any CWIP included in rate base when authorized by FERC order, less any prefunded AFUDC, if applicable.</t>
  </si>
  <si>
    <t>Revenue Req. Adj For Attachment O</t>
  </si>
  <si>
    <t>(Sum Cols 5, 8 &amp; 9)</t>
  </si>
  <si>
    <t>NREAC</t>
  </si>
  <si>
    <t xml:space="preserve">             NERC Recommendation or Essential Action CHARGE (NREAC) Calculation By Project</t>
  </si>
  <si>
    <t xml:space="preserve"> Utilizing Attachment O Data</t>
  </si>
  <si>
    <t>Attachment ZZ-ALLETE</t>
  </si>
  <si>
    <t>Annual Allocation Factor for G&amp;C Depreciation Expense</t>
  </si>
  <si>
    <t>Attachment O</t>
  </si>
  <si>
    <t>(inputs from Attachment O are rounded to whole dollars)</t>
  </si>
  <si>
    <t xml:space="preserve">To be completed in conjunction with Attachment O - ALLETE. </t>
  </si>
  <si>
    <t>For the 12 months ended 12/31/16</t>
  </si>
  <si>
    <t>For the 12 months ended 12/31/2016</t>
  </si>
  <si>
    <t>MTEP07 - Badoura</t>
  </si>
  <si>
    <t>MTEP06 - Boswell / Bemidji</t>
  </si>
  <si>
    <t>MTEP08 - Fargo Phase 1</t>
  </si>
  <si>
    <t>MTEP11 - Savanna Project</t>
  </si>
  <si>
    <t>MTEP11 - 9 Line Upgrade</t>
  </si>
  <si>
    <t>n/a</t>
  </si>
  <si>
    <t>NERC Facility Ratings Alert - Medium Priority</t>
  </si>
  <si>
    <t>4293 - AC</t>
  </si>
  <si>
    <t>NERC Facility Ratings Alert - Low Priority</t>
  </si>
  <si>
    <t>4294 - AC</t>
  </si>
  <si>
    <t>4293 - DC</t>
  </si>
  <si>
    <t>1f</t>
  </si>
  <si>
    <t>1g</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</si>
</sst>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_(&quot;$&quot;* #,##0.000_);_(&quot;$&quot;* \(#,##0.000\);_(&quot;$&quot;* &quot;-&quot;??_);_(@_)"/>
    <numFmt numFmtId="177" formatCode="0_);\(0\)"/>
    <numFmt numFmtId="178" formatCode="#,##0.000_);\(#,##0.000\)"/>
  </numFmts>
  <fonts count="51">
    <font>
      <sz val="12"/>
      <name val="Arial MT"/>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sz val="10"/>
      <name val="Arial"/>
      <family val="2"/>
    </font>
    <font>
      <sz val="8"/>
      <name val="Arial"/>
      <family val="2"/>
    </font>
    <font>
      <sz val="12"/>
      <name val="Times New Roman"/>
      <family val="1"/>
    </font>
    <font>
      <b/>
      <sz val="12"/>
      <name val="Times New Roman"/>
      <family val="1"/>
    </font>
    <font>
      <b/>
      <u/>
      <sz val="12"/>
      <name val="Times New Roman"/>
      <family val="1"/>
    </font>
    <font>
      <strike/>
      <sz val="12"/>
      <name val="Times New Roman"/>
      <family val="1"/>
    </font>
    <font>
      <sz val="12"/>
      <color indexed="10"/>
      <name val="Times New Roman"/>
      <family val="1"/>
    </font>
    <font>
      <u/>
      <sz val="12"/>
      <color indexed="17"/>
      <name val="Arial MT"/>
    </font>
    <font>
      <sz val="12"/>
      <color indexed="17"/>
      <name val="Arial"/>
      <family val="2"/>
    </font>
    <font>
      <sz val="10"/>
      <name val="Times New Roman"/>
      <family val="1"/>
    </font>
    <font>
      <sz val="10"/>
      <color indexed="17"/>
      <name val="Arial"/>
      <family val="2"/>
    </font>
    <font>
      <strike/>
      <sz val="12"/>
      <name val="Arial MT"/>
    </font>
    <font>
      <u/>
      <sz val="12"/>
      <name val="Arial MT"/>
    </font>
    <font>
      <u/>
      <sz val="12"/>
      <name val="Times New Roman"/>
      <family val="1"/>
    </font>
    <font>
      <sz val="12"/>
      <color rgb="FFFF0000"/>
      <name val="Times New Roman"/>
      <family val="1"/>
    </font>
    <font>
      <sz val="12"/>
      <color rgb="FF00B050"/>
      <name val="Times New Roman"/>
      <family val="1"/>
    </font>
    <font>
      <sz val="10"/>
      <name val="Arial MT"/>
    </font>
    <font>
      <b/>
      <sz val="12"/>
      <name val="Arial"/>
      <family val="2"/>
    </font>
    <font>
      <sz val="12"/>
      <color indexed="10"/>
      <name val="Arial MT"/>
    </font>
    <font>
      <sz val="10"/>
      <color indexed="12"/>
      <name val="Arial"/>
      <family val="2"/>
    </font>
    <font>
      <b/>
      <sz val="12"/>
      <name val="Arial MT"/>
    </font>
    <font>
      <sz val="12"/>
      <color indexed="10"/>
      <name val="Arial"/>
      <family val="2"/>
    </font>
    <font>
      <sz val="12"/>
      <color indexed="12"/>
      <name val="Arial"/>
      <family val="2"/>
    </font>
    <font>
      <sz val="12"/>
      <color indexed="8"/>
      <name val="Arial"/>
      <family val="2"/>
    </font>
    <font>
      <sz val="12"/>
      <color theme="1"/>
      <name val="Arial MT"/>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01">
    <xf numFmtId="173" fontId="0" fillId="0" borderId="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8" fillId="0" borderId="0" applyFont="0" applyFill="0" applyBorder="0" applyAlignment="0" applyProtection="0"/>
    <xf numFmtId="43" fontId="9" fillId="0" borderId="0" applyFont="0" applyFill="0" applyBorder="0" applyAlignment="0" applyProtection="0"/>
    <xf numFmtId="44" fontId="8"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0" borderId="0">
      <alignment vertical="top"/>
    </xf>
    <xf numFmtId="0" fontId="26" fillId="0" borderId="0"/>
    <xf numFmtId="173" fontId="19" fillId="0" borderId="0" applyProtection="0"/>
    <xf numFmtId="0" fontId="19" fillId="23" borderId="7" applyNumberFormat="0" applyFont="0" applyAlignment="0" applyProtection="0"/>
    <xf numFmtId="0" fontId="20" fillId="20" borderId="8" applyNumberFormat="0" applyAlignment="0" applyProtection="0"/>
    <xf numFmtId="9" fontId="8"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8" fillId="0" borderId="0"/>
    <xf numFmtId="0" fontId="8" fillId="0" borderId="0"/>
    <xf numFmtId="0" fontId="3" fillId="0" borderId="0"/>
    <xf numFmtId="0" fontId="8" fillId="0" borderId="0"/>
    <xf numFmtId="0" fontId="8" fillId="23" borderId="7" applyNumberFormat="0" applyFont="0" applyAlignment="0" applyProtection="0"/>
    <xf numFmtId="0" fontId="20" fillId="20" borderId="8" applyNumberFormat="0" applyAlignment="0" applyProtection="0"/>
    <xf numFmtId="9" fontId="3" fillId="0" borderId="0" applyFont="0" applyFill="0" applyBorder="0" applyAlignment="0" applyProtection="0"/>
    <xf numFmtId="9" fontId="8"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2" fillId="0" borderId="0"/>
    <xf numFmtId="0" fontId="1" fillId="0" borderId="0"/>
  </cellStyleXfs>
  <cellXfs count="464">
    <xf numFmtId="173" fontId="0" fillId="0" borderId="0" xfId="0" applyAlignment="1"/>
    <xf numFmtId="172" fontId="28" fillId="24" borderId="0" xfId="41" applyNumberFormat="1" applyFont="1" applyFill="1" applyProtection="1">
      <protection locked="0"/>
    </xf>
    <xf numFmtId="174" fontId="28" fillId="24" borderId="0" xfId="28" applyNumberFormat="1" applyFont="1" applyFill="1" applyBorder="1" applyProtection="1">
      <protection locked="0"/>
    </xf>
    <xf numFmtId="174" fontId="28" fillId="0" borderId="0" xfId="28" applyNumberFormat="1" applyFont="1" applyFill="1" applyBorder="1" applyProtection="1"/>
    <xf numFmtId="3" fontId="28" fillId="0" borderId="0" xfId="41" applyNumberFormat="1" applyFont="1" applyAlignment="1" applyProtection="1"/>
    <xf numFmtId="174" fontId="28" fillId="24" borderId="0" xfId="28" applyNumberFormat="1" applyFont="1" applyFill="1" applyBorder="1" applyAlignment="1" applyProtection="1">
      <protection locked="0"/>
    </xf>
    <xf numFmtId="174" fontId="28" fillId="24" borderId="10" xfId="28" applyNumberFormat="1" applyFont="1" applyFill="1" applyBorder="1" applyAlignment="1" applyProtection="1">
      <protection locked="0"/>
    </xf>
    <xf numFmtId="174" fontId="28" fillId="0" borderId="0" xfId="28" applyNumberFormat="1" applyFont="1" applyFill="1" applyBorder="1" applyAlignment="1" applyProtection="1"/>
    <xf numFmtId="0" fontId="28" fillId="0" borderId="0" xfId="41" applyNumberFormat="1" applyFont="1" applyAlignment="1" applyProtection="1"/>
    <xf numFmtId="0" fontId="28" fillId="24" borderId="0" xfId="41" applyNumberFormat="1" applyFont="1" applyFill="1" applyProtection="1"/>
    <xf numFmtId="49" fontId="29" fillId="24" borderId="0" xfId="41" applyNumberFormat="1" applyFont="1" applyFill="1" applyAlignment="1" applyProtection="1">
      <alignment horizontal="center" wrapText="1"/>
    </xf>
    <xf numFmtId="42" fontId="28" fillId="0" borderId="0" xfId="41" applyNumberFormat="1" applyFont="1" applyFill="1" applyProtection="1"/>
    <xf numFmtId="175" fontId="28" fillId="0" borderId="0" xfId="30" applyNumberFormat="1" applyFont="1" applyFill="1" applyProtection="1"/>
    <xf numFmtId="3" fontId="28" fillId="0" borderId="0" xfId="41" applyNumberFormat="1" applyFont="1" applyFill="1" applyAlignment="1" applyProtection="1"/>
    <xf numFmtId="174" fontId="28" fillId="0" borderId="0" xfId="28" applyNumberFormat="1" applyFont="1" applyAlignment="1" applyProtection="1"/>
    <xf numFmtId="166" fontId="28" fillId="0" borderId="0" xfId="41" applyNumberFormat="1" applyFont="1" applyAlignment="1" applyProtection="1"/>
    <xf numFmtId="174" fontId="28" fillId="0" borderId="11" xfId="28" applyNumberFormat="1" applyFont="1" applyBorder="1" applyAlignment="1" applyProtection="1"/>
    <xf numFmtId="174" fontId="19" fillId="0" borderId="0" xfId="28" applyNumberFormat="1" applyFont="1" applyProtection="1"/>
    <xf numFmtId="174" fontId="28" fillId="0" borderId="0" xfId="28" applyNumberFormat="1" applyFont="1" applyFill="1" applyAlignment="1" applyProtection="1"/>
    <xf numFmtId="174" fontId="28" fillId="0" borderId="10" xfId="28" applyNumberFormat="1" applyFont="1" applyFill="1" applyBorder="1" applyAlignment="1" applyProtection="1"/>
    <xf numFmtId="174" fontId="28" fillId="0" borderId="0" xfId="28" applyNumberFormat="1" applyFont="1" applyBorder="1" applyAlignment="1" applyProtection="1">
      <alignment horizontal="right"/>
    </xf>
    <xf numFmtId="174" fontId="28" fillId="0" borderId="10" xfId="28" applyNumberFormat="1" applyFont="1" applyBorder="1" applyAlignment="1" applyProtection="1"/>
    <xf numFmtId="174" fontId="28" fillId="0" borderId="0" xfId="28" applyNumberFormat="1" applyFont="1" applyProtection="1"/>
    <xf numFmtId="174" fontId="28" fillId="0" borderId="10" xfId="28" applyNumberFormat="1" applyFont="1" applyFill="1" applyBorder="1" applyProtection="1"/>
    <xf numFmtId="176" fontId="28" fillId="0" borderId="0" xfId="41" applyNumberFormat="1" applyFont="1" applyAlignment="1" applyProtection="1"/>
    <xf numFmtId="172" fontId="28" fillId="0" borderId="0" xfId="41" applyNumberFormat="1" applyFont="1" applyAlignment="1" applyProtection="1"/>
    <xf numFmtId="172" fontId="28" fillId="0" borderId="0" xfId="41" applyNumberFormat="1" applyFont="1" applyFill="1" applyAlignment="1" applyProtection="1"/>
    <xf numFmtId="172" fontId="28" fillId="0" borderId="0" xfId="41" applyNumberFormat="1" applyFont="1" applyProtection="1"/>
    <xf numFmtId="3" fontId="29" fillId="24" borderId="0" xfId="41" applyNumberFormat="1" applyFont="1" applyFill="1" applyAlignment="1" applyProtection="1">
      <alignment horizontal="center" wrapText="1"/>
    </xf>
    <xf numFmtId="165" fontId="28" fillId="0" borderId="0" xfId="41" applyNumberFormat="1" applyFont="1" applyAlignment="1" applyProtection="1"/>
    <xf numFmtId="0" fontId="28" fillId="0" borderId="0" xfId="41" applyNumberFormat="1" applyFont="1" applyFill="1" applyAlignment="1" applyProtection="1"/>
    <xf numFmtId="165" fontId="28" fillId="0" borderId="0" xfId="41" applyNumberFormat="1" applyFont="1" applyFill="1" applyAlignment="1" applyProtection="1"/>
    <xf numFmtId="174" fontId="28" fillId="0" borderId="11" xfId="28" applyNumberFormat="1" applyFont="1" applyFill="1" applyBorder="1" applyAlignment="1" applyProtection="1"/>
    <xf numFmtId="164" fontId="28" fillId="0" borderId="0" xfId="41" applyNumberFormat="1" applyFont="1" applyFill="1" applyAlignment="1" applyProtection="1">
      <alignment horizontal="center"/>
    </xf>
    <xf numFmtId="164" fontId="28" fillId="0" borderId="0" xfId="41" applyNumberFormat="1" applyFont="1" applyAlignment="1" applyProtection="1">
      <alignment horizontal="center"/>
    </xf>
    <xf numFmtId="174" fontId="28" fillId="0" borderId="0" xfId="28" applyNumberFormat="1" applyFont="1" applyFill="1" applyAlignment="1" applyProtection="1">
      <alignment horizontal="right"/>
    </xf>
    <xf numFmtId="174" fontId="28" fillId="0" borderId="0" xfId="28" applyNumberFormat="1" applyFont="1" applyBorder="1" applyAlignment="1" applyProtection="1"/>
    <xf numFmtId="165" fontId="28" fillId="0" borderId="0" xfId="41" applyNumberFormat="1" applyFont="1" applyFill="1" applyAlignment="1" applyProtection="1">
      <alignment horizontal="right"/>
    </xf>
    <xf numFmtId="3" fontId="28" fillId="0" borderId="12" xfId="41" applyNumberFormat="1" applyFont="1" applyBorder="1" applyAlignment="1" applyProtection="1"/>
    <xf numFmtId="0" fontId="29" fillId="24" borderId="0" xfId="41" applyFont="1" applyFill="1" applyAlignment="1" applyProtection="1">
      <alignment horizontal="center" wrapText="1"/>
    </xf>
    <xf numFmtId="171" fontId="28" fillId="0" borderId="0" xfId="41" applyNumberFormat="1" applyFont="1" applyFill="1" applyAlignment="1" applyProtection="1">
      <alignment horizontal="left"/>
    </xf>
    <xf numFmtId="169" fontId="28" fillId="0" borderId="0" xfId="41" applyNumberFormat="1" applyFont="1" applyFill="1" applyAlignment="1" applyProtection="1"/>
    <xf numFmtId="10" fontId="28" fillId="0" borderId="0" xfId="41" applyNumberFormat="1" applyFont="1" applyFill="1" applyAlignment="1" applyProtection="1">
      <alignment horizontal="right"/>
    </xf>
    <xf numFmtId="169" fontId="28" fillId="0" borderId="0" xfId="41" applyNumberFormat="1" applyFont="1" applyFill="1" applyAlignment="1" applyProtection="1">
      <alignment horizontal="right"/>
    </xf>
    <xf numFmtId="174" fontId="28" fillId="0" borderId="12" xfId="28" applyNumberFormat="1" applyFont="1" applyFill="1" applyBorder="1" applyAlignment="1" applyProtection="1"/>
    <xf numFmtId="3" fontId="28" fillId="0" borderId="0" xfId="41" applyNumberFormat="1" applyFont="1" applyFill="1" applyAlignment="1" applyProtection="1">
      <alignment horizontal="right"/>
    </xf>
    <xf numFmtId="166" fontId="28" fillId="0" borderId="0" xfId="41" applyNumberFormat="1" applyFont="1" applyFill="1" applyAlignment="1" applyProtection="1"/>
    <xf numFmtId="165" fontId="28" fillId="0" borderId="0" xfId="41" applyNumberFormat="1" applyFont="1" applyFill="1" applyProtection="1"/>
    <xf numFmtId="166" fontId="28" fillId="0" borderId="0" xfId="41" applyNumberFormat="1" applyFont="1" applyFill="1" applyProtection="1"/>
    <xf numFmtId="4" fontId="28" fillId="0" borderId="0" xfId="41" applyNumberFormat="1" applyFont="1" applyAlignment="1" applyProtection="1"/>
    <xf numFmtId="166" fontId="28" fillId="0" borderId="0" xfId="41" applyNumberFormat="1" applyFont="1" applyFill="1" applyAlignment="1" applyProtection="1">
      <alignment horizontal="center"/>
    </xf>
    <xf numFmtId="9" fontId="28" fillId="0" borderId="0" xfId="41" applyNumberFormat="1" applyFont="1" applyAlignment="1" applyProtection="1"/>
    <xf numFmtId="169" fontId="28" fillId="0" borderId="0" xfId="41" applyNumberFormat="1" applyFont="1" applyAlignment="1" applyProtection="1"/>
    <xf numFmtId="169" fontId="28" fillId="0" borderId="11" xfId="41" applyNumberFormat="1" applyFont="1" applyBorder="1" applyAlignment="1" applyProtection="1"/>
    <xf numFmtId="0" fontId="28" fillId="24" borderId="0" xfId="41" applyNumberFormat="1" applyFont="1" applyFill="1" applyProtection="1">
      <protection locked="0"/>
    </xf>
    <xf numFmtId="0" fontId="28" fillId="25" borderId="0" xfId="41" applyFont="1" applyFill="1" applyAlignment="1" applyProtection="1">
      <protection locked="0"/>
    </xf>
    <xf numFmtId="174" fontId="28" fillId="24" borderId="0" xfId="28" applyNumberFormat="1" applyFont="1" applyFill="1" applyAlignment="1" applyProtection="1">
      <protection locked="0"/>
    </xf>
    <xf numFmtId="174" fontId="19" fillId="24" borderId="10" xfId="28" applyNumberFormat="1" applyFont="1" applyFill="1" applyBorder="1" applyProtection="1">
      <protection locked="0"/>
    </xf>
    <xf numFmtId="174" fontId="19" fillId="24" borderId="0" xfId="28" applyNumberFormat="1" applyFont="1" applyFill="1" applyProtection="1">
      <protection locked="0"/>
    </xf>
    <xf numFmtId="0" fontId="28" fillId="25" borderId="0" xfId="41" applyFont="1" applyFill="1" applyAlignment="1" applyProtection="1">
      <alignment horizontal="center"/>
      <protection locked="0"/>
    </xf>
    <xf numFmtId="174" fontId="28" fillId="24" borderId="11" xfId="28" applyNumberFormat="1" applyFont="1" applyFill="1" applyBorder="1" applyAlignment="1" applyProtection="1">
      <protection locked="0"/>
    </xf>
    <xf numFmtId="174" fontId="28" fillId="24" borderId="0" xfId="28" applyNumberFormat="1" applyFont="1" applyFill="1" applyAlignment="1" applyProtection="1">
      <alignment horizontal="right"/>
      <protection locked="0"/>
    </xf>
    <xf numFmtId="174" fontId="28" fillId="24" borderId="0" xfId="28" applyNumberFormat="1" applyFont="1" applyFill="1" applyProtection="1">
      <protection locked="0"/>
    </xf>
    <xf numFmtId="174" fontId="28" fillId="0" borderId="0" xfId="28" applyNumberFormat="1" applyFont="1" applyFill="1" applyAlignment="1" applyProtection="1">
      <protection locked="0"/>
    </xf>
    <xf numFmtId="0" fontId="28" fillId="0" borderId="0" xfId="41" applyFont="1" applyAlignment="1" applyProtection="1">
      <protection locked="0"/>
    </xf>
    <xf numFmtId="10" fontId="28" fillId="24" borderId="0" xfId="41" applyNumberFormat="1" applyFont="1" applyFill="1" applyProtection="1">
      <protection locked="0"/>
    </xf>
    <xf numFmtId="169" fontId="28" fillId="0" borderId="0" xfId="41" applyNumberFormat="1" applyFont="1" applyFill="1" applyAlignment="1" applyProtection="1">
      <protection locked="0"/>
    </xf>
    <xf numFmtId="0" fontId="28" fillId="0" borderId="0" xfId="41" applyFont="1" applyAlignment="1" applyProtection="1">
      <alignment horizontal="center"/>
      <protection locked="0"/>
    </xf>
    <xf numFmtId="0" fontId="28" fillId="0" borderId="0" xfId="41" applyFont="1" applyAlignment="1" applyProtection="1">
      <alignment horizontal="right"/>
      <protection locked="0"/>
    </xf>
    <xf numFmtId="173" fontId="40" fillId="0" borderId="0" xfId="0" applyFont="1" applyBorder="1" applyAlignment="1" applyProtection="1">
      <alignment vertical="center" wrapText="1"/>
      <protection locked="0"/>
    </xf>
    <xf numFmtId="0" fontId="28" fillId="0" borderId="0" xfId="41" applyNumberFormat="1" applyFont="1" applyAlignment="1" applyProtection="1">
      <protection locked="0"/>
    </xf>
    <xf numFmtId="0" fontId="28" fillId="0" borderId="0" xfId="41" applyNumberFormat="1" applyFont="1" applyAlignment="1" applyProtection="1">
      <alignment horizontal="left"/>
      <protection locked="0"/>
    </xf>
    <xf numFmtId="0" fontId="28" fillId="0" borderId="0" xfId="41" applyNumberFormat="1" applyFont="1" applyProtection="1">
      <protection locked="0"/>
    </xf>
    <xf numFmtId="0" fontId="28" fillId="0" borderId="0" xfId="41" applyNumberFormat="1" applyFont="1" applyFill="1" applyProtection="1">
      <protection locked="0"/>
    </xf>
    <xf numFmtId="0" fontId="28" fillId="0" borderId="0" xfId="41" applyFont="1" applyFill="1" applyAlignment="1" applyProtection="1">
      <alignment horizontal="center"/>
      <protection locked="0"/>
    </xf>
    <xf numFmtId="3" fontId="28" fillId="0" borderId="0" xfId="41" applyNumberFormat="1" applyFont="1" applyAlignment="1" applyProtection="1">
      <protection locked="0"/>
    </xf>
    <xf numFmtId="0" fontId="28" fillId="0" borderId="0" xfId="41" applyNumberFormat="1" applyFont="1" applyAlignment="1" applyProtection="1">
      <alignment horizontal="center"/>
      <protection locked="0"/>
    </xf>
    <xf numFmtId="49" fontId="29" fillId="24" borderId="0" xfId="41" applyNumberFormat="1" applyFont="1" applyFill="1" applyAlignment="1" applyProtection="1">
      <alignment horizontal="center" wrapText="1"/>
      <protection locked="0"/>
    </xf>
    <xf numFmtId="0" fontId="28" fillId="0" borderId="0" xfId="41" applyNumberFormat="1" applyFont="1" applyFill="1" applyBorder="1" applyProtection="1">
      <protection locked="0"/>
    </xf>
    <xf numFmtId="0" fontId="29" fillId="0" borderId="10" xfId="41" applyFont="1" applyBorder="1" applyAlignment="1" applyProtection="1">
      <alignment horizontal="center" wrapText="1"/>
      <protection locked="0"/>
    </xf>
    <xf numFmtId="0" fontId="29" fillId="0" borderId="10" xfId="41" applyFont="1" applyBorder="1" applyAlignment="1" applyProtection="1">
      <alignment horizontal="center"/>
      <protection locked="0"/>
    </xf>
    <xf numFmtId="0" fontId="29" fillId="0" borderId="0" xfId="41" applyFont="1" applyAlignment="1" applyProtection="1">
      <alignment horizontal="center"/>
      <protection locked="0"/>
    </xf>
    <xf numFmtId="49" fontId="28" fillId="0" borderId="0" xfId="41" applyNumberFormat="1" applyFont="1" applyProtection="1">
      <protection locked="0"/>
    </xf>
    <xf numFmtId="0" fontId="28" fillId="0" borderId="11" xfId="41" applyNumberFormat="1" applyFont="1" applyBorder="1" applyAlignment="1" applyProtection="1">
      <alignment horizontal="center"/>
      <protection locked="0"/>
    </xf>
    <xf numFmtId="3" fontId="28" fillId="0" borderId="0" xfId="41" applyNumberFormat="1" applyFont="1" applyProtection="1">
      <protection locked="0"/>
    </xf>
    <xf numFmtId="42" fontId="28" fillId="0" borderId="0" xfId="41" applyNumberFormat="1" applyFont="1" applyFill="1" applyProtection="1">
      <protection locked="0"/>
    </xf>
    <xf numFmtId="42" fontId="28" fillId="0" borderId="0" xfId="41" applyNumberFormat="1" applyFont="1" applyFill="1" applyAlignment="1" applyProtection="1">
      <alignment horizontal="center"/>
      <protection locked="0"/>
    </xf>
    <xf numFmtId="3" fontId="28" fillId="0" borderId="0" xfId="41" applyNumberFormat="1" applyFont="1" applyFill="1" applyAlignment="1" applyProtection="1">
      <protection locked="0"/>
    </xf>
    <xf numFmtId="0" fontId="28" fillId="0" borderId="11" xfId="41" applyNumberFormat="1" applyFont="1" applyBorder="1" applyAlignment="1" applyProtection="1">
      <alignment horizontal="centerContinuous"/>
      <protection locked="0"/>
    </xf>
    <xf numFmtId="174" fontId="28" fillId="0" borderId="0" xfId="28" applyNumberFormat="1" applyFont="1" applyAlignment="1" applyProtection="1">
      <protection locked="0"/>
    </xf>
    <xf numFmtId="166" fontId="28" fillId="0" borderId="0" xfId="41" applyNumberFormat="1" applyFont="1" applyAlignment="1" applyProtection="1">
      <protection locked="0"/>
    </xf>
    <xf numFmtId="3" fontId="28" fillId="0" borderId="0" xfId="41" applyNumberFormat="1" applyFont="1" applyFill="1" applyBorder="1" applyProtection="1">
      <protection locked="0"/>
    </xf>
    <xf numFmtId="0" fontId="19" fillId="0" borderId="0" xfId="41" applyFont="1" applyAlignment="1" applyProtection="1">
      <protection locked="0"/>
    </xf>
    <xf numFmtId="174" fontId="28" fillId="0" borderId="11" xfId="28" applyNumberFormat="1" applyFont="1" applyBorder="1" applyAlignment="1" applyProtection="1">
      <protection locked="0"/>
    </xf>
    <xf numFmtId="3" fontId="28" fillId="0" borderId="0" xfId="41" applyNumberFormat="1" applyFont="1" applyBorder="1" applyAlignment="1" applyProtection="1">
      <protection locked="0"/>
    </xf>
    <xf numFmtId="3" fontId="28" fillId="0" borderId="0" xfId="41" applyNumberFormat="1" applyFont="1" applyAlignment="1" applyProtection="1">
      <alignment horizontal="fill"/>
      <protection locked="0"/>
    </xf>
    <xf numFmtId="174" fontId="19" fillId="0" borderId="0" xfId="28" applyNumberFormat="1" applyFont="1" applyProtection="1">
      <protection locked="0"/>
    </xf>
    <xf numFmtId="3" fontId="19" fillId="0" borderId="0" xfId="41" applyNumberFormat="1" applyFont="1" applyProtection="1">
      <protection locked="0"/>
    </xf>
    <xf numFmtId="3" fontId="19" fillId="0" borderId="0" xfId="41" applyNumberFormat="1" applyFont="1" applyAlignment="1" applyProtection="1">
      <alignment horizontal="center"/>
      <protection locked="0"/>
    </xf>
    <xf numFmtId="174" fontId="28" fillId="0" borderId="10" xfId="28" applyNumberFormat="1" applyFont="1" applyFill="1" applyBorder="1" applyAlignment="1" applyProtection="1">
      <protection locked="0"/>
    </xf>
    <xf numFmtId="3" fontId="19" fillId="0" borderId="0" xfId="41" applyNumberFormat="1" applyFont="1" applyFill="1" applyProtection="1">
      <protection locked="0"/>
    </xf>
    <xf numFmtId="3" fontId="19" fillId="0" borderId="0" xfId="41" applyNumberFormat="1" applyFont="1" applyFill="1" applyAlignment="1" applyProtection="1">
      <alignment horizontal="center"/>
      <protection locked="0"/>
    </xf>
    <xf numFmtId="174" fontId="19" fillId="0" borderId="0" xfId="28" applyNumberFormat="1" applyFont="1" applyFill="1" applyProtection="1">
      <protection locked="0"/>
    </xf>
    <xf numFmtId="42" fontId="28" fillId="0" borderId="0" xfId="41" applyNumberFormat="1" applyFont="1" applyBorder="1" applyAlignment="1" applyProtection="1">
      <alignment horizontal="right"/>
      <protection locked="0"/>
    </xf>
    <xf numFmtId="42" fontId="28" fillId="0" borderId="0" xfId="41" applyNumberFormat="1" applyFont="1" applyBorder="1" applyAlignment="1" applyProtection="1">
      <alignment horizontal="center"/>
      <protection locked="0"/>
    </xf>
    <xf numFmtId="0" fontId="28" fillId="0" borderId="0" xfId="41" applyFont="1" applyFill="1" applyAlignment="1" applyProtection="1">
      <protection locked="0"/>
    </xf>
    <xf numFmtId="0" fontId="19" fillId="0" borderId="0" xfId="41" applyNumberFormat="1" applyFont="1" applyAlignment="1" applyProtection="1">
      <alignment horizontal="center"/>
      <protection locked="0"/>
    </xf>
    <xf numFmtId="174" fontId="28" fillId="0" borderId="0" xfId="28" applyNumberFormat="1" applyFont="1" applyProtection="1">
      <protection locked="0"/>
    </xf>
    <xf numFmtId="174" fontId="28" fillId="0" borderId="0" xfId="28" applyNumberFormat="1" applyFont="1" applyFill="1" applyBorder="1" applyProtection="1">
      <protection locked="0"/>
    </xf>
    <xf numFmtId="3" fontId="28" fillId="0" borderId="0" xfId="41" applyNumberFormat="1" applyFont="1" applyAlignment="1" applyProtection="1">
      <alignment horizontal="center"/>
      <protection locked="0"/>
    </xf>
    <xf numFmtId="168" fontId="28" fillId="0" borderId="0" xfId="41" applyNumberFormat="1" applyFont="1" applyProtection="1">
      <protection locked="0"/>
    </xf>
    <xf numFmtId="44" fontId="28" fillId="0" borderId="0" xfId="41" applyNumberFormat="1" applyFont="1" applyAlignment="1" applyProtection="1">
      <protection locked="0"/>
    </xf>
    <xf numFmtId="44" fontId="28" fillId="0" borderId="0" xfId="41" applyNumberFormat="1" applyFont="1" applyAlignment="1" applyProtection="1">
      <alignment horizontal="center"/>
      <protection locked="0"/>
    </xf>
    <xf numFmtId="172" fontId="28" fillId="0" borderId="0" xfId="41" applyNumberFormat="1" applyFont="1" applyAlignment="1" applyProtection="1">
      <protection locked="0"/>
    </xf>
    <xf numFmtId="172" fontId="28" fillId="0" borderId="0" xfId="41" applyNumberFormat="1" applyFont="1" applyAlignment="1" applyProtection="1">
      <alignment horizontal="center"/>
      <protection locked="0"/>
    </xf>
    <xf numFmtId="172" fontId="28" fillId="0" borderId="0" xfId="41" applyNumberFormat="1" applyFont="1" applyFill="1" applyAlignment="1" applyProtection="1">
      <protection locked="0"/>
    </xf>
    <xf numFmtId="172" fontId="28" fillId="0" borderId="0" xfId="41" applyNumberFormat="1" applyFont="1" applyFill="1" applyAlignment="1" applyProtection="1">
      <alignment horizontal="center"/>
      <protection locked="0"/>
    </xf>
    <xf numFmtId="168" fontId="28" fillId="0" borderId="0" xfId="41" applyNumberFormat="1" applyFont="1" applyAlignment="1" applyProtection="1">
      <alignment horizontal="center"/>
      <protection locked="0"/>
    </xf>
    <xf numFmtId="172" fontId="28" fillId="0" borderId="0" xfId="41" applyNumberFormat="1" applyFont="1" applyProtection="1">
      <protection locked="0"/>
    </xf>
    <xf numFmtId="172" fontId="28" fillId="0" borderId="0" xfId="41" applyNumberFormat="1" applyFont="1" applyFill="1" applyProtection="1">
      <protection locked="0"/>
    </xf>
    <xf numFmtId="49" fontId="28" fillId="0" borderId="0" xfId="41" applyNumberFormat="1" applyFont="1" applyAlignment="1" applyProtection="1">
      <alignment horizontal="left"/>
      <protection locked="0"/>
    </xf>
    <xf numFmtId="49" fontId="28" fillId="0" borderId="0" xfId="41" applyNumberFormat="1" applyFont="1" applyAlignment="1" applyProtection="1">
      <alignment horizontal="center"/>
      <protection locked="0"/>
    </xf>
    <xf numFmtId="3" fontId="29" fillId="0" borderId="0" xfId="41" applyNumberFormat="1" applyFont="1" applyAlignment="1" applyProtection="1">
      <alignment horizontal="center"/>
      <protection locked="0"/>
    </xf>
    <xf numFmtId="0" fontId="29" fillId="0" borderId="0" xfId="41" applyNumberFormat="1" applyFont="1" applyAlignment="1" applyProtection="1">
      <alignment horizontal="center"/>
      <protection locked="0"/>
    </xf>
    <xf numFmtId="0" fontId="29" fillId="0" borderId="10" xfId="41" applyNumberFormat="1" applyFont="1" applyBorder="1" applyAlignment="1" applyProtection="1">
      <alignment horizontal="center"/>
      <protection locked="0"/>
    </xf>
    <xf numFmtId="3" fontId="29" fillId="0" borderId="10" xfId="41" applyNumberFormat="1" applyFont="1" applyBorder="1" applyAlignment="1" applyProtection="1">
      <protection locked="0"/>
    </xf>
    <xf numFmtId="0" fontId="28" fillId="0" borderId="10" xfId="41" applyFont="1" applyBorder="1" applyAlignment="1" applyProtection="1">
      <protection locked="0"/>
    </xf>
    <xf numFmtId="3" fontId="29" fillId="0" borderId="0" xfId="41" applyNumberFormat="1" applyFont="1" applyAlignment="1" applyProtection="1">
      <protection locked="0"/>
    </xf>
    <xf numFmtId="0" fontId="28" fillId="0" borderId="10" xfId="41" applyNumberFormat="1" applyFont="1" applyBorder="1" applyAlignment="1" applyProtection="1">
      <alignment horizontal="center"/>
      <protection locked="0"/>
    </xf>
    <xf numFmtId="0" fontId="29" fillId="0" borderId="0" xfId="41" applyNumberFormat="1" applyFont="1" applyAlignment="1" applyProtection="1">
      <protection locked="0"/>
    </xf>
    <xf numFmtId="165" fontId="28" fillId="0" borderId="0" xfId="41" applyNumberFormat="1" applyFont="1" applyAlignment="1" applyProtection="1">
      <protection locked="0"/>
    </xf>
    <xf numFmtId="0" fontId="28" fillId="0" borderId="0" xfId="41" applyNumberFormat="1" applyFont="1" applyFill="1" applyAlignment="1" applyProtection="1">
      <alignment horizontal="center"/>
      <protection locked="0"/>
    </xf>
    <xf numFmtId="0" fontId="28" fillId="0" borderId="0" xfId="41" applyNumberFormat="1" applyFont="1" applyFill="1" applyAlignment="1" applyProtection="1">
      <protection locked="0"/>
    </xf>
    <xf numFmtId="165" fontId="28" fillId="0" borderId="0" xfId="41" applyNumberFormat="1" applyFont="1" applyFill="1" applyAlignment="1" applyProtection="1">
      <protection locked="0"/>
    </xf>
    <xf numFmtId="174" fontId="28" fillId="0" borderId="0" xfId="28" applyNumberFormat="1" applyFont="1" applyFill="1" applyAlignment="1" applyProtection="1">
      <alignment horizontal="center"/>
      <protection locked="0"/>
    </xf>
    <xf numFmtId="174" fontId="28" fillId="0" borderId="0" xfId="28" applyNumberFormat="1" applyFont="1" applyAlignment="1" applyProtection="1">
      <alignment horizontal="center"/>
      <protection locked="0"/>
    </xf>
    <xf numFmtId="174" fontId="28" fillId="0" borderId="0" xfId="28" applyNumberFormat="1" applyFont="1" applyFill="1" applyBorder="1" applyAlignment="1" applyProtection="1">
      <protection locked="0"/>
    </xf>
    <xf numFmtId="164" fontId="28" fillId="0" borderId="0" xfId="41" applyNumberFormat="1" applyFont="1" applyAlignment="1" applyProtection="1">
      <alignment horizontal="center"/>
      <protection locked="0"/>
    </xf>
    <xf numFmtId="174" fontId="28" fillId="0" borderId="0" xfId="28" applyNumberFormat="1" applyFont="1" applyFill="1" applyAlignment="1" applyProtection="1">
      <alignment horizontal="right"/>
      <protection locked="0"/>
    </xf>
    <xf numFmtId="174" fontId="28" fillId="0" borderId="0" xfId="28" applyNumberFormat="1" applyFont="1" applyAlignment="1" applyProtection="1">
      <alignment horizontal="right"/>
      <protection locked="0"/>
    </xf>
    <xf numFmtId="174" fontId="28" fillId="0" borderId="0" xfId="28" applyNumberFormat="1" applyFont="1" applyFill="1" applyBorder="1" applyAlignment="1" applyProtection="1">
      <alignment horizontal="right"/>
      <protection locked="0"/>
    </xf>
    <xf numFmtId="174" fontId="28" fillId="0" borderId="0" xfId="28" applyNumberFormat="1" applyFont="1" applyBorder="1" applyAlignment="1" applyProtection="1">
      <protection locked="0"/>
    </xf>
    <xf numFmtId="174" fontId="28" fillId="0" borderId="0" xfId="28" applyNumberFormat="1" applyFont="1" applyBorder="1" applyAlignment="1" applyProtection="1">
      <alignment horizontal="center"/>
      <protection locked="0"/>
    </xf>
    <xf numFmtId="0" fontId="39" fillId="0" borderId="0" xfId="0" applyNumberFormat="1" applyFont="1" applyAlignment="1" applyProtection="1">
      <protection locked="0"/>
    </xf>
    <xf numFmtId="3" fontId="39" fillId="0" borderId="0" xfId="0" applyNumberFormat="1" applyFont="1" applyAlignment="1" applyProtection="1">
      <protection locked="0"/>
    </xf>
    <xf numFmtId="0" fontId="39" fillId="0" borderId="0" xfId="42" applyNumberFormat="1" applyFont="1" applyFill="1" applyAlignment="1" applyProtection="1">
      <protection locked="0"/>
    </xf>
    <xf numFmtId="3" fontId="39" fillId="0" borderId="0" xfId="42" applyNumberFormat="1" applyFont="1" applyFill="1" applyAlignment="1" applyProtection="1">
      <protection locked="0"/>
    </xf>
    <xf numFmtId="0" fontId="28" fillId="0" borderId="0" xfId="41" applyFont="1" applyBorder="1" applyAlignment="1" applyProtection="1">
      <protection locked="0"/>
    </xf>
    <xf numFmtId="165" fontId="28" fillId="0" borderId="0" xfId="41" applyNumberFormat="1" applyFont="1" applyBorder="1" applyAlignment="1" applyProtection="1">
      <protection locked="0"/>
    </xf>
    <xf numFmtId="174" fontId="28" fillId="0" borderId="0" xfId="28" applyNumberFormat="1" applyFont="1" applyFill="1" applyBorder="1" applyAlignment="1" applyProtection="1">
      <alignment horizontal="center"/>
      <protection locked="0"/>
    </xf>
    <xf numFmtId="0" fontId="28" fillId="0" borderId="0" xfId="42" applyNumberFormat="1" applyFont="1" applyFill="1" applyAlignment="1" applyProtection="1">
      <protection locked="0"/>
    </xf>
    <xf numFmtId="3" fontId="28" fillId="0" borderId="0" xfId="42" applyNumberFormat="1" applyFont="1" applyFill="1" applyAlignment="1" applyProtection="1">
      <protection locked="0"/>
    </xf>
    <xf numFmtId="0" fontId="28" fillId="0" borderId="0" xfId="0" applyNumberFormat="1" applyFont="1" applyAlignment="1" applyProtection="1">
      <protection locked="0"/>
    </xf>
    <xf numFmtId="165" fontId="28" fillId="0" borderId="0" xfId="41" applyNumberFormat="1" applyFont="1" applyFill="1" applyAlignment="1" applyProtection="1">
      <alignment horizontal="right"/>
      <protection locked="0"/>
    </xf>
    <xf numFmtId="174" fontId="28" fillId="0" borderId="0" xfId="41" applyNumberFormat="1" applyFont="1" applyAlignment="1" applyProtection="1">
      <protection locked="0"/>
    </xf>
    <xf numFmtId="0" fontId="28" fillId="0" borderId="11" xfId="41" applyFont="1" applyBorder="1" applyAlignment="1" applyProtection="1">
      <protection locked="0"/>
    </xf>
    <xf numFmtId="0" fontId="30" fillId="0" borderId="0" xfId="41" applyNumberFormat="1" applyFont="1" applyAlignment="1" applyProtection="1">
      <alignment horizontal="center"/>
      <protection locked="0"/>
    </xf>
    <xf numFmtId="3" fontId="30" fillId="0" borderId="0" xfId="41" applyNumberFormat="1" applyFont="1" applyAlignment="1" applyProtection="1">
      <protection locked="0"/>
    </xf>
    <xf numFmtId="3" fontId="31" fillId="0" borderId="0" xfId="41" applyNumberFormat="1" applyFont="1" applyAlignment="1" applyProtection="1">
      <protection locked="0"/>
    </xf>
    <xf numFmtId="3" fontId="28" fillId="0" borderId="0" xfId="41" quotePrefix="1" applyNumberFormat="1" applyFont="1" applyFill="1" applyAlignment="1" applyProtection="1">
      <protection locked="0"/>
    </xf>
    <xf numFmtId="0" fontId="28" fillId="0" borderId="0" xfId="41" applyNumberFormat="1" applyFont="1" applyBorder="1" applyAlignment="1" applyProtection="1">
      <alignment horizontal="center"/>
      <protection locked="0"/>
    </xf>
    <xf numFmtId="0" fontId="28" fillId="0" borderId="0" xfId="41" applyNumberFormat="1" applyFont="1" applyFill="1" applyBorder="1" applyAlignment="1" applyProtection="1">
      <alignment horizontal="left"/>
      <protection locked="0"/>
    </xf>
    <xf numFmtId="3" fontId="28" fillId="0" borderId="0" xfId="41" applyNumberFormat="1" applyFont="1" applyFill="1" applyBorder="1" applyAlignment="1" applyProtection="1">
      <protection locked="0"/>
    </xf>
    <xf numFmtId="0" fontId="32" fillId="0" borderId="0" xfId="41" applyFont="1" applyAlignment="1" applyProtection="1">
      <protection locked="0"/>
    </xf>
    <xf numFmtId="166" fontId="28" fillId="0" borderId="0" xfId="41" applyNumberFormat="1" applyFont="1" applyFill="1" applyAlignment="1" applyProtection="1">
      <alignment horizontal="right"/>
      <protection locked="0"/>
    </xf>
    <xf numFmtId="10" fontId="28" fillId="0" borderId="0" xfId="45" applyNumberFormat="1" applyFont="1" applyFill="1" applyAlignment="1" applyProtection="1">
      <alignment horizontal="center"/>
      <protection locked="0"/>
    </xf>
    <xf numFmtId="10" fontId="28" fillId="0" borderId="0" xfId="45" applyNumberFormat="1" applyFont="1" applyAlignment="1" applyProtection="1">
      <alignment horizontal="center"/>
      <protection locked="0"/>
    </xf>
    <xf numFmtId="166" fontId="28" fillId="0" borderId="0" xfId="41" applyNumberFormat="1" applyFont="1" applyAlignment="1" applyProtection="1">
      <alignment horizontal="center"/>
      <protection locked="0"/>
    </xf>
    <xf numFmtId="164" fontId="28" fillId="0" borderId="0" xfId="41" applyNumberFormat="1" applyFont="1" applyAlignment="1" applyProtection="1">
      <alignment horizontal="left"/>
      <protection locked="0"/>
    </xf>
    <xf numFmtId="10" fontId="28" fillId="0" borderId="0" xfId="41" applyNumberFormat="1" applyFont="1" applyFill="1" applyAlignment="1" applyProtection="1">
      <alignment horizontal="left"/>
      <protection locked="0"/>
    </xf>
    <xf numFmtId="167" fontId="28" fillId="0" borderId="0" xfId="41" applyNumberFormat="1" applyFont="1" applyAlignment="1" applyProtection="1">
      <protection locked="0"/>
    </xf>
    <xf numFmtId="0" fontId="28" fillId="0" borderId="0" xfId="41" quotePrefix="1" applyNumberFormat="1" applyFont="1" applyFill="1" applyAlignment="1" applyProtection="1">
      <alignment horizontal="left"/>
      <protection locked="0"/>
    </xf>
    <xf numFmtId="174" fontId="28" fillId="0" borderId="0" xfId="28" applyNumberFormat="1" applyFont="1" applyFill="1" applyProtection="1">
      <protection locked="0"/>
    </xf>
    <xf numFmtId="0" fontId="28" fillId="0" borderId="11" xfId="41" applyNumberFormat="1" applyFont="1" applyFill="1" applyBorder="1" applyProtection="1">
      <protection locked="0"/>
    </xf>
    <xf numFmtId="3" fontId="28" fillId="0" borderId="11" xfId="41" applyNumberFormat="1" applyFont="1" applyFill="1" applyBorder="1" applyAlignment="1" applyProtection="1">
      <protection locked="0"/>
    </xf>
    <xf numFmtId="3" fontId="28" fillId="0" borderId="0" xfId="41" applyNumberFormat="1" applyFont="1" applyFill="1" applyAlignment="1" applyProtection="1">
      <alignment horizontal="center"/>
      <protection locked="0"/>
    </xf>
    <xf numFmtId="49" fontId="28" fillId="0" borderId="0" xfId="41" applyNumberFormat="1" applyFont="1" applyFill="1" applyProtection="1">
      <protection locked="0"/>
    </xf>
    <xf numFmtId="49" fontId="28" fillId="0" borderId="0" xfId="41" applyNumberFormat="1" applyFont="1" applyFill="1" applyAlignment="1" applyProtection="1">
      <protection locked="0"/>
    </xf>
    <xf numFmtId="49" fontId="28" fillId="0" borderId="0" xfId="41" applyNumberFormat="1" applyFont="1" applyFill="1" applyAlignment="1" applyProtection="1">
      <alignment horizontal="center"/>
      <protection locked="0"/>
    </xf>
    <xf numFmtId="3" fontId="28" fillId="0" borderId="0" xfId="41" applyNumberFormat="1" applyFont="1" applyFill="1" applyAlignment="1" applyProtection="1">
      <alignment horizontal="right"/>
      <protection locked="0"/>
    </xf>
    <xf numFmtId="166" fontId="28" fillId="0" borderId="0" xfId="41" applyNumberFormat="1" applyFont="1" applyFill="1" applyAlignment="1" applyProtection="1">
      <protection locked="0"/>
    </xf>
    <xf numFmtId="0" fontId="28" fillId="0" borderId="0" xfId="41" applyFont="1" applyFill="1" applyBorder="1" applyAlignment="1" applyProtection="1">
      <protection locked="0"/>
    </xf>
    <xf numFmtId="0" fontId="29" fillId="0" borderId="0" xfId="41" applyFont="1" applyFill="1" applyBorder="1" applyAlignment="1" applyProtection="1">
      <protection locked="0"/>
    </xf>
    <xf numFmtId="0" fontId="8" fillId="0" borderId="0" xfId="41" applyFont="1" applyFill="1" applyBorder="1" applyAlignment="1" applyProtection="1">
      <protection locked="0"/>
    </xf>
    <xf numFmtId="0" fontId="8" fillId="0" borderId="0" xfId="41" applyFont="1" applyFill="1" applyBorder="1" applyAlignment="1" applyProtection="1">
      <alignment horizontal="center"/>
      <protection locked="0"/>
    </xf>
    <xf numFmtId="3" fontId="8" fillId="0" borderId="0" xfId="41" applyNumberFormat="1" applyFont="1" applyFill="1" applyBorder="1" applyAlignment="1" applyProtection="1">
      <protection locked="0"/>
    </xf>
    <xf numFmtId="0" fontId="8" fillId="0" borderId="0" xfId="41" applyNumberFormat="1" applyFont="1" applyFill="1" applyBorder="1" applyAlignment="1" applyProtection="1">
      <protection locked="0"/>
    </xf>
    <xf numFmtId="175" fontId="8" fillId="0" borderId="0" xfId="30" applyNumberFormat="1" applyFont="1" applyFill="1" applyBorder="1" applyAlignment="1" applyProtection="1">
      <protection locked="0"/>
    </xf>
    <xf numFmtId="3" fontId="8" fillId="0" borderId="0" xfId="41" applyNumberFormat="1" applyFont="1" applyFill="1" applyBorder="1" applyAlignment="1" applyProtection="1">
      <alignment horizontal="center"/>
      <protection locked="0"/>
    </xf>
    <xf numFmtId="3" fontId="19" fillId="0" borderId="0" xfId="41" applyNumberFormat="1" applyFont="1" applyFill="1" applyBorder="1" applyAlignment="1" applyProtection="1">
      <protection locked="0"/>
    </xf>
    <xf numFmtId="174" fontId="8" fillId="0" borderId="0" xfId="28" applyNumberFormat="1" applyFont="1" applyFill="1" applyBorder="1" applyAlignment="1" applyProtection="1">
      <protection locked="0"/>
    </xf>
    <xf numFmtId="170" fontId="8" fillId="0" borderId="0" xfId="41" applyNumberFormat="1" applyFont="1" applyFill="1" applyBorder="1" applyAlignment="1" applyProtection="1">
      <protection locked="0"/>
    </xf>
    <xf numFmtId="170" fontId="8" fillId="0" borderId="0" xfId="41" applyNumberFormat="1" applyFont="1" applyFill="1" applyBorder="1" applyAlignment="1" applyProtection="1">
      <alignment horizontal="center"/>
      <protection locked="0"/>
    </xf>
    <xf numFmtId="0" fontId="19" fillId="0" borderId="0" xfId="41" applyFont="1" applyFill="1" applyBorder="1" applyAlignment="1" applyProtection="1">
      <protection locked="0"/>
    </xf>
    <xf numFmtId="0" fontId="37" fillId="0" borderId="0" xfId="41" applyFont="1" applyFill="1" applyBorder="1" applyAlignment="1" applyProtection="1">
      <protection locked="0"/>
    </xf>
    <xf numFmtId="0" fontId="8" fillId="0" borderId="0" xfId="41" applyNumberFormat="1" applyFont="1" applyFill="1" applyBorder="1" applyAlignment="1" applyProtection="1">
      <alignment horizontal="center"/>
      <protection locked="0"/>
    </xf>
    <xf numFmtId="0" fontId="38" fillId="0" borderId="0" xfId="41" applyFont="1" applyFill="1" applyBorder="1" applyProtection="1">
      <protection locked="0"/>
    </xf>
    <xf numFmtId="0" fontId="19" fillId="0" borderId="0" xfId="41" applyFont="1" applyFill="1" applyBorder="1" applyProtection="1">
      <protection locked="0"/>
    </xf>
    <xf numFmtId="175" fontId="8" fillId="0" borderId="0" xfId="30" applyNumberFormat="1" applyFont="1" applyFill="1" applyBorder="1" applyAlignment="1" applyProtection="1">
      <alignment horizontal="center"/>
      <protection locked="0"/>
    </xf>
    <xf numFmtId="0" fontId="19" fillId="0" borderId="0" xfId="41" applyFont="1" applyFill="1" applyBorder="1" applyAlignment="1" applyProtection="1">
      <alignment horizontal="left" wrapText="1"/>
      <protection locked="0"/>
    </xf>
    <xf numFmtId="3" fontId="28" fillId="0" borderId="11" xfId="41" applyNumberFormat="1" applyFont="1" applyBorder="1" applyAlignment="1" applyProtection="1">
      <protection locked="0"/>
    </xf>
    <xf numFmtId="3" fontId="28" fillId="0" borderId="11" xfId="41" applyNumberFormat="1" applyFont="1" applyBorder="1" applyAlignment="1" applyProtection="1">
      <alignment horizontal="center"/>
      <protection locked="0"/>
    </xf>
    <xf numFmtId="4" fontId="28" fillId="0" borderId="0" xfId="41" applyNumberFormat="1" applyFont="1" applyAlignment="1" applyProtection="1">
      <protection locked="0"/>
    </xf>
    <xf numFmtId="3" fontId="28" fillId="0" borderId="0" xfId="41" applyNumberFormat="1" applyFont="1" applyBorder="1" applyAlignment="1" applyProtection="1">
      <alignment horizontal="center"/>
      <protection locked="0"/>
    </xf>
    <xf numFmtId="0" fontId="28" fillId="0" borderId="0" xfId="41" quotePrefix="1" applyFont="1" applyAlignment="1" applyProtection="1">
      <alignment horizontal="center"/>
      <protection locked="0"/>
    </xf>
    <xf numFmtId="0" fontId="26" fillId="0" borderId="0" xfId="41" applyNumberFormat="1" applyFont="1" applyFill="1" applyBorder="1" applyAlignment="1" applyProtection="1">
      <protection locked="0"/>
    </xf>
    <xf numFmtId="0" fontId="26" fillId="0" borderId="0" xfId="41" applyNumberFormat="1" applyFont="1" applyFill="1" applyBorder="1" applyAlignment="1" applyProtection="1">
      <alignment horizontal="center"/>
      <protection locked="0"/>
    </xf>
    <xf numFmtId="0" fontId="33" fillId="0" borderId="0" xfId="41" applyFont="1" applyFill="1" applyBorder="1" applyProtection="1">
      <protection locked="0"/>
    </xf>
    <xf numFmtId="0" fontId="25" fillId="0" borderId="0" xfId="41" applyFont="1" applyFill="1" applyBorder="1" applyProtection="1">
      <protection locked="0"/>
    </xf>
    <xf numFmtId="0" fontId="26" fillId="0" borderId="0" xfId="41" applyFont="1" applyFill="1" applyBorder="1" applyAlignment="1" applyProtection="1">
      <protection locked="0"/>
    </xf>
    <xf numFmtId="173" fontId="0" fillId="0" borderId="0" xfId="0" applyAlignment="1" applyProtection="1">
      <protection locked="0"/>
    </xf>
    <xf numFmtId="49" fontId="29" fillId="0" borderId="0" xfId="41" applyNumberFormat="1" applyFont="1" applyFill="1" applyAlignment="1" applyProtection="1">
      <alignment horizontal="center" wrapText="1"/>
      <protection locked="0"/>
    </xf>
    <xf numFmtId="3" fontId="29" fillId="0" borderId="10" xfId="41" applyNumberFormat="1" applyFont="1" applyBorder="1" applyAlignment="1" applyProtection="1">
      <alignment horizontal="center"/>
      <protection locked="0"/>
    </xf>
    <xf numFmtId="0" fontId="28" fillId="0" borderId="10" xfId="41" applyFont="1" applyFill="1" applyBorder="1" applyAlignment="1" applyProtection="1">
      <alignment horizontal="center"/>
      <protection locked="0"/>
    </xf>
    <xf numFmtId="166" fontId="29" fillId="0" borderId="0" xfId="41" quotePrefix="1" applyNumberFormat="1" applyFont="1" applyFill="1" applyAlignment="1" applyProtection="1">
      <protection locked="0"/>
    </xf>
    <xf numFmtId="0" fontId="28" fillId="0" borderId="11" xfId="41" applyNumberFormat="1" applyFont="1" applyBorder="1" applyAlignment="1" applyProtection="1">
      <protection locked="0"/>
    </xf>
    <xf numFmtId="0" fontId="19" fillId="0" borderId="0" xfId="41" applyNumberFormat="1" applyFont="1" applyAlignment="1" applyProtection="1">
      <protection locked="0"/>
    </xf>
    <xf numFmtId="3" fontId="19" fillId="0" borderId="0" xfId="41" applyNumberFormat="1" applyFont="1" applyAlignment="1" applyProtection="1">
      <protection locked="0"/>
    </xf>
    <xf numFmtId="3" fontId="28" fillId="0" borderId="0" xfId="41" quotePrefix="1" applyNumberFormat="1" applyFont="1" applyAlignment="1" applyProtection="1">
      <protection locked="0"/>
    </xf>
    <xf numFmtId="169" fontId="28" fillId="0" borderId="0" xfId="41" applyNumberFormat="1" applyFont="1" applyAlignment="1" applyProtection="1">
      <protection locked="0"/>
    </xf>
    <xf numFmtId="38" fontId="28" fillId="0" borderId="0" xfId="41" applyNumberFormat="1" applyFont="1" applyAlignment="1" applyProtection="1">
      <protection locked="0"/>
    </xf>
    <xf numFmtId="0" fontId="28" fillId="0" borderId="0" xfId="41" applyFont="1" applyBorder="1" applyAlignment="1" applyProtection="1">
      <alignment horizontal="center"/>
      <protection locked="0"/>
    </xf>
    <xf numFmtId="0" fontId="28" fillId="0" borderId="11" xfId="41" applyNumberFormat="1" applyFont="1" applyBorder="1" applyProtection="1">
      <protection locked="0"/>
    </xf>
    <xf numFmtId="3" fontId="34" fillId="0" borderId="0" xfId="41" applyNumberFormat="1" applyFont="1" applyAlignment="1" applyProtection="1">
      <alignment horizontal="left"/>
      <protection locked="0"/>
    </xf>
    <xf numFmtId="3" fontId="34" fillId="0" borderId="0" xfId="41" applyNumberFormat="1" applyFont="1" applyAlignment="1" applyProtection="1">
      <alignment horizontal="center"/>
      <protection locked="0"/>
    </xf>
    <xf numFmtId="3" fontId="24" fillId="0" borderId="0" xfId="41" applyNumberFormat="1" applyFont="1" applyAlignment="1" applyProtection="1">
      <alignment horizontal="center"/>
      <protection locked="0"/>
    </xf>
    <xf numFmtId="3" fontId="34" fillId="0" borderId="0" xfId="41" applyNumberFormat="1" applyFont="1" applyFill="1" applyAlignment="1" applyProtection="1">
      <alignment horizontal="left"/>
      <protection locked="0"/>
    </xf>
    <xf numFmtId="3" fontId="24" fillId="0" borderId="0" xfId="41" applyNumberFormat="1" applyFont="1" applyFill="1" applyAlignment="1" applyProtection="1">
      <alignment horizontal="center"/>
      <protection locked="0"/>
    </xf>
    <xf numFmtId="0" fontId="28" fillId="0" borderId="0" xfId="41" applyNumberFormat="1" applyFont="1" applyBorder="1" applyAlignment="1" applyProtection="1">
      <protection locked="0"/>
    </xf>
    <xf numFmtId="0" fontId="28" fillId="0" borderId="0" xfId="41" applyNumberFormat="1" applyFont="1" applyBorder="1" applyProtection="1">
      <protection locked="0"/>
    </xf>
    <xf numFmtId="0" fontId="28" fillId="0" borderId="0" xfId="41" applyNumberFormat="1" applyFont="1" applyFill="1" applyBorder="1" applyAlignment="1" applyProtection="1">
      <protection locked="0"/>
    </xf>
    <xf numFmtId="0" fontId="28" fillId="0" borderId="11" xfId="41" applyNumberFormat="1" applyFont="1" applyFill="1" applyBorder="1" applyAlignment="1" applyProtection="1">
      <protection locked="0"/>
    </xf>
    <xf numFmtId="0" fontId="28" fillId="0" borderId="11" xfId="41" applyNumberFormat="1" applyFont="1" applyFill="1" applyBorder="1" applyAlignment="1" applyProtection="1">
      <alignment horizontal="center"/>
      <protection locked="0"/>
    </xf>
    <xf numFmtId="173" fontId="28" fillId="0" borderId="0" xfId="41" applyNumberFormat="1" applyFont="1" applyAlignment="1" applyProtection="1">
      <protection locked="0"/>
    </xf>
    <xf numFmtId="0" fontId="28" fillId="0" borderId="0" xfId="41" applyNumberFormat="1" applyFont="1" applyFill="1" applyAlignment="1" applyProtection="1">
      <alignment horizontal="right"/>
      <protection locked="0"/>
    </xf>
    <xf numFmtId="0" fontId="28" fillId="0" borderId="0" xfId="41" applyNumberFormat="1" applyFont="1" applyAlignment="1" applyProtection="1">
      <alignment horizontal="right"/>
      <protection locked="0"/>
    </xf>
    <xf numFmtId="0" fontId="35" fillId="0" borderId="0" xfId="41" applyNumberFormat="1" applyFont="1" applyFill="1" applyProtection="1">
      <protection locked="0"/>
    </xf>
    <xf numFmtId="3" fontId="35" fillId="0" borderId="0" xfId="41" applyNumberFormat="1" applyFont="1" applyFill="1" applyAlignment="1" applyProtection="1">
      <protection locked="0"/>
    </xf>
    <xf numFmtId="0" fontId="35" fillId="0" borderId="0" xfId="41" applyFont="1" applyAlignment="1" applyProtection="1">
      <alignment horizontal="center"/>
      <protection locked="0"/>
    </xf>
    <xf numFmtId="0" fontId="35" fillId="0" borderId="0" xfId="41" applyFont="1" applyAlignment="1" applyProtection="1">
      <protection locked="0"/>
    </xf>
    <xf numFmtId="0" fontId="34" fillId="0" borderId="0" xfId="41" applyNumberFormat="1" applyFont="1" applyFill="1" applyAlignment="1" applyProtection="1">
      <alignment horizontal="left"/>
      <protection locked="0"/>
    </xf>
    <xf numFmtId="0" fontId="34" fillId="0" borderId="0" xfId="41" applyNumberFormat="1" applyFont="1" applyFill="1" applyAlignment="1" applyProtection="1">
      <alignment horizontal="center"/>
      <protection locked="0"/>
    </xf>
    <xf numFmtId="0" fontId="39" fillId="0" borderId="0" xfId="41" applyNumberFormat="1" applyFont="1" applyFill="1" applyProtection="1">
      <protection locked="0"/>
    </xf>
    <xf numFmtId="0" fontId="36" fillId="0" borderId="0" xfId="41" applyNumberFormat="1" applyFont="1" applyFill="1" applyAlignment="1" applyProtection="1">
      <alignment horizontal="left"/>
      <protection locked="0"/>
    </xf>
    <xf numFmtId="10" fontId="28" fillId="0" borderId="0" xfId="41" applyNumberFormat="1" applyFont="1" applyFill="1" applyProtection="1">
      <protection locked="0"/>
    </xf>
    <xf numFmtId="0" fontId="35" fillId="0" borderId="0" xfId="41" applyFont="1" applyFill="1" applyAlignment="1" applyProtection="1">
      <protection locked="0"/>
    </xf>
    <xf numFmtId="0" fontId="28" fillId="0" borderId="0" xfId="41" applyFont="1" applyFill="1" applyAlignment="1" applyProtection="1">
      <alignment horizontal="center" vertical="center" wrapText="1"/>
      <protection locked="0"/>
    </xf>
    <xf numFmtId="0" fontId="28" fillId="0" borderId="0" xfId="41" applyNumberFormat="1" applyFont="1" applyFill="1" applyAlignment="1" applyProtection="1">
      <alignment vertical="top" wrapText="1"/>
      <protection locked="0"/>
    </xf>
    <xf numFmtId="0" fontId="28" fillId="0" borderId="0" xfId="41" applyFont="1" applyFill="1" applyAlignment="1" applyProtection="1">
      <alignment horizontal="center" vertical="top" wrapText="1"/>
      <protection locked="0"/>
    </xf>
    <xf numFmtId="0" fontId="28" fillId="0" borderId="0" xfId="41" applyFont="1" applyFill="1" applyProtection="1">
      <protection locked="0"/>
    </xf>
    <xf numFmtId="0" fontId="29" fillId="0" borderId="0" xfId="41" applyNumberFormat="1" applyFont="1" applyFill="1" applyProtection="1">
      <protection locked="0"/>
    </xf>
    <xf numFmtId="0" fontId="29" fillId="0" borderId="0" xfId="41" applyFont="1" applyFill="1" applyAlignment="1" applyProtection="1">
      <alignment horizontal="center"/>
      <protection locked="0"/>
    </xf>
    <xf numFmtId="0" fontId="29" fillId="0" borderId="0" xfId="41" applyFont="1" applyFill="1" applyAlignment="1" applyProtection="1">
      <protection locked="0"/>
    </xf>
    <xf numFmtId="0" fontId="41" fillId="0" borderId="0" xfId="41" applyFont="1" applyAlignment="1" applyProtection="1">
      <alignment horizontal="center"/>
      <protection locked="0"/>
    </xf>
    <xf numFmtId="0" fontId="41" fillId="0" borderId="0" xfId="41" applyFont="1" applyAlignment="1" applyProtection="1">
      <protection locked="0"/>
    </xf>
    <xf numFmtId="0" fontId="41" fillId="0" borderId="0" xfId="41" applyFont="1" applyFill="1" applyAlignment="1" applyProtection="1">
      <protection locked="0"/>
    </xf>
    <xf numFmtId="0" fontId="41" fillId="0" borderId="0" xfId="41" applyFont="1" applyFill="1" applyAlignment="1" applyProtection="1">
      <alignment horizontal="center"/>
      <protection locked="0"/>
    </xf>
    <xf numFmtId="0" fontId="28" fillId="0" borderId="0" xfId="41" applyFont="1" applyFill="1" applyAlignment="1" applyProtection="1">
      <alignment horizontal="center" vertical="top"/>
      <protection locked="0"/>
    </xf>
    <xf numFmtId="174" fontId="28" fillId="24" borderId="0" xfId="28" applyNumberFormat="1" applyFont="1" applyFill="1" applyBorder="1" applyAlignment="1" applyProtection="1"/>
    <xf numFmtId="174" fontId="28" fillId="24" borderId="11" xfId="28" applyNumberFormat="1" applyFont="1" applyFill="1" applyBorder="1" applyAlignment="1" applyProtection="1"/>
    <xf numFmtId="169" fontId="28" fillId="25" borderId="0" xfId="41" applyNumberFormat="1" applyFont="1" applyFill="1" applyAlignment="1" applyProtection="1">
      <protection locked="0"/>
    </xf>
    <xf numFmtId="0" fontId="0" fillId="0" borderId="0" xfId="0" applyNumberFormat="1"/>
    <xf numFmtId="0" fontId="42" fillId="0" borderId="0" xfId="0" applyNumberFormat="1" applyFont="1" applyFill="1" applyBorder="1" applyAlignment="1"/>
    <xf numFmtId="0" fontId="0" fillId="0" borderId="0" xfId="0" applyNumberFormat="1" applyFill="1" applyBorder="1" applyAlignment="1"/>
    <xf numFmtId="10" fontId="43" fillId="0" borderId="0" xfId="0" applyNumberFormat="1" applyFont="1" applyFill="1" applyBorder="1" applyAlignment="1"/>
    <xf numFmtId="3" fontId="24" fillId="0" borderId="0" xfId="0" applyNumberFormat="1" applyFont="1" applyFill="1" applyBorder="1" applyAlignment="1"/>
    <xf numFmtId="0" fontId="24" fillId="0" borderId="0" xfId="0" applyNumberFormat="1" applyFont="1" applyFill="1" applyBorder="1" applyAlignment="1"/>
    <xf numFmtId="10" fontId="24" fillId="0" borderId="0" xfId="0" applyNumberFormat="1" applyFont="1" applyFill="1" applyBorder="1" applyAlignment="1"/>
    <xf numFmtId="0" fontId="24"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49" fontId="28" fillId="0" borderId="0" xfId="0" applyNumberFormat="1" applyFont="1" applyFill="1" applyBorder="1" applyAlignment="1">
      <alignment horizontal="center"/>
    </xf>
    <xf numFmtId="0" fontId="28" fillId="0" borderId="0" xfId="0" applyNumberFormat="1" applyFont="1" applyFill="1" applyBorder="1" applyAlignment="1"/>
    <xf numFmtId="49" fontId="28" fillId="0" borderId="0" xfId="0" applyNumberFormat="1" applyFont="1" applyFill="1" applyBorder="1" applyAlignment="1">
      <alignment horizontal="left"/>
    </xf>
    <xf numFmtId="0" fontId="28" fillId="0" borderId="0" xfId="0" applyNumberFormat="1" applyFont="1" applyFill="1" applyBorder="1" applyAlignment="1">
      <alignment horizontal="right"/>
    </xf>
    <xf numFmtId="0" fontId="0" fillId="0" borderId="0" xfId="0" applyNumberFormat="1" applyFont="1" applyFill="1" applyBorder="1" applyAlignment="1"/>
    <xf numFmtId="0" fontId="0" fillId="0" borderId="0" xfId="0" applyNumberFormat="1" applyFont="1" applyFill="1" applyBorder="1" applyAlignment="1">
      <alignment horizontal="center" vertical="center"/>
    </xf>
    <xf numFmtId="0" fontId="19" fillId="0" borderId="0" xfId="0" applyNumberFormat="1" applyFont="1" applyFill="1" applyBorder="1" applyAlignment="1">
      <alignment vertical="center"/>
    </xf>
    <xf numFmtId="0" fontId="19" fillId="0" borderId="0" xfId="0" applyNumberFormat="1" applyFont="1" applyFill="1" applyBorder="1" applyAlignment="1">
      <alignment horizontal="center" vertical="center"/>
    </xf>
    <xf numFmtId="0" fontId="19" fillId="0" borderId="0" xfId="0" applyNumberFormat="1" applyFont="1" applyFill="1" applyBorder="1" applyAlignment="1"/>
    <xf numFmtId="0" fontId="19" fillId="0" borderId="0" xfId="0" applyNumberFormat="1" applyFont="1" applyFill="1" applyBorder="1" applyAlignment="1">
      <alignment horizontal="center" vertical="top"/>
    </xf>
    <xf numFmtId="0" fontId="24" fillId="0" borderId="11" xfId="0" applyNumberFormat="1" applyFont="1" applyFill="1" applyBorder="1" applyAlignment="1"/>
    <xf numFmtId="175" fontId="24" fillId="0" borderId="0" xfId="30" applyNumberFormat="1" applyFont="1" applyFill="1" applyBorder="1" applyAlignment="1"/>
    <xf numFmtId="1" fontId="24" fillId="0" borderId="0" xfId="28" applyNumberFormat="1" applyFont="1" applyFill="1" applyBorder="1" applyAlignment="1">
      <alignment horizontal="center"/>
    </xf>
    <xf numFmtId="0" fontId="44" fillId="0" borderId="0" xfId="0" applyNumberFormat="1" applyFont="1" applyFill="1" applyBorder="1" applyAlignment="1"/>
    <xf numFmtId="49" fontId="24" fillId="0" borderId="0" xfId="0" applyNumberFormat="1" applyFont="1" applyFill="1" applyBorder="1" applyAlignment="1">
      <alignment horizontal="center"/>
    </xf>
    <xf numFmtId="0" fontId="42" fillId="0" borderId="13" xfId="0" applyNumberFormat="1" applyFont="1" applyFill="1" applyBorder="1" applyAlignment="1"/>
    <xf numFmtId="0" fontId="42" fillId="0" borderId="10" xfId="0" applyNumberFormat="1" applyFont="1" applyFill="1" applyBorder="1" applyAlignment="1"/>
    <xf numFmtId="0" fontId="0" fillId="0" borderId="10" xfId="0" applyNumberFormat="1" applyFill="1" applyBorder="1" applyAlignment="1"/>
    <xf numFmtId="0" fontId="0" fillId="0" borderId="14" xfId="0" applyNumberFormat="1" applyFill="1" applyBorder="1" applyAlignment="1"/>
    <xf numFmtId="0" fontId="42" fillId="0" borderId="15" xfId="0" applyNumberFormat="1" applyFont="1" applyFill="1" applyBorder="1" applyAlignment="1"/>
    <xf numFmtId="0" fontId="42" fillId="0" borderId="0" xfId="0" applyNumberFormat="1" applyFont="1" applyFill="1" applyBorder="1" applyAlignment="1">
      <alignment horizontal="center"/>
    </xf>
    <xf numFmtId="0" fontId="0" fillId="0" borderId="16" xfId="0" applyNumberFormat="1" applyFill="1" applyBorder="1" applyAlignment="1"/>
    <xf numFmtId="44" fontId="8" fillId="0" borderId="15" xfId="30" applyFont="1" applyFill="1" applyBorder="1" applyAlignment="1"/>
    <xf numFmtId="175" fontId="45" fillId="24" borderId="0" xfId="30" applyNumberFormat="1" applyFont="1" applyFill="1" applyBorder="1" applyAlignment="1"/>
    <xf numFmtId="44" fontId="0" fillId="0" borderId="15" xfId="30" applyFont="1" applyFill="1" applyBorder="1" applyAlignment="1"/>
    <xf numFmtId="10" fontId="0" fillId="0" borderId="0" xfId="45" applyNumberFormat="1" applyFont="1" applyFill="1" applyBorder="1" applyAlignment="1"/>
    <xf numFmtId="0" fontId="0" fillId="0" borderId="0" xfId="0" applyNumberFormat="1" applyFill="1" applyBorder="1" applyAlignment="1">
      <alignment horizontal="center"/>
    </xf>
    <xf numFmtId="0" fontId="8" fillId="0" borderId="16" xfId="0" applyNumberFormat="1" applyFont="1" applyFill="1" applyBorder="1" applyAlignment="1"/>
    <xf numFmtId="0" fontId="8" fillId="0" borderId="0" xfId="0" applyNumberFormat="1" applyFont="1" applyFill="1" applyBorder="1" applyAlignment="1"/>
    <xf numFmtId="3" fontId="24" fillId="0" borderId="15" xfId="0" applyNumberFormat="1" applyFont="1" applyFill="1" applyBorder="1" applyAlignment="1"/>
    <xf numFmtId="0" fontId="24" fillId="0" borderId="15" xfId="0" applyNumberFormat="1" applyFont="1" applyFill="1" applyBorder="1"/>
    <xf numFmtId="0" fontId="24" fillId="0" borderId="0" xfId="0" applyNumberFormat="1" applyFont="1" applyFill="1" applyBorder="1"/>
    <xf numFmtId="0" fontId="24" fillId="0" borderId="16" xfId="0" applyNumberFormat="1" applyFont="1" applyFill="1" applyBorder="1"/>
    <xf numFmtId="3" fontId="24" fillId="0" borderId="17" xfId="0" applyNumberFormat="1" applyFont="1" applyFill="1" applyBorder="1" applyAlignment="1">
      <alignment horizontal="center" wrapText="1"/>
    </xf>
    <xf numFmtId="3" fontId="24" fillId="0" borderId="18" xfId="0" applyNumberFormat="1" applyFont="1" applyFill="1" applyBorder="1" applyAlignment="1">
      <alignment horizontal="center"/>
    </xf>
    <xf numFmtId="0" fontId="24" fillId="0" borderId="17" xfId="0" applyNumberFormat="1" applyFont="1" applyFill="1" applyBorder="1" applyAlignment="1">
      <alignment horizontal="center"/>
    </xf>
    <xf numFmtId="0" fontId="24" fillId="0" borderId="18" xfId="0" applyNumberFormat="1" applyFont="1" applyFill="1" applyBorder="1" applyAlignment="1">
      <alignment horizontal="center"/>
    </xf>
    <xf numFmtId="0" fontId="24" fillId="0" borderId="18" xfId="0" applyNumberFormat="1" applyFont="1" applyFill="1" applyBorder="1" applyAlignment="1">
      <alignment horizontal="center" wrapText="1"/>
    </xf>
    <xf numFmtId="0" fontId="24" fillId="0" borderId="18" xfId="0" applyNumberFormat="1" applyFont="1" applyFill="1" applyBorder="1"/>
    <xf numFmtId="0" fontId="24" fillId="0" borderId="19" xfId="0" applyNumberFormat="1" applyFont="1" applyFill="1" applyBorder="1" applyAlignment="1">
      <alignment horizontal="center" wrapText="1"/>
    </xf>
    <xf numFmtId="3" fontId="0" fillId="0" borderId="0" xfId="0" applyNumberFormat="1" applyFont="1" applyFill="1" applyBorder="1" applyAlignment="1"/>
    <xf numFmtId="3" fontId="46" fillId="0" borderId="0" xfId="0" applyNumberFormat="1" applyFont="1" applyFill="1" applyBorder="1" applyAlignment="1"/>
    <xf numFmtId="3" fontId="43" fillId="0" borderId="17" xfId="0" applyNumberFormat="1" applyFont="1" applyFill="1" applyBorder="1" applyAlignment="1">
      <alignment horizontal="center" wrapText="1"/>
    </xf>
    <xf numFmtId="3" fontId="43" fillId="0" borderId="18" xfId="0" applyNumberFormat="1" applyFont="1" applyFill="1" applyBorder="1" applyAlignment="1">
      <alignment horizontal="center" wrapText="1"/>
    </xf>
    <xf numFmtId="0" fontId="43" fillId="0" borderId="18" xfId="0" applyNumberFormat="1" applyFont="1" applyFill="1" applyBorder="1" applyAlignment="1">
      <alignment horizontal="center" wrapText="1"/>
    </xf>
    <xf numFmtId="0" fontId="46" fillId="0" borderId="17" xfId="0" applyNumberFormat="1" applyFont="1" applyFill="1" applyBorder="1" applyAlignment="1">
      <alignment horizontal="center" wrapText="1"/>
    </xf>
    <xf numFmtId="0" fontId="46" fillId="0" borderId="18" xfId="0" applyNumberFormat="1" applyFont="1" applyFill="1" applyBorder="1" applyAlignment="1">
      <alignment horizontal="center" wrapText="1"/>
    </xf>
    <xf numFmtId="0" fontId="46" fillId="0" borderId="18" xfId="0" applyNumberFormat="1" applyFont="1" applyFill="1" applyBorder="1" applyAlignment="1"/>
    <xf numFmtId="0" fontId="46" fillId="0" borderId="19" xfId="0" applyNumberFormat="1" applyFont="1" applyFill="1" applyBorder="1" applyAlignment="1">
      <alignment horizontal="center" wrapText="1"/>
    </xf>
    <xf numFmtId="177" fontId="4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0" fontId="43" fillId="0" borderId="0" xfId="0" applyNumberFormat="1" applyFont="1" applyFill="1" applyBorder="1" applyAlignment="1"/>
    <xf numFmtId="49" fontId="24" fillId="0" borderId="0" xfId="0" applyNumberFormat="1" applyFont="1" applyFill="1" applyBorder="1" applyAlignment="1"/>
    <xf numFmtId="0" fontId="24" fillId="0" borderId="0" xfId="0" applyNumberFormat="1" applyFont="1" applyFill="1" applyBorder="1" applyAlignment="1">
      <alignment horizontal="right"/>
    </xf>
    <xf numFmtId="0" fontId="0" fillId="0" borderId="0" xfId="0" applyNumberFormat="1" applyFill="1" applyBorder="1" applyAlignment="1">
      <alignment horizontal="right"/>
    </xf>
    <xf numFmtId="3" fontId="24" fillId="26" borderId="0" xfId="0" applyNumberFormat="1" applyFont="1" applyFill="1" applyAlignment="1"/>
    <xf numFmtId="0" fontId="24" fillId="26" borderId="0" xfId="0" applyNumberFormat="1" applyFont="1" applyFill="1" applyAlignment="1"/>
    <xf numFmtId="0" fontId="0" fillId="0" borderId="0" xfId="0" applyNumberFormat="1" applyAlignment="1"/>
    <xf numFmtId="0" fontId="0" fillId="26" borderId="0" xfId="0" applyNumberFormat="1" applyFill="1" applyAlignment="1"/>
    <xf numFmtId="0" fontId="0" fillId="26" borderId="0" xfId="0" applyNumberFormat="1" applyFill="1" applyAlignment="1">
      <alignment horizontal="center"/>
    </xf>
    <xf numFmtId="10" fontId="29" fillId="26" borderId="0" xfId="0" applyNumberFormat="1" applyFont="1" applyFill="1" applyAlignment="1"/>
    <xf numFmtId="3" fontId="28" fillId="26" borderId="0" xfId="0" applyNumberFormat="1" applyFont="1" applyFill="1" applyAlignment="1"/>
    <xf numFmtId="10" fontId="28" fillId="26" borderId="0" xfId="0" applyNumberFormat="1" applyFont="1" applyFill="1" applyAlignment="1"/>
    <xf numFmtId="0" fontId="28" fillId="26" borderId="0" xfId="0" applyNumberFormat="1" applyFont="1" applyFill="1" applyAlignment="1"/>
    <xf numFmtId="0" fontId="28" fillId="26" borderId="0" xfId="0" applyNumberFormat="1" applyFont="1" applyFill="1" applyAlignment="1">
      <alignment horizontal="center"/>
    </xf>
    <xf numFmtId="49" fontId="28" fillId="26" borderId="0" xfId="0" applyNumberFormat="1" applyFont="1" applyFill="1" applyAlignment="1">
      <alignment horizontal="center"/>
    </xf>
    <xf numFmtId="0" fontId="28" fillId="0" borderId="0" xfId="0" applyNumberFormat="1" applyFont="1" applyAlignment="1"/>
    <xf numFmtId="0" fontId="28" fillId="0" borderId="0" xfId="0" applyNumberFormat="1" applyFont="1" applyBorder="1" applyAlignment="1">
      <alignment horizontal="right"/>
    </xf>
    <xf numFmtId="0" fontId="44" fillId="26" borderId="0" xfId="0" applyNumberFormat="1" applyFont="1" applyFill="1" applyAlignment="1"/>
    <xf numFmtId="10" fontId="43" fillId="26" borderId="0" xfId="0" applyNumberFormat="1" applyFont="1" applyFill="1" applyAlignment="1"/>
    <xf numFmtId="10" fontId="24" fillId="26" borderId="0" xfId="0" applyNumberFormat="1" applyFont="1" applyFill="1" applyAlignment="1"/>
    <xf numFmtId="0" fontId="24" fillId="26" borderId="0" xfId="0" applyNumberFormat="1" applyFont="1" applyFill="1" applyAlignment="1">
      <alignment horizontal="center"/>
    </xf>
    <xf numFmtId="49" fontId="0" fillId="26" borderId="0" xfId="0" applyNumberFormat="1" applyFont="1" applyFill="1" applyAlignment="1">
      <alignment horizontal="center"/>
    </xf>
    <xf numFmtId="3" fontId="24" fillId="26" borderId="0" xfId="0" applyNumberFormat="1" applyFont="1" applyFill="1" applyBorder="1" applyAlignment="1"/>
    <xf numFmtId="10" fontId="24" fillId="26" borderId="0" xfId="0" applyNumberFormat="1" applyFont="1" applyFill="1" applyBorder="1" applyAlignment="1"/>
    <xf numFmtId="164" fontId="28" fillId="26" borderId="0" xfId="0" applyNumberFormat="1" applyFont="1" applyFill="1" applyAlignment="1">
      <alignment horizontal="center"/>
    </xf>
    <xf numFmtId="3" fontId="28" fillId="26" borderId="0" xfId="0" applyNumberFormat="1" applyFont="1" applyFill="1" applyAlignment="1">
      <alignment horizontal="center"/>
    </xf>
    <xf numFmtId="10" fontId="24" fillId="0" borderId="0" xfId="0" applyNumberFormat="1" applyFont="1" applyFill="1" applyAlignment="1"/>
    <xf numFmtId="49" fontId="0" fillId="26" borderId="0" xfId="0" applyNumberFormat="1" applyFill="1" applyAlignment="1">
      <alignment horizontal="center"/>
    </xf>
    <xf numFmtId="174" fontId="24" fillId="24" borderId="0" xfId="28" applyNumberFormat="1" applyFont="1" applyFill="1" applyAlignment="1"/>
    <xf numFmtId="3" fontId="24" fillId="26" borderId="0" xfId="0" applyNumberFormat="1" applyFont="1" applyFill="1" applyAlignment="1">
      <alignment horizontal="center"/>
    </xf>
    <xf numFmtId="3" fontId="47" fillId="26" borderId="0" xfId="0" applyNumberFormat="1" applyFont="1" applyFill="1" applyAlignment="1"/>
    <xf numFmtId="0" fontId="0" fillId="26" borderId="0" xfId="0" applyNumberFormat="1" applyFont="1" applyFill="1" applyAlignment="1"/>
    <xf numFmtId="166" fontId="24" fillId="26" borderId="0" xfId="0" applyNumberFormat="1" applyFont="1" applyFill="1" applyAlignment="1"/>
    <xf numFmtId="0" fontId="43" fillId="26" borderId="0" xfId="0" applyNumberFormat="1" applyFont="1" applyFill="1" applyAlignment="1">
      <alignment horizontal="center"/>
    </xf>
    <xf numFmtId="174" fontId="24" fillId="24" borderId="0" xfId="28" applyNumberFormat="1" applyFont="1" applyFill="1" applyBorder="1" applyAlignment="1"/>
    <xf numFmtId="3" fontId="0" fillId="26" borderId="0" xfId="0" applyNumberFormat="1" applyFill="1" applyAlignment="1">
      <alignment horizontal="center"/>
    </xf>
    <xf numFmtId="0" fontId="28" fillId="26" borderId="0" xfId="0" applyNumberFormat="1" applyFont="1" applyFill="1" applyAlignment="1">
      <alignment vertical="top"/>
    </xf>
    <xf numFmtId="0" fontId="0" fillId="26" borderId="0" xfId="0" applyNumberFormat="1" applyFill="1" applyBorder="1" applyAlignment="1"/>
    <xf numFmtId="165" fontId="24" fillId="26" borderId="0" xfId="0" applyNumberFormat="1" applyFont="1" applyFill="1" applyAlignment="1"/>
    <xf numFmtId="0" fontId="43" fillId="26" borderId="0" xfId="0" applyNumberFormat="1" applyFont="1" applyFill="1" applyAlignment="1"/>
    <xf numFmtId="0" fontId="0" fillId="26" borderId="11" xfId="0" applyNumberFormat="1" applyFill="1" applyBorder="1" applyAlignment="1">
      <alignment horizontal="center"/>
    </xf>
    <xf numFmtId="0" fontId="46" fillId="26" borderId="0" xfId="0" applyNumberFormat="1" applyFont="1" applyFill="1" applyBorder="1" applyAlignment="1">
      <alignment horizontal="center"/>
    </xf>
    <xf numFmtId="0" fontId="29" fillId="26" borderId="0" xfId="0" applyNumberFormat="1" applyFont="1" applyFill="1" applyBorder="1" applyAlignment="1">
      <alignment horizontal="center"/>
    </xf>
    <xf numFmtId="0" fontId="29" fillId="26" borderId="0" xfId="0" applyNumberFormat="1" applyFont="1" applyFill="1" applyAlignment="1">
      <alignment horizontal="center"/>
    </xf>
    <xf numFmtId="0" fontId="29" fillId="0" borderId="0" xfId="0" applyNumberFormat="1" applyFont="1" applyAlignment="1">
      <alignment horizontal="center"/>
    </xf>
    <xf numFmtId="3" fontId="43" fillId="26" borderId="0" xfId="0" applyNumberFormat="1" applyFont="1" applyFill="1" applyAlignment="1"/>
    <xf numFmtId="3" fontId="29" fillId="26" borderId="0" xfId="0" applyNumberFormat="1" applyFont="1" applyFill="1" applyAlignment="1">
      <alignment horizontal="center"/>
    </xf>
    <xf numFmtId="3" fontId="29" fillId="26" borderId="0" xfId="0" applyNumberFormat="1" applyFont="1" applyFill="1" applyAlignment="1"/>
    <xf numFmtId="49" fontId="28" fillId="26" borderId="0" xfId="0" applyNumberFormat="1" applyFont="1" applyFill="1" applyBorder="1" applyAlignment="1">
      <alignment horizontal="center"/>
    </xf>
    <xf numFmtId="174" fontId="28" fillId="26" borderId="0" xfId="28" quotePrefix="1" applyNumberFormat="1" applyFont="1" applyFill="1" applyAlignment="1">
      <alignment horizontal="center" vertical="center"/>
    </xf>
    <xf numFmtId="0" fontId="24" fillId="26" borderId="0" xfId="0" applyNumberFormat="1" applyFont="1" applyFill="1"/>
    <xf numFmtId="3" fontId="24" fillId="26" borderId="0" xfId="0" applyNumberFormat="1" applyFont="1" applyFill="1"/>
    <xf numFmtId="49" fontId="24" fillId="26" borderId="0" xfId="0" applyNumberFormat="1" applyFont="1" applyFill="1"/>
    <xf numFmtId="0" fontId="28" fillId="26" borderId="0" xfId="0" applyNumberFormat="1" applyFont="1" applyFill="1"/>
    <xf numFmtId="49" fontId="28" fillId="26" borderId="0" xfId="0" applyNumberFormat="1" applyFont="1" applyFill="1"/>
    <xf numFmtId="49" fontId="28" fillId="24" borderId="0" xfId="0" applyNumberFormat="1" applyFont="1" applyFill="1"/>
    <xf numFmtId="0" fontId="28" fillId="26" borderId="0" xfId="0" applyNumberFormat="1" applyFont="1" applyFill="1" applyAlignment="1">
      <alignment horizontal="right"/>
    </xf>
    <xf numFmtId="0" fontId="0" fillId="0" borderId="0" xfId="0" applyNumberFormat="1" applyBorder="1"/>
    <xf numFmtId="0" fontId="28" fillId="0" borderId="0" xfId="0" applyNumberFormat="1" applyFont="1" applyFill="1" applyAlignment="1">
      <alignment horizontal="right"/>
    </xf>
    <xf numFmtId="0" fontId="28" fillId="27" borderId="0" xfId="0" applyNumberFormat="1" applyFont="1" applyFill="1" applyAlignment="1">
      <alignment horizontal="right"/>
    </xf>
    <xf numFmtId="0" fontId="28" fillId="27" borderId="0" xfId="0" applyNumberFormat="1" applyFont="1" applyFill="1"/>
    <xf numFmtId="0" fontId="28" fillId="26" borderId="0" xfId="0" applyNumberFormat="1" applyFont="1" applyFill="1" applyAlignment="1">
      <alignment horizontal="left"/>
    </xf>
    <xf numFmtId="175" fontId="24" fillId="0" borderId="15" xfId="30" applyNumberFormat="1" applyFont="1" applyFill="1" applyBorder="1" applyAlignment="1"/>
    <xf numFmtId="175" fontId="48" fillId="24" borderId="0" xfId="30" applyNumberFormat="1" applyFont="1" applyFill="1" applyBorder="1" applyAlignment="1"/>
    <xf numFmtId="175" fontId="19" fillId="0" borderId="15" xfId="30" applyNumberFormat="1" applyFont="1" applyFill="1" applyBorder="1" applyAlignment="1"/>
    <xf numFmtId="10" fontId="19" fillId="0" borderId="0" xfId="45" applyNumberFormat="1" applyFont="1" applyFill="1" applyBorder="1" applyAlignment="1"/>
    <xf numFmtId="175" fontId="24" fillId="24" borderId="0" xfId="30" applyNumberFormat="1" applyFont="1" applyFill="1" applyBorder="1" applyAlignment="1"/>
    <xf numFmtId="175" fontId="0" fillId="0" borderId="15" xfId="30" applyNumberFormat="1" applyFont="1" applyFill="1" applyBorder="1" applyAlignment="1"/>
    <xf numFmtId="175" fontId="49" fillId="24" borderId="0" xfId="30" applyNumberFormat="1" applyFont="1" applyFill="1" applyBorder="1"/>
    <xf numFmtId="175" fontId="49" fillId="24" borderId="0" xfId="30" applyNumberFormat="1" applyFont="1" applyFill="1" applyBorder="1" applyAlignment="1"/>
    <xf numFmtId="0" fontId="24" fillId="24" borderId="0" xfId="0" applyNumberFormat="1" applyFont="1" applyFill="1" applyBorder="1" applyAlignment="1">
      <alignment horizontal="right"/>
    </xf>
    <xf numFmtId="3" fontId="24" fillId="24" borderId="0" xfId="0" applyNumberFormat="1" applyFont="1" applyFill="1" applyBorder="1" applyAlignment="1"/>
    <xf numFmtId="10" fontId="24" fillId="26" borderId="0" xfId="0" applyNumberFormat="1" applyFont="1" applyFill="1" applyAlignment="1">
      <alignment wrapText="1"/>
    </xf>
    <xf numFmtId="0" fontId="28" fillId="24" borderId="0" xfId="0" applyNumberFormat="1" applyFont="1" applyFill="1"/>
    <xf numFmtId="0" fontId="28" fillId="28" borderId="0" xfId="0" applyNumberFormat="1" applyFont="1" applyFill="1" applyAlignment="1">
      <alignment horizontal="right"/>
    </xf>
    <xf numFmtId="0" fontId="28" fillId="28" borderId="0" xfId="0" applyNumberFormat="1" applyFont="1" applyFill="1"/>
    <xf numFmtId="37" fontId="28" fillId="24" borderId="0" xfId="28" applyNumberFormat="1" applyFont="1" applyFill="1" applyAlignment="1" applyProtection="1">
      <protection locked="0"/>
    </xf>
    <xf numFmtId="37" fontId="28" fillId="24" borderId="11" xfId="28" applyNumberFormat="1" applyFont="1" applyFill="1" applyBorder="1" applyAlignment="1" applyProtection="1">
      <protection locked="0"/>
    </xf>
    <xf numFmtId="37" fontId="28" fillId="24" borderId="0" xfId="28" applyNumberFormat="1" applyFont="1" applyFill="1" applyProtection="1">
      <protection locked="0"/>
    </xf>
    <xf numFmtId="37" fontId="28" fillId="0" borderId="0" xfId="28" applyNumberFormat="1" applyFont="1" applyAlignment="1" applyProtection="1"/>
    <xf numFmtId="37" fontId="28" fillId="0" borderId="11" xfId="28" applyNumberFormat="1" applyFont="1" applyBorder="1" applyAlignment="1" applyProtection="1"/>
    <xf numFmtId="2" fontId="28" fillId="24" borderId="0" xfId="28" applyNumberFormat="1" applyFont="1" applyFill="1" applyAlignment="1" applyProtection="1">
      <protection locked="0"/>
    </xf>
    <xf numFmtId="37" fontId="28" fillId="25" borderId="0" xfId="28" applyNumberFormat="1" applyFont="1" applyFill="1" applyBorder="1" applyAlignment="1" applyProtection="1">
      <protection locked="0"/>
    </xf>
    <xf numFmtId="37" fontId="28" fillId="0" borderId="0" xfId="28" applyNumberFormat="1" applyFont="1" applyFill="1" applyAlignment="1" applyProtection="1"/>
    <xf numFmtId="37" fontId="28" fillId="24" borderId="0" xfId="28" applyNumberFormat="1" applyFont="1" applyFill="1" applyBorder="1" applyAlignment="1" applyProtection="1">
      <protection locked="0"/>
    </xf>
    <xf numFmtId="37" fontId="28" fillId="24" borderId="0" xfId="28" applyNumberFormat="1" applyFont="1" applyFill="1" applyBorder="1" applyProtection="1">
      <protection locked="0"/>
    </xf>
    <xf numFmtId="1" fontId="28" fillId="0" borderId="0" xfId="41" applyNumberFormat="1" applyFont="1" applyFill="1" applyAlignment="1" applyProtection="1">
      <alignment horizontal="center"/>
      <protection locked="0"/>
    </xf>
    <xf numFmtId="1" fontId="28" fillId="0" borderId="0" xfId="41" applyNumberFormat="1" applyFont="1" applyAlignment="1" applyProtection="1">
      <protection locked="0"/>
    </xf>
    <xf numFmtId="1" fontId="28" fillId="0" borderId="0" xfId="41" applyNumberFormat="1" applyFont="1" applyFill="1" applyBorder="1" applyAlignment="1" applyProtection="1">
      <protection locked="0"/>
    </xf>
    <xf numFmtId="1" fontId="28" fillId="0" borderId="0" xfId="41" applyNumberFormat="1" applyFont="1" applyFill="1" applyBorder="1" applyAlignment="1" applyProtection="1">
      <alignment horizontal="center"/>
      <protection locked="0"/>
    </xf>
    <xf numFmtId="1" fontId="28" fillId="0" borderId="0" xfId="41" applyNumberFormat="1" applyFont="1" applyBorder="1" applyProtection="1">
      <protection locked="0"/>
    </xf>
    <xf numFmtId="1" fontId="28" fillId="0" borderId="0" xfId="41" applyNumberFormat="1" applyFont="1" applyProtection="1">
      <protection locked="0"/>
    </xf>
    <xf numFmtId="1" fontId="28" fillId="24" borderId="0" xfId="28" applyNumberFormat="1" applyFont="1" applyFill="1" applyBorder="1" applyAlignment="1" applyProtection="1">
      <protection locked="0"/>
    </xf>
    <xf numFmtId="1" fontId="28" fillId="0" borderId="0" xfId="41" applyNumberFormat="1" applyFont="1" applyAlignment="1" applyProtection="1">
      <alignment horizontal="center"/>
      <protection locked="0"/>
    </xf>
    <xf numFmtId="1" fontId="28" fillId="0" borderId="0" xfId="41" applyNumberFormat="1" applyFont="1" applyBorder="1" applyAlignment="1" applyProtection="1">
      <protection locked="0"/>
    </xf>
    <xf numFmtId="1" fontId="28" fillId="0" borderId="0" xfId="41" applyNumberFormat="1" applyFont="1" applyBorder="1" applyAlignment="1" applyProtection="1">
      <alignment horizontal="center"/>
      <protection locked="0"/>
    </xf>
    <xf numFmtId="1" fontId="34" fillId="0" borderId="0" xfId="41" applyNumberFormat="1" applyFont="1" applyFill="1" applyAlignment="1" applyProtection="1">
      <alignment horizontal="left"/>
      <protection locked="0"/>
    </xf>
    <xf numFmtId="0" fontId="0" fillId="0" borderId="16" xfId="0" applyNumberFormat="1" applyFont="1" applyFill="1" applyBorder="1" applyAlignment="1"/>
    <xf numFmtId="37" fontId="28" fillId="24" borderId="0" xfId="28" applyNumberFormat="1" applyFont="1" applyFill="1" applyBorder="1" applyAlignment="1" applyProtection="1"/>
    <xf numFmtId="173" fontId="50" fillId="0" borderId="0" xfId="0" applyFont="1" applyBorder="1" applyAlignment="1"/>
    <xf numFmtId="173" fontId="50" fillId="0" borderId="0" xfId="0" applyFont="1" applyBorder="1" applyAlignment="1">
      <alignment horizontal="right"/>
    </xf>
    <xf numFmtId="173" fontId="0" fillId="0" borderId="0" xfId="0" applyBorder="1" applyAlignment="1"/>
    <xf numFmtId="173" fontId="0" fillId="0" borderId="0" xfId="0" applyBorder="1" applyAlignment="1">
      <alignment horizontal="right"/>
    </xf>
    <xf numFmtId="178" fontId="19" fillId="24" borderId="10" xfId="28" applyNumberFormat="1" applyFont="1" applyFill="1" applyBorder="1" applyProtection="1">
      <protection locked="0"/>
    </xf>
    <xf numFmtId="37" fontId="19" fillId="24" borderId="0" xfId="28" applyNumberFormat="1" applyFont="1" applyFill="1" applyAlignment="1" applyProtection="1">
      <protection locked="0"/>
    </xf>
    <xf numFmtId="37" fontId="19" fillId="24" borderId="11" xfId="28" applyNumberFormat="1" applyFont="1" applyFill="1" applyBorder="1" applyAlignment="1" applyProtection="1">
      <protection locked="0"/>
    </xf>
    <xf numFmtId="37" fontId="19" fillId="0" borderId="0" xfId="28" applyNumberFormat="1" applyFont="1" applyProtection="1"/>
    <xf numFmtId="37" fontId="28" fillId="24" borderId="11" xfId="28" applyNumberFormat="1" applyFont="1" applyFill="1" applyBorder="1" applyProtection="1">
      <protection locked="0"/>
    </xf>
    <xf numFmtId="37" fontId="28" fillId="0" borderId="0" xfId="28" applyNumberFormat="1" applyFont="1" applyFill="1" applyBorder="1" applyProtection="1"/>
    <xf numFmtId="37" fontId="28" fillId="0" borderId="0" xfId="28" applyNumberFormat="1" applyFont="1" applyAlignment="1" applyProtection="1">
      <protection locked="0"/>
    </xf>
    <xf numFmtId="37" fontId="28" fillId="0" borderId="0" xfId="28" applyNumberFormat="1" applyFont="1" applyAlignment="1" applyProtection="1">
      <alignment horizontal="center"/>
      <protection locked="0"/>
    </xf>
    <xf numFmtId="37" fontId="28" fillId="0" borderId="0" xfId="28" applyNumberFormat="1" applyFont="1" applyBorder="1" applyAlignment="1" applyProtection="1">
      <protection locked="0"/>
    </xf>
    <xf numFmtId="37" fontId="28" fillId="0" borderId="0" xfId="28" applyNumberFormat="1" applyFont="1" applyBorder="1" applyAlignment="1" applyProtection="1">
      <alignment horizontal="center"/>
      <protection locked="0"/>
    </xf>
    <xf numFmtId="37" fontId="28" fillId="0" borderId="0" xfId="28" applyNumberFormat="1" applyFont="1" applyFill="1" applyBorder="1" applyAlignment="1" applyProtection="1">
      <protection locked="0"/>
    </xf>
    <xf numFmtId="37" fontId="28" fillId="0" borderId="0" xfId="28" applyNumberFormat="1" applyFont="1" applyFill="1" applyBorder="1" applyAlignment="1" applyProtection="1">
      <alignment horizontal="center"/>
      <protection locked="0"/>
    </xf>
    <xf numFmtId="37" fontId="28" fillId="0" borderId="0" xfId="28" applyNumberFormat="1" applyFont="1" applyFill="1" applyBorder="1" applyAlignment="1" applyProtection="1"/>
    <xf numFmtId="37" fontId="28" fillId="0" borderId="0" xfId="28" applyNumberFormat="1" applyFont="1" applyFill="1" applyAlignment="1" applyProtection="1">
      <alignment horizontal="center"/>
      <protection locked="0"/>
    </xf>
    <xf numFmtId="37" fontId="28" fillId="0" borderId="11" xfId="28" applyNumberFormat="1" applyFont="1" applyFill="1" applyBorder="1" applyAlignment="1" applyProtection="1"/>
    <xf numFmtId="37" fontId="28" fillId="0" borderId="0" xfId="28" applyNumberFormat="1" applyFont="1" applyFill="1" applyAlignment="1" applyProtection="1">
      <protection locked="0"/>
    </xf>
    <xf numFmtId="3" fontId="19" fillId="24" borderId="10" xfId="28" applyNumberFormat="1" applyFont="1" applyFill="1" applyBorder="1" applyProtection="1">
      <protection locked="0"/>
    </xf>
    <xf numFmtId="3" fontId="19" fillId="24" borderId="10" xfId="28" applyNumberFormat="1" applyFont="1" applyFill="1" applyBorder="1" applyAlignment="1" applyProtection="1">
      <protection locked="0"/>
    </xf>
    <xf numFmtId="3" fontId="28" fillId="0" borderId="0" xfId="28" applyNumberFormat="1" applyFont="1" applyAlignment="1" applyProtection="1"/>
    <xf numFmtId="3" fontId="19" fillId="0" borderId="0" xfId="28" applyNumberFormat="1" applyFont="1" applyProtection="1">
      <protection locked="0"/>
    </xf>
    <xf numFmtId="3" fontId="19" fillId="0" borderId="0" xfId="28" applyNumberFormat="1" applyFont="1" applyAlignment="1" applyProtection="1">
      <protection locked="0"/>
    </xf>
    <xf numFmtId="3" fontId="28" fillId="24" borderId="0" xfId="28" applyNumberFormat="1" applyFont="1" applyFill="1" applyAlignment="1" applyProtection="1">
      <protection locked="0"/>
    </xf>
    <xf numFmtId="3" fontId="28" fillId="24" borderId="10" xfId="28" applyNumberFormat="1" applyFont="1" applyFill="1" applyBorder="1" applyAlignment="1" applyProtection="1">
      <protection locked="0"/>
    </xf>
    <xf numFmtId="3" fontId="28" fillId="0" borderId="11" xfId="28" applyNumberFormat="1" applyFont="1" applyBorder="1" applyAlignment="1" applyProtection="1"/>
    <xf numFmtId="37" fontId="28" fillId="0" borderId="0" xfId="28" applyNumberFormat="1" applyFont="1" applyBorder="1" applyAlignment="1" applyProtection="1"/>
    <xf numFmtId="42" fontId="0" fillId="0" borderId="15" xfId="30" applyNumberFormat="1" applyFont="1" applyFill="1" applyBorder="1" applyAlignment="1"/>
    <xf numFmtId="42" fontId="24" fillId="0" borderId="15" xfId="30" applyNumberFormat="1" applyFont="1" applyFill="1" applyBorder="1" applyAlignment="1"/>
    <xf numFmtId="174" fontId="0" fillId="24" borderId="0" xfId="28" applyNumberFormat="1" applyFont="1" applyFill="1" applyProtection="1">
      <protection locked="0"/>
    </xf>
    <xf numFmtId="175" fontId="24" fillId="0" borderId="0" xfId="0" applyNumberFormat="1" applyFont="1" applyFill="1" applyBorder="1" applyAlignment="1">
      <alignment horizontal="center"/>
    </xf>
    <xf numFmtId="0" fontId="28" fillId="0" borderId="0" xfId="41" applyNumberFormat="1" applyFont="1" applyFill="1" applyAlignment="1" applyProtection="1">
      <alignment horizontal="left" vertical="top" wrapText="1"/>
      <protection locked="0"/>
    </xf>
    <xf numFmtId="0" fontId="28" fillId="0" borderId="0" xfId="41" applyNumberFormat="1" applyFont="1" applyFill="1" applyAlignment="1" applyProtection="1">
      <alignment horizontal="left" vertical="center" wrapText="1"/>
      <protection locked="0"/>
    </xf>
    <xf numFmtId="0" fontId="28" fillId="0" borderId="0" xfId="42" applyNumberFormat="1" applyFont="1" applyFill="1" applyAlignment="1" applyProtection="1">
      <alignment horizontal="left" vertical="top" wrapText="1"/>
      <protection locked="0"/>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wrapText="1"/>
    </xf>
    <xf numFmtId="0" fontId="0" fillId="0" borderId="0" xfId="0" applyNumberFormat="1" applyFill="1" applyBorder="1" applyAlignment="1">
      <alignment horizontal="left" vertical="center"/>
    </xf>
    <xf numFmtId="0" fontId="19" fillId="0" borderId="0" xfId="0" applyNumberFormat="1" applyFont="1" applyFill="1" applyBorder="1" applyAlignment="1">
      <alignment horizontal="left" vertical="center"/>
    </xf>
    <xf numFmtId="0" fontId="0" fillId="0" borderId="0" xfId="0" applyNumberFormat="1" applyFill="1" applyBorder="1" applyAlignment="1">
      <alignment horizontal="left" vertical="top" wrapText="1"/>
    </xf>
    <xf numFmtId="0" fontId="19" fillId="0" borderId="0" xfId="0" applyNumberFormat="1" applyFont="1" applyFill="1" applyBorder="1" applyAlignment="1">
      <alignment horizontal="left" vertical="top" wrapText="1"/>
    </xf>
    <xf numFmtId="0" fontId="0" fillId="0" borderId="0" xfId="0" applyNumberFormat="1" applyFill="1" applyBorder="1" applyAlignment="1">
      <alignment horizontal="left" vertical="center" wrapText="1"/>
    </xf>
    <xf numFmtId="0" fontId="19" fillId="0" borderId="0" xfId="0" applyNumberFormat="1" applyFont="1" applyFill="1" applyBorder="1" applyAlignment="1">
      <alignment horizontal="left" vertical="center" wrapText="1"/>
    </xf>
  </cellXfs>
  <cellStyles count="101">
    <cellStyle name="20% - Accent1" xfId="1" builtinId="30" customBuiltin="1"/>
    <cellStyle name="20% - Accent1 2" xfId="49"/>
    <cellStyle name="20% - Accent2" xfId="2" builtinId="34" customBuiltin="1"/>
    <cellStyle name="20% - Accent2 2" xfId="50"/>
    <cellStyle name="20% - Accent3" xfId="3" builtinId="38" customBuiltin="1"/>
    <cellStyle name="20% - Accent3 2" xfId="51"/>
    <cellStyle name="20% - Accent4" xfId="4" builtinId="42" customBuiltin="1"/>
    <cellStyle name="20% - Accent4 2" xfId="52"/>
    <cellStyle name="20% - Accent5" xfId="5" builtinId="46" customBuiltin="1"/>
    <cellStyle name="20% - Accent5 2" xfId="53"/>
    <cellStyle name="20% - Accent6" xfId="6" builtinId="50" customBuiltin="1"/>
    <cellStyle name="20% - Accent6 2" xfId="54"/>
    <cellStyle name="40% - Accent1" xfId="7" builtinId="31" customBuiltin="1"/>
    <cellStyle name="40% - Accent1 2" xfId="55"/>
    <cellStyle name="40% - Accent2" xfId="8" builtinId="35" customBuiltin="1"/>
    <cellStyle name="40% - Accent2 2" xfId="56"/>
    <cellStyle name="40% - Accent3" xfId="9" builtinId="39" customBuiltin="1"/>
    <cellStyle name="40% - Accent3 2" xfId="57"/>
    <cellStyle name="40% - Accent4" xfId="10" builtinId="43" customBuiltin="1"/>
    <cellStyle name="40% - Accent4 2" xfId="58"/>
    <cellStyle name="40% - Accent5" xfId="11" builtinId="47" customBuiltin="1"/>
    <cellStyle name="40% - Accent5 2" xfId="59"/>
    <cellStyle name="40% - Accent6" xfId="12" builtinId="51" customBuiltin="1"/>
    <cellStyle name="40% - Accent6 2" xfId="60"/>
    <cellStyle name="60% - Accent1" xfId="13" builtinId="32" customBuiltin="1"/>
    <cellStyle name="60% - Accent1 2" xfId="61"/>
    <cellStyle name="60% - Accent2" xfId="14" builtinId="36" customBuiltin="1"/>
    <cellStyle name="60% - Accent2 2" xfId="62"/>
    <cellStyle name="60% - Accent3" xfId="15" builtinId="40" customBuiltin="1"/>
    <cellStyle name="60% - Accent3 2" xfId="63"/>
    <cellStyle name="60% - Accent4" xfId="16" builtinId="44" customBuiltin="1"/>
    <cellStyle name="60% - Accent4 2" xfId="64"/>
    <cellStyle name="60% - Accent5" xfId="17" builtinId="48" customBuiltin="1"/>
    <cellStyle name="60% - Accent5 2" xfId="65"/>
    <cellStyle name="60% - Accent6" xfId="18" builtinId="52" customBuiltin="1"/>
    <cellStyle name="60% - Accent6 2" xfId="66"/>
    <cellStyle name="Accent1" xfId="19" builtinId="29" customBuiltin="1"/>
    <cellStyle name="Accent1 2" xfId="67"/>
    <cellStyle name="Accent2" xfId="20" builtinId="33" customBuiltin="1"/>
    <cellStyle name="Accent2 2" xfId="68"/>
    <cellStyle name="Accent3" xfId="21" builtinId="37" customBuiltin="1"/>
    <cellStyle name="Accent3 2" xfId="69"/>
    <cellStyle name="Accent4" xfId="22" builtinId="41" customBuiltin="1"/>
    <cellStyle name="Accent4 2" xfId="70"/>
    <cellStyle name="Accent5" xfId="23" builtinId="45" customBuiltin="1"/>
    <cellStyle name="Accent5 2" xfId="71"/>
    <cellStyle name="Accent6" xfId="24" builtinId="49" customBuiltin="1"/>
    <cellStyle name="Accent6 2" xfId="72"/>
    <cellStyle name="Bad" xfId="25" builtinId="27" customBuiltin="1"/>
    <cellStyle name="Bad 2" xfId="73"/>
    <cellStyle name="Calculation" xfId="26" builtinId="22" customBuiltin="1"/>
    <cellStyle name="Calculation 2" xfId="74"/>
    <cellStyle name="Check Cell" xfId="27" builtinId="23" customBuiltin="1"/>
    <cellStyle name="Check Cell 2" xfId="75"/>
    <cellStyle name="Comma" xfId="28" builtinId="3"/>
    <cellStyle name="Comma 2" xfId="29"/>
    <cellStyle name="Currency" xfId="30" builtinId="4"/>
    <cellStyle name="Currency 2" xfId="76"/>
    <cellStyle name="Currency 3" xfId="77"/>
    <cellStyle name="Currency 4" xfId="78"/>
    <cellStyle name="Explanatory Text" xfId="31" builtinId="53" customBuiltin="1"/>
    <cellStyle name="Explanatory Text 2" xfId="79"/>
    <cellStyle name="Good" xfId="32" builtinId="26" customBuiltin="1"/>
    <cellStyle name="Good 2" xfId="80"/>
    <cellStyle name="Heading 1" xfId="33" builtinId="16" customBuiltin="1"/>
    <cellStyle name="Heading 1 2" xfId="81"/>
    <cellStyle name="Heading 2" xfId="34" builtinId="17" customBuiltin="1"/>
    <cellStyle name="Heading 2 2" xfId="82"/>
    <cellStyle name="Heading 3" xfId="35" builtinId="18" customBuiltin="1"/>
    <cellStyle name="Heading 3 2" xfId="83"/>
    <cellStyle name="Heading 4" xfId="36" builtinId="19" customBuiltin="1"/>
    <cellStyle name="Heading 4 2" xfId="84"/>
    <cellStyle name="Input" xfId="37" builtinId="20" customBuiltin="1"/>
    <cellStyle name="Input 2" xfId="85"/>
    <cellStyle name="Linked Cell" xfId="38" builtinId="24" customBuiltin="1"/>
    <cellStyle name="Linked Cell 2" xfId="86"/>
    <cellStyle name="Neutral" xfId="39" builtinId="28" customBuiltin="1"/>
    <cellStyle name="Neutral 2" xfId="87"/>
    <cellStyle name="Normal" xfId="0" builtinId="0"/>
    <cellStyle name="Normal 2" xfId="40"/>
    <cellStyle name="Normal 2 2" xfId="88"/>
    <cellStyle name="Normal 2_2011 TRUE-UP ALLETE MISO Attachment O with CWIP Working Papers" xfId="89"/>
    <cellStyle name="Normal 29" xfId="100"/>
    <cellStyle name="Normal 29 2" xfId="99"/>
    <cellStyle name="Normal 3" xfId="90"/>
    <cellStyle name="Normal 4" xfId="91"/>
    <cellStyle name="Normal_ATE-4  Attachment  O Populated (3)" xfId="41"/>
    <cellStyle name="Normal_Attachment O &amp; GG Final 11_11_09" xfId="42"/>
    <cellStyle name="Note" xfId="43" builtinId="10" customBuiltin="1"/>
    <cellStyle name="Note 2" xfId="92"/>
    <cellStyle name="Output" xfId="44" builtinId="21" customBuiltin="1"/>
    <cellStyle name="Output 2" xfId="93"/>
    <cellStyle name="Percent" xfId="45" builtinId="5"/>
    <cellStyle name="Percent 2" xfId="94"/>
    <cellStyle name="Percent 3" xfId="95"/>
    <cellStyle name="Title" xfId="46" builtinId="15" customBuiltin="1"/>
    <cellStyle name="Title 2" xfId="96"/>
    <cellStyle name="Total" xfId="47" builtinId="25" customBuiltin="1"/>
    <cellStyle name="Total 2" xfId="97"/>
    <cellStyle name="Warning Text" xfId="48" builtinId="11" customBuiltin="1"/>
    <cellStyle name="Warning Text 2" xfId="98"/>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4"/>
  <sheetViews>
    <sheetView topLeftCell="A178" zoomScale="74" zoomScaleNormal="74" workbookViewId="0">
      <selection activeCell="P200" sqref="P200"/>
    </sheetView>
  </sheetViews>
  <sheetFormatPr defaultColWidth="7.08984375" defaultRowHeight="15.6"/>
  <cols>
    <col min="1" max="1" width="6" style="64" customWidth="1"/>
    <col min="2" max="2" width="1.453125" style="64" customWidth="1"/>
    <col min="3" max="3" width="31.6328125" style="64" customWidth="1"/>
    <col min="4" max="4" width="34.36328125" style="64" customWidth="1"/>
    <col min="5" max="5" width="16.81640625" style="64" customWidth="1"/>
    <col min="6" max="6" width="6.81640625" style="64" customWidth="1"/>
    <col min="7" max="7" width="5.6328125" style="64" customWidth="1"/>
    <col min="8" max="8" width="10.6328125" style="64" customWidth="1"/>
    <col min="9" max="9" width="9.36328125" style="64" customWidth="1"/>
    <col min="10" max="10" width="13.81640625" style="64" customWidth="1"/>
    <col min="11" max="11" width="2.36328125" style="64" customWidth="1"/>
    <col min="12" max="12" width="9" style="67" customWidth="1"/>
    <col min="13" max="13" width="15.90625" style="64" customWidth="1"/>
    <col min="14" max="14" width="3" style="64" customWidth="1"/>
    <col min="15" max="15" width="8" style="67" customWidth="1"/>
    <col min="16" max="16" width="14.453125" style="64" customWidth="1"/>
    <col min="17" max="17" width="7.08984375" style="64" customWidth="1"/>
    <col min="18" max="18" width="11.81640625" style="64" customWidth="1"/>
    <col min="19" max="20" width="7.08984375" style="64" customWidth="1"/>
    <col min="21" max="21" width="10.08984375" style="64" customWidth="1"/>
    <col min="22" max="25" width="7.08984375" style="64" customWidth="1"/>
    <col min="26" max="26" width="25.90625" style="64" customWidth="1"/>
    <col min="27" max="16384" width="7.08984375" style="64"/>
  </cols>
  <sheetData>
    <row r="1" spans="1:22">
      <c r="P1" s="68" t="s">
        <v>447</v>
      </c>
      <c r="R1" s="69"/>
      <c r="S1" s="69"/>
      <c r="T1" s="69"/>
      <c r="U1" s="69"/>
      <c r="V1" s="69"/>
    </row>
    <row r="2" spans="1:22">
      <c r="C2" s="70"/>
      <c r="D2" s="70"/>
      <c r="E2" s="71"/>
      <c r="F2" s="70"/>
      <c r="G2" s="70"/>
      <c r="H2" s="70"/>
      <c r="I2" s="72"/>
      <c r="J2" s="72"/>
      <c r="K2" s="72"/>
      <c r="P2" s="67" t="s">
        <v>25</v>
      </c>
      <c r="R2" s="69"/>
      <c r="S2" s="69"/>
      <c r="T2" s="69"/>
      <c r="U2" s="69"/>
      <c r="V2" s="69"/>
    </row>
    <row r="3" spans="1:22">
      <c r="C3" s="70" t="s">
        <v>26</v>
      </c>
      <c r="D3" s="70"/>
      <c r="E3" s="71" t="s">
        <v>0</v>
      </c>
      <c r="F3" s="70"/>
      <c r="G3" s="70"/>
      <c r="H3" s="70"/>
      <c r="I3" s="72"/>
      <c r="K3" s="73"/>
      <c r="L3" s="74"/>
      <c r="N3" s="54" t="s">
        <v>582</v>
      </c>
      <c r="O3" s="55"/>
      <c r="P3" s="55"/>
      <c r="R3" s="69"/>
      <c r="S3" s="69"/>
      <c r="T3" s="69"/>
      <c r="U3" s="69"/>
      <c r="V3" s="69"/>
    </row>
    <row r="4" spans="1:22">
      <c r="C4" s="70"/>
      <c r="D4" s="75" t="s">
        <v>3</v>
      </c>
      <c r="E4" s="75" t="s">
        <v>27</v>
      </c>
      <c r="F4" s="75"/>
      <c r="G4" s="75"/>
      <c r="H4" s="75"/>
      <c r="I4" s="72"/>
      <c r="J4" s="72"/>
      <c r="K4" s="72"/>
      <c r="R4" s="69"/>
      <c r="S4" s="69"/>
      <c r="T4" s="69"/>
      <c r="U4" s="69"/>
      <c r="V4" s="69"/>
    </row>
    <row r="5" spans="1:22">
      <c r="C5" s="72"/>
      <c r="D5" s="72"/>
      <c r="E5" s="72"/>
      <c r="F5" s="72"/>
      <c r="G5" s="72"/>
      <c r="H5" s="72"/>
      <c r="I5" s="72"/>
      <c r="J5" s="72"/>
      <c r="K5" s="72"/>
    </row>
    <row r="6" spans="1:22" ht="31.2">
      <c r="A6" s="76"/>
      <c r="C6" s="72"/>
      <c r="D6" s="73"/>
      <c r="E6" s="77" t="s">
        <v>28</v>
      </c>
      <c r="F6" s="78"/>
      <c r="G6" s="72"/>
      <c r="H6" s="72"/>
      <c r="I6" s="72"/>
      <c r="J6" s="72"/>
      <c r="K6" s="72"/>
      <c r="L6" s="79" t="s">
        <v>29</v>
      </c>
      <c r="M6" s="80" t="s">
        <v>30</v>
      </c>
      <c r="N6" s="81"/>
      <c r="O6" s="79" t="s">
        <v>31</v>
      </c>
      <c r="P6" s="80" t="s">
        <v>32</v>
      </c>
    </row>
    <row r="7" spans="1:22">
      <c r="A7" s="76"/>
      <c r="C7" s="72"/>
      <c r="D7" s="72"/>
      <c r="E7" s="82"/>
      <c r="F7" s="72"/>
      <c r="G7" s="72"/>
      <c r="H7" s="72"/>
      <c r="I7" s="72"/>
      <c r="J7" s="72"/>
      <c r="K7" s="72"/>
    </row>
    <row r="8" spans="1:22" ht="15.75" customHeight="1">
      <c r="A8" s="76" t="s">
        <v>1</v>
      </c>
      <c r="C8" s="72"/>
      <c r="D8" s="72"/>
      <c r="E8" s="82"/>
      <c r="F8" s="72"/>
      <c r="G8" s="72"/>
      <c r="H8" s="72"/>
      <c r="I8" s="72"/>
      <c r="J8" s="76" t="s">
        <v>33</v>
      </c>
      <c r="K8" s="72"/>
    </row>
    <row r="9" spans="1:22" ht="16.2" thickBot="1">
      <c r="A9" s="83" t="s">
        <v>2</v>
      </c>
      <c r="C9" s="72"/>
      <c r="D9" s="72"/>
      <c r="E9" s="72"/>
      <c r="F9" s="72"/>
      <c r="G9" s="72"/>
      <c r="H9" s="72"/>
      <c r="I9" s="72"/>
      <c r="J9" s="83" t="s">
        <v>34</v>
      </c>
      <c r="K9" s="72"/>
    </row>
    <row r="10" spans="1:22">
      <c r="A10" s="76">
        <v>1</v>
      </c>
      <c r="C10" s="72" t="s">
        <v>35</v>
      </c>
      <c r="D10" s="72"/>
      <c r="E10" s="84"/>
      <c r="F10" s="72"/>
      <c r="G10" s="72"/>
      <c r="H10" s="72"/>
      <c r="I10" s="72"/>
      <c r="J10" s="11">
        <f>J201</f>
        <v>61837512.280300677</v>
      </c>
      <c r="K10" s="73"/>
      <c r="L10" s="74"/>
      <c r="M10" s="11">
        <f>M201</f>
        <v>46468864.484309852</v>
      </c>
      <c r="N10" s="85"/>
      <c r="O10" s="86"/>
      <c r="P10" s="12">
        <f>P201</f>
        <v>15368647.795990823</v>
      </c>
    </row>
    <row r="11" spans="1:22">
      <c r="A11" s="76"/>
      <c r="C11" s="72"/>
      <c r="D11" s="72"/>
      <c r="E11" s="72"/>
      <c r="F11" s="72"/>
      <c r="G11" s="72"/>
      <c r="H11" s="72"/>
      <c r="I11" s="72"/>
      <c r="J11" s="84"/>
      <c r="K11" s="72"/>
    </row>
    <row r="12" spans="1:22">
      <c r="A12" s="76"/>
      <c r="C12" s="72"/>
      <c r="D12" s="72"/>
      <c r="E12" s="72"/>
      <c r="F12" s="72"/>
      <c r="G12" s="72"/>
      <c r="H12" s="72"/>
      <c r="I12" s="72"/>
      <c r="J12" s="84"/>
      <c r="K12" s="72"/>
    </row>
    <row r="13" spans="1:22" ht="16.2" thickBot="1">
      <c r="A13" s="76" t="s">
        <v>3</v>
      </c>
      <c r="C13" s="70" t="s">
        <v>36</v>
      </c>
      <c r="D13" s="87" t="s">
        <v>37</v>
      </c>
      <c r="E13" s="83" t="s">
        <v>38</v>
      </c>
      <c r="F13" s="75"/>
      <c r="G13" s="88" t="s">
        <v>4</v>
      </c>
      <c r="H13" s="88"/>
      <c r="I13" s="72"/>
      <c r="J13" s="84"/>
      <c r="K13" s="72"/>
      <c r="P13" s="89"/>
    </row>
    <row r="14" spans="1:22">
      <c r="A14" s="76">
        <v>2</v>
      </c>
      <c r="C14" s="70" t="s">
        <v>39</v>
      </c>
      <c r="D14" s="75" t="s">
        <v>40</v>
      </c>
      <c r="E14" s="14">
        <f>J302</f>
        <v>616768</v>
      </c>
      <c r="F14" s="75"/>
      <c r="G14" s="75" t="s">
        <v>41</v>
      </c>
      <c r="H14" s="15">
        <f>J217</f>
        <v>0.85997322981173219</v>
      </c>
      <c r="I14" s="75"/>
      <c r="J14" s="14">
        <f>+H14*E14</f>
        <v>530403.96900452243</v>
      </c>
      <c r="K14" s="72"/>
      <c r="L14" s="67" t="s">
        <v>42</v>
      </c>
      <c r="M14" s="14">
        <f>J14-P14</f>
        <v>530403.96900452243</v>
      </c>
      <c r="N14" s="75"/>
      <c r="O14" s="67" t="s">
        <v>42</v>
      </c>
      <c r="P14" s="397">
        <v>0</v>
      </c>
    </row>
    <row r="15" spans="1:22">
      <c r="A15" s="76">
        <v>3</v>
      </c>
      <c r="C15" s="70" t="s">
        <v>43</v>
      </c>
      <c r="D15" s="75" t="s">
        <v>44</v>
      </c>
      <c r="E15" s="14">
        <f>J310</f>
        <v>4890573</v>
      </c>
      <c r="F15" s="75"/>
      <c r="G15" s="4" t="str">
        <f t="shared" ref="G15:H17" si="0">+G14</f>
        <v>TP</v>
      </c>
      <c r="H15" s="15">
        <f t="shared" si="0"/>
        <v>0.85997322981173219</v>
      </c>
      <c r="I15" s="75"/>
      <c r="J15" s="14">
        <f>+H15*E15</f>
        <v>4205761.8584400527</v>
      </c>
      <c r="K15" s="72"/>
      <c r="L15" s="67" t="s">
        <v>42</v>
      </c>
      <c r="M15" s="14">
        <f>J15-P15</f>
        <v>4205761.8584400527</v>
      </c>
      <c r="N15" s="75"/>
      <c r="O15" s="67" t="s">
        <v>42</v>
      </c>
      <c r="P15" s="397">
        <v>0</v>
      </c>
    </row>
    <row r="16" spans="1:22">
      <c r="A16" s="76">
        <v>4</v>
      </c>
      <c r="C16" s="91" t="s">
        <v>45</v>
      </c>
      <c r="D16" s="75"/>
      <c r="E16" s="397">
        <v>0</v>
      </c>
      <c r="F16" s="75"/>
      <c r="G16" s="4" t="str">
        <f t="shared" si="0"/>
        <v>TP</v>
      </c>
      <c r="H16" s="15">
        <f t="shared" si="0"/>
        <v>0.85997322981173219</v>
      </c>
      <c r="I16" s="75"/>
      <c r="J16" s="442">
        <f>+H16*E16</f>
        <v>0</v>
      </c>
      <c r="K16" s="84"/>
      <c r="L16" s="109" t="s">
        <v>42</v>
      </c>
      <c r="M16" s="442">
        <f>J16-P16</f>
        <v>0</v>
      </c>
      <c r="N16" s="75"/>
      <c r="O16" s="67" t="s">
        <v>42</v>
      </c>
      <c r="P16" s="425">
        <v>0</v>
      </c>
      <c r="Q16" s="92"/>
      <c r="R16" s="92"/>
    </row>
    <row r="17" spans="1:18" ht="16.2" thickBot="1">
      <c r="A17" s="76">
        <v>5</v>
      </c>
      <c r="C17" s="91" t="s">
        <v>46</v>
      </c>
      <c r="D17" s="75"/>
      <c r="E17" s="397">
        <v>0</v>
      </c>
      <c r="F17" s="75"/>
      <c r="G17" s="4" t="str">
        <f t="shared" si="0"/>
        <v>TP</v>
      </c>
      <c r="H17" s="15">
        <f t="shared" si="0"/>
        <v>0.85997322981173219</v>
      </c>
      <c r="I17" s="75"/>
      <c r="J17" s="447">
        <f>+H17*E17</f>
        <v>0</v>
      </c>
      <c r="K17" s="84"/>
      <c r="L17" s="109" t="s">
        <v>42</v>
      </c>
      <c r="M17" s="447">
        <f>J17-P17</f>
        <v>0</v>
      </c>
      <c r="N17" s="94"/>
      <c r="O17" s="67" t="s">
        <v>42</v>
      </c>
      <c r="P17" s="426">
        <v>0</v>
      </c>
      <c r="Q17" s="92"/>
      <c r="R17" s="92"/>
    </row>
    <row r="18" spans="1:18">
      <c r="A18" s="76">
        <v>6</v>
      </c>
      <c r="C18" s="70" t="s">
        <v>47</v>
      </c>
      <c r="D18" s="72"/>
      <c r="E18" s="95" t="s">
        <v>3</v>
      </c>
      <c r="F18" s="75"/>
      <c r="G18" s="75"/>
      <c r="H18" s="90"/>
      <c r="I18" s="75"/>
      <c r="J18" s="14">
        <f>SUM(J14:J17)</f>
        <v>4736165.8274445748</v>
      </c>
      <c r="K18" s="72"/>
      <c r="M18" s="17">
        <f>SUM(M14:M17)</f>
        <v>4736165.8274445748</v>
      </c>
      <c r="N18" s="97"/>
      <c r="O18" s="98"/>
      <c r="P18" s="427">
        <f>SUM(P14:P17)</f>
        <v>0</v>
      </c>
      <c r="Q18" s="92"/>
      <c r="R18" s="92"/>
    </row>
    <row r="19" spans="1:18">
      <c r="A19" s="76"/>
      <c r="C19" s="70"/>
      <c r="D19" s="72"/>
      <c r="E19" s="95"/>
      <c r="F19" s="75"/>
      <c r="G19" s="75"/>
      <c r="H19" s="90"/>
      <c r="I19" s="75"/>
      <c r="J19" s="89"/>
      <c r="K19" s="72"/>
      <c r="M19" s="96"/>
      <c r="N19" s="97"/>
      <c r="O19" s="98"/>
      <c r="P19" s="96"/>
      <c r="Q19" s="92"/>
      <c r="R19" s="92"/>
    </row>
    <row r="20" spans="1:18">
      <c r="A20" s="76" t="s">
        <v>48</v>
      </c>
      <c r="C20" s="70" t="s">
        <v>49</v>
      </c>
      <c r="D20" s="72"/>
      <c r="E20" s="95"/>
      <c r="F20" s="75"/>
      <c r="G20" s="75"/>
      <c r="H20" s="90"/>
      <c r="I20" s="75"/>
      <c r="J20" s="63"/>
      <c r="K20" s="72"/>
      <c r="M20" s="58">
        <v>32605994</v>
      </c>
      <c r="N20" s="97"/>
      <c r="O20" s="98"/>
      <c r="P20" s="58">
        <v>14182488</v>
      </c>
      <c r="Q20" s="92"/>
      <c r="R20" s="92"/>
    </row>
    <row r="21" spans="1:18">
      <c r="A21" s="76" t="s">
        <v>50</v>
      </c>
      <c r="C21" s="70" t="s">
        <v>51</v>
      </c>
      <c r="D21" s="72"/>
      <c r="E21" s="95"/>
      <c r="F21" s="75"/>
      <c r="G21" s="75"/>
      <c r="H21" s="90"/>
      <c r="I21" s="75"/>
      <c r="J21" s="99"/>
      <c r="K21" s="72"/>
      <c r="M21" s="57">
        <v>34368355</v>
      </c>
      <c r="N21" s="97"/>
      <c r="O21" s="98"/>
      <c r="P21" s="57">
        <v>12813478</v>
      </c>
      <c r="Q21" s="92"/>
      <c r="R21" s="92"/>
    </row>
    <row r="22" spans="1:18">
      <c r="A22" s="76" t="s">
        <v>52</v>
      </c>
      <c r="C22" s="70" t="s">
        <v>53</v>
      </c>
      <c r="D22" s="72" t="s">
        <v>54</v>
      </c>
      <c r="E22" s="95"/>
      <c r="F22" s="75"/>
      <c r="G22" s="75"/>
      <c r="H22" s="90"/>
      <c r="I22" s="75"/>
      <c r="J22" s="18">
        <f>SUM(M22:P22)</f>
        <v>-393351</v>
      </c>
      <c r="K22" s="72"/>
      <c r="M22" s="18">
        <f>M20-M21</f>
        <v>-1762361</v>
      </c>
      <c r="N22" s="100"/>
      <c r="O22" s="101"/>
      <c r="P22" s="18">
        <f>P20-P21</f>
        <v>1369010</v>
      </c>
      <c r="Q22" s="92"/>
      <c r="R22" s="92"/>
    </row>
    <row r="23" spans="1:18">
      <c r="A23" s="76"/>
      <c r="C23" s="70"/>
      <c r="D23" s="72"/>
      <c r="E23" s="95"/>
      <c r="F23" s="75"/>
      <c r="G23" s="75"/>
      <c r="H23" s="90"/>
      <c r="I23" s="75"/>
      <c r="J23" s="89"/>
      <c r="K23" s="72"/>
      <c r="M23" s="96"/>
      <c r="N23" s="97"/>
      <c r="O23" s="98"/>
      <c r="P23" s="96"/>
      <c r="Q23" s="92"/>
      <c r="R23" s="92"/>
    </row>
    <row r="24" spans="1:18">
      <c r="A24" s="76" t="s">
        <v>55</v>
      </c>
      <c r="C24" s="70" t="s">
        <v>56</v>
      </c>
      <c r="D24" s="72"/>
      <c r="E24" s="95"/>
      <c r="F24" s="75"/>
      <c r="G24" s="75"/>
      <c r="H24" s="90"/>
      <c r="I24" s="75"/>
      <c r="J24" s="63"/>
      <c r="K24" s="72"/>
      <c r="M24" s="58">
        <v>1548000</v>
      </c>
      <c r="N24" s="97"/>
      <c r="O24" s="98"/>
      <c r="P24" s="58">
        <v>588000</v>
      </c>
      <c r="Q24" s="92"/>
      <c r="R24" s="92"/>
    </row>
    <row r="25" spans="1:18">
      <c r="A25" s="76" t="s">
        <v>57</v>
      </c>
      <c r="C25" s="70" t="s">
        <v>58</v>
      </c>
      <c r="D25" s="72"/>
      <c r="E25" s="95"/>
      <c r="F25" s="75"/>
      <c r="G25" s="75"/>
      <c r="H25" s="90"/>
      <c r="I25" s="75"/>
      <c r="J25" s="99"/>
      <c r="K25" s="72"/>
      <c r="M25" s="57">
        <v>1534589</v>
      </c>
      <c r="N25" s="97"/>
      <c r="O25" s="98"/>
      <c r="P25" s="57">
        <v>500000</v>
      </c>
      <c r="Q25" s="92"/>
      <c r="R25" s="92"/>
    </row>
    <row r="26" spans="1:18">
      <c r="A26" s="76" t="s">
        <v>59</v>
      </c>
      <c r="C26" s="70" t="s">
        <v>60</v>
      </c>
      <c r="D26" s="72" t="s">
        <v>61</v>
      </c>
      <c r="E26" s="95"/>
      <c r="F26" s="75"/>
      <c r="G26" s="75"/>
      <c r="H26" s="90"/>
      <c r="I26" s="75"/>
      <c r="J26" s="63"/>
      <c r="K26" s="72"/>
      <c r="M26" s="18">
        <f>-M24+M25</f>
        <v>-13411</v>
      </c>
      <c r="N26" s="100"/>
      <c r="O26" s="101"/>
      <c r="P26" s="18">
        <f>-P24+P25</f>
        <v>-88000</v>
      </c>
      <c r="Q26" s="92"/>
      <c r="R26" s="92"/>
    </row>
    <row r="27" spans="1:18">
      <c r="A27" s="76"/>
      <c r="C27" s="70"/>
      <c r="D27" s="72"/>
      <c r="E27" s="95"/>
      <c r="F27" s="75"/>
      <c r="G27" s="75"/>
      <c r="H27" s="90"/>
      <c r="I27" s="75"/>
      <c r="J27" s="63"/>
      <c r="K27" s="72"/>
      <c r="M27" s="56"/>
      <c r="N27" s="97"/>
      <c r="O27" s="98"/>
      <c r="P27" s="56"/>
      <c r="Q27" s="92"/>
      <c r="R27" s="92"/>
    </row>
    <row r="28" spans="1:18">
      <c r="A28" s="76" t="s">
        <v>62</v>
      </c>
      <c r="C28" s="70" t="s">
        <v>63</v>
      </c>
      <c r="D28" s="72"/>
      <c r="E28" s="95"/>
      <c r="F28" s="75"/>
      <c r="G28" s="75"/>
      <c r="H28" s="90"/>
      <c r="I28" s="75"/>
      <c r="J28" s="99"/>
      <c r="K28" s="72"/>
      <c r="M28" s="424">
        <v>22.396000000000001</v>
      </c>
      <c r="N28" s="97"/>
      <c r="O28" s="98"/>
      <c r="P28" s="424">
        <v>25.626999999999999</v>
      </c>
      <c r="Q28" s="92"/>
      <c r="R28" s="92"/>
    </row>
    <row r="29" spans="1:18">
      <c r="A29" s="76" t="s">
        <v>64</v>
      </c>
      <c r="C29" s="70" t="s">
        <v>65</v>
      </c>
      <c r="D29" s="72" t="s">
        <v>66</v>
      </c>
      <c r="E29" s="95"/>
      <c r="F29" s="75"/>
      <c r="G29" s="75"/>
      <c r="H29" s="90"/>
      <c r="I29" s="75"/>
      <c r="J29" s="18">
        <f>SUM(M29:P29)</f>
        <v>-2555528.7560000001</v>
      </c>
      <c r="K29" s="72"/>
      <c r="M29" s="18">
        <f>M28*M26</f>
        <v>-300352.75599999999</v>
      </c>
      <c r="N29" s="100"/>
      <c r="O29" s="101"/>
      <c r="P29" s="18">
        <f>P28*P26</f>
        <v>-2255176</v>
      </c>
      <c r="Q29" s="92"/>
      <c r="R29" s="92"/>
    </row>
    <row r="30" spans="1:18">
      <c r="A30" s="76"/>
      <c r="C30" s="70"/>
      <c r="D30" s="72"/>
      <c r="E30" s="95"/>
      <c r="F30" s="75"/>
      <c r="G30" s="75"/>
      <c r="H30" s="90"/>
      <c r="I30" s="75"/>
      <c r="J30" s="89"/>
      <c r="K30" s="72"/>
      <c r="M30" s="96"/>
      <c r="N30" s="97"/>
      <c r="O30" s="98"/>
      <c r="P30" s="102"/>
      <c r="Q30" s="92"/>
      <c r="R30" s="92"/>
    </row>
    <row r="31" spans="1:18">
      <c r="A31" s="76" t="s">
        <v>67</v>
      </c>
      <c r="C31" s="70" t="s">
        <v>68</v>
      </c>
      <c r="D31" s="72"/>
      <c r="E31" s="95"/>
      <c r="F31" s="75"/>
      <c r="G31" s="75"/>
      <c r="H31" s="90"/>
      <c r="I31" s="75"/>
      <c r="J31" s="18">
        <f>SUM(M31:P31)</f>
        <v>1436030</v>
      </c>
      <c r="K31" s="72"/>
      <c r="M31" s="451">
        <v>286177</v>
      </c>
      <c r="N31" s="97"/>
      <c r="O31" s="98"/>
      <c r="P31" s="451">
        <v>1149853</v>
      </c>
      <c r="Q31" s="92"/>
      <c r="R31" s="92"/>
    </row>
    <row r="32" spans="1:18">
      <c r="A32" s="76"/>
      <c r="C32" s="70"/>
      <c r="D32" s="72"/>
      <c r="E32" s="95"/>
      <c r="F32" s="75"/>
      <c r="G32" s="75"/>
      <c r="H32" s="90"/>
      <c r="I32" s="75"/>
      <c r="J32" s="89"/>
      <c r="K32" s="72"/>
      <c r="M32" s="96"/>
      <c r="N32" s="97"/>
      <c r="O32" s="98"/>
      <c r="P32" s="96"/>
      <c r="Q32" s="92"/>
      <c r="R32" s="92"/>
    </row>
    <row r="33" spans="1:18">
      <c r="A33" s="76">
        <v>7</v>
      </c>
      <c r="C33" s="70" t="s">
        <v>69</v>
      </c>
      <c r="D33" s="72" t="s">
        <v>408</v>
      </c>
      <c r="E33" s="95" t="s">
        <v>3</v>
      </c>
      <c r="F33" s="75"/>
      <c r="G33" s="75"/>
      <c r="H33" s="75"/>
      <c r="I33" s="75"/>
      <c r="J33" s="20">
        <f>+J10-J18+J22+J29+J31</f>
        <v>55588496.696856104</v>
      </c>
      <c r="K33" s="72"/>
      <c r="M33" s="20">
        <f>+M10-M18+M22+M29+M31</f>
        <v>39956161.900865279</v>
      </c>
      <c r="N33" s="103"/>
      <c r="O33" s="104"/>
      <c r="P33" s="20">
        <f>+P10-P18+P22+P29+P31</f>
        <v>15632334.795990823</v>
      </c>
      <c r="Q33" s="92"/>
      <c r="R33" s="92"/>
    </row>
    <row r="34" spans="1:18">
      <c r="A34" s="76" t="s">
        <v>70</v>
      </c>
      <c r="C34" s="64" t="s">
        <v>71</v>
      </c>
      <c r="D34" s="72"/>
      <c r="E34" s="95"/>
      <c r="F34" s="75"/>
      <c r="G34" s="75"/>
      <c r="H34" s="75"/>
      <c r="I34" s="75"/>
      <c r="J34" s="21">
        <f>M34+P34</f>
        <v>0</v>
      </c>
      <c r="K34" s="72"/>
      <c r="L34" s="67" t="s">
        <v>42</v>
      </c>
      <c r="M34" s="440">
        <v>0</v>
      </c>
      <c r="N34" s="97"/>
      <c r="O34" s="109" t="s">
        <v>42</v>
      </c>
      <c r="P34" s="441">
        <v>0</v>
      </c>
      <c r="Q34" s="92"/>
      <c r="R34" s="92"/>
    </row>
    <row r="35" spans="1:18">
      <c r="A35" s="76" t="s">
        <v>72</v>
      </c>
      <c r="C35" s="105" t="s">
        <v>73</v>
      </c>
      <c r="D35" s="75"/>
      <c r="J35" s="14">
        <f>J33-J34</f>
        <v>55588496.696856104</v>
      </c>
      <c r="K35" s="72"/>
      <c r="M35" s="442">
        <f>M33-M34</f>
        <v>39956161.900865279</v>
      </c>
      <c r="N35" s="97"/>
      <c r="O35" s="98"/>
      <c r="P35" s="442">
        <f>P33-P34</f>
        <v>15632334.795990823</v>
      </c>
      <c r="Q35" s="92"/>
      <c r="R35" s="92"/>
    </row>
    <row r="36" spans="1:18">
      <c r="A36" s="76"/>
      <c r="D36" s="75"/>
      <c r="J36" s="89"/>
      <c r="K36" s="72"/>
      <c r="M36" s="443"/>
      <c r="N36" s="97"/>
      <c r="O36" s="98"/>
      <c r="P36" s="444"/>
      <c r="Q36" s="92"/>
      <c r="R36" s="92"/>
    </row>
    <row r="37" spans="1:18">
      <c r="A37" s="76"/>
      <c r="C37" s="70" t="s">
        <v>74</v>
      </c>
      <c r="D37" s="72"/>
      <c r="E37" s="84"/>
      <c r="F37" s="72"/>
      <c r="G37" s="72"/>
      <c r="H37" s="72"/>
      <c r="I37" s="72"/>
      <c r="J37" s="107"/>
      <c r="K37" s="72"/>
      <c r="M37" s="443"/>
      <c r="N37" s="97"/>
      <c r="O37" s="98"/>
      <c r="P37" s="444"/>
      <c r="Q37" s="92"/>
      <c r="R37" s="92"/>
    </row>
    <row r="38" spans="1:18">
      <c r="A38" s="76">
        <v>8</v>
      </c>
      <c r="C38" s="70" t="s">
        <v>75</v>
      </c>
      <c r="E38" s="84"/>
      <c r="F38" s="72"/>
      <c r="G38" s="72"/>
      <c r="H38" s="73" t="s">
        <v>76</v>
      </c>
      <c r="I38" s="72"/>
      <c r="J38" s="3">
        <f t="shared" ref="J38:J41" si="1">M38+P38</f>
        <v>1397000</v>
      </c>
      <c r="K38" s="72"/>
      <c r="L38" s="67" t="s">
        <v>42</v>
      </c>
      <c r="M38" s="445">
        <v>1397000</v>
      </c>
      <c r="N38" s="75"/>
      <c r="O38" s="109" t="s">
        <v>42</v>
      </c>
      <c r="P38" s="445">
        <v>0</v>
      </c>
      <c r="Q38" s="92"/>
      <c r="R38" s="92"/>
    </row>
    <row r="39" spans="1:18">
      <c r="A39" s="76">
        <v>9</v>
      </c>
      <c r="C39" s="70" t="s">
        <v>77</v>
      </c>
      <c r="D39" s="75"/>
      <c r="E39" s="75"/>
      <c r="F39" s="75"/>
      <c r="G39" s="75"/>
      <c r="H39" s="87" t="s">
        <v>78</v>
      </c>
      <c r="I39" s="75"/>
      <c r="J39" s="3">
        <f t="shared" si="1"/>
        <v>0</v>
      </c>
      <c r="K39" s="72"/>
      <c r="L39" s="67" t="s">
        <v>42</v>
      </c>
      <c r="M39" s="445">
        <v>0</v>
      </c>
      <c r="N39" s="75"/>
      <c r="O39" s="109" t="s">
        <v>42</v>
      </c>
      <c r="P39" s="445">
        <v>0</v>
      </c>
    </row>
    <row r="40" spans="1:18">
      <c r="A40" s="76">
        <v>10</v>
      </c>
      <c r="C40" s="91" t="s">
        <v>79</v>
      </c>
      <c r="D40" s="72"/>
      <c r="E40" s="72"/>
      <c r="F40" s="72"/>
      <c r="H40" s="73" t="s">
        <v>5</v>
      </c>
      <c r="I40" s="72"/>
      <c r="J40" s="3">
        <f t="shared" si="1"/>
        <v>16000</v>
      </c>
      <c r="K40" s="72"/>
      <c r="L40" s="67" t="s">
        <v>42</v>
      </c>
      <c r="M40" s="445">
        <v>16000</v>
      </c>
      <c r="N40" s="75"/>
      <c r="O40" s="109" t="s">
        <v>42</v>
      </c>
      <c r="P40" s="445">
        <v>0</v>
      </c>
    </row>
    <row r="41" spans="1:18">
      <c r="A41" s="76">
        <v>11</v>
      </c>
      <c r="C41" s="70" t="s">
        <v>80</v>
      </c>
      <c r="D41" s="72"/>
      <c r="E41" s="72"/>
      <c r="F41" s="72"/>
      <c r="H41" s="73" t="s">
        <v>6</v>
      </c>
      <c r="I41" s="72"/>
      <c r="J41" s="3">
        <f t="shared" si="1"/>
        <v>0</v>
      </c>
      <c r="K41" s="72"/>
      <c r="L41" s="67" t="s">
        <v>42</v>
      </c>
      <c r="M41" s="445">
        <v>0</v>
      </c>
      <c r="N41" s="75"/>
      <c r="O41" s="109" t="s">
        <v>42</v>
      </c>
      <c r="P41" s="445">
        <v>0</v>
      </c>
    </row>
    <row r="42" spans="1:18">
      <c r="A42" s="76">
        <v>12</v>
      </c>
      <c r="C42" s="91" t="s">
        <v>81</v>
      </c>
      <c r="D42" s="72"/>
      <c r="E42" s="72"/>
      <c r="F42" s="72"/>
      <c r="G42" s="72"/>
      <c r="H42" s="72"/>
      <c r="I42" s="72"/>
      <c r="J42" s="3">
        <f>M42+P42</f>
        <v>564000</v>
      </c>
      <c r="K42" s="72"/>
      <c r="L42" s="67" t="s">
        <v>42</v>
      </c>
      <c r="M42" s="445">
        <v>14000</v>
      </c>
      <c r="N42" s="75"/>
      <c r="O42" s="109" t="s">
        <v>42</v>
      </c>
      <c r="P42" s="445">
        <v>550000</v>
      </c>
    </row>
    <row r="43" spans="1:18">
      <c r="A43" s="76">
        <v>13</v>
      </c>
      <c r="C43" s="91" t="s">
        <v>82</v>
      </c>
      <c r="D43" s="72"/>
      <c r="E43" s="72"/>
      <c r="F43" s="72"/>
      <c r="G43" s="72"/>
      <c r="H43" s="73"/>
      <c r="I43" s="72"/>
      <c r="J43" s="3">
        <f t="shared" ref="J43:J44" si="2">M43+P43</f>
        <v>0</v>
      </c>
      <c r="K43" s="72"/>
      <c r="L43" s="67" t="s">
        <v>42</v>
      </c>
      <c r="M43" s="445">
        <v>0</v>
      </c>
      <c r="N43" s="75"/>
      <c r="O43" s="109" t="s">
        <v>42</v>
      </c>
      <c r="P43" s="445">
        <v>0</v>
      </c>
    </row>
    <row r="44" spans="1:18">
      <c r="A44" s="76">
        <v>14</v>
      </c>
      <c r="C44" s="91" t="s">
        <v>83</v>
      </c>
      <c r="D44" s="72"/>
      <c r="E44" s="72"/>
      <c r="F44" s="72"/>
      <c r="G44" s="72"/>
      <c r="H44" s="72"/>
      <c r="I44" s="72"/>
      <c r="J44" s="23">
        <f t="shared" si="2"/>
        <v>0</v>
      </c>
      <c r="K44" s="72"/>
      <c r="L44" s="67" t="s">
        <v>42</v>
      </c>
      <c r="M44" s="446">
        <v>0</v>
      </c>
      <c r="N44" s="94"/>
      <c r="O44" s="109" t="s">
        <v>42</v>
      </c>
      <c r="P44" s="446">
        <v>0</v>
      </c>
    </row>
    <row r="45" spans="1:18">
      <c r="A45" s="76">
        <v>15</v>
      </c>
      <c r="C45" s="70" t="s">
        <v>84</v>
      </c>
      <c r="D45" s="72"/>
      <c r="E45" s="72"/>
      <c r="F45" s="72"/>
      <c r="G45" s="72"/>
      <c r="H45" s="72"/>
      <c r="I45" s="72"/>
      <c r="J45" s="22">
        <f>SUM(J38:J44)</f>
        <v>1977000</v>
      </c>
      <c r="K45" s="72"/>
      <c r="M45" s="14">
        <f>SUM(M38:M44)</f>
        <v>1427000</v>
      </c>
      <c r="N45" s="75"/>
      <c r="O45" s="109"/>
      <c r="P45" s="18">
        <f>SUM(P38:P44)</f>
        <v>550000</v>
      </c>
    </row>
    <row r="46" spans="1:18">
      <c r="A46" s="76"/>
      <c r="C46" s="70"/>
      <c r="D46" s="72"/>
      <c r="E46" s="72"/>
      <c r="F46" s="72"/>
      <c r="G46" s="72"/>
      <c r="H46" s="72"/>
      <c r="I46" s="72"/>
      <c r="J46" s="84"/>
      <c r="K46" s="72"/>
    </row>
    <row r="47" spans="1:18">
      <c r="A47" s="76">
        <v>16</v>
      </c>
      <c r="C47" s="70" t="s">
        <v>85</v>
      </c>
      <c r="D47" s="72" t="s">
        <v>86</v>
      </c>
      <c r="E47" s="110"/>
      <c r="F47" s="72"/>
      <c r="G47" s="72"/>
      <c r="H47" s="72"/>
      <c r="I47" s="72"/>
      <c r="K47" s="72"/>
      <c r="M47" s="24">
        <f>IF(M35=0,0,(M35/M45))</f>
        <v>28.000113455406641</v>
      </c>
      <c r="N47" s="111"/>
      <c r="O47" s="112"/>
      <c r="P47" s="24">
        <f>IF(P35=0,0,(P35/P45))</f>
        <v>28.422426901801497</v>
      </c>
    </row>
    <row r="48" spans="1:18">
      <c r="A48" s="76">
        <v>17</v>
      </c>
      <c r="C48" s="70" t="s">
        <v>87</v>
      </c>
      <c r="D48" s="72" t="s">
        <v>88</v>
      </c>
      <c r="E48" s="110"/>
      <c r="F48" s="72"/>
      <c r="G48" s="72"/>
      <c r="H48" s="72"/>
      <c r="I48" s="72"/>
      <c r="K48" s="72"/>
      <c r="M48" s="24">
        <f>M47/12</f>
        <v>2.3333427879505533</v>
      </c>
      <c r="N48" s="111"/>
      <c r="O48" s="112"/>
      <c r="P48" s="24">
        <f>P47/12</f>
        <v>2.3685355751501249</v>
      </c>
    </row>
    <row r="49" spans="1:16">
      <c r="A49" s="76">
        <v>18</v>
      </c>
      <c r="C49" s="70" t="s">
        <v>89</v>
      </c>
      <c r="D49" s="71" t="s">
        <v>90</v>
      </c>
      <c r="E49" s="110"/>
      <c r="F49" s="72"/>
      <c r="G49" s="72"/>
      <c r="H49" s="72"/>
      <c r="I49" s="72"/>
      <c r="J49" s="113"/>
      <c r="K49" s="72"/>
      <c r="M49" s="25">
        <f>+M47/52</f>
        <v>0.53846372029628153</v>
      </c>
      <c r="N49" s="113"/>
      <c r="O49" s="114"/>
      <c r="P49" s="25">
        <f>+P47/52</f>
        <v>0.54658513272695186</v>
      </c>
    </row>
    <row r="50" spans="1:16">
      <c r="A50" s="76"/>
      <c r="C50" s="70"/>
      <c r="D50" s="71"/>
      <c r="E50" s="110"/>
      <c r="F50" s="72"/>
      <c r="G50" s="72"/>
      <c r="H50" s="72"/>
      <c r="I50" s="72"/>
      <c r="J50" s="113"/>
      <c r="K50" s="72"/>
      <c r="M50" s="113"/>
      <c r="N50" s="113"/>
      <c r="O50" s="114"/>
      <c r="P50" s="113"/>
    </row>
    <row r="51" spans="1:16">
      <c r="A51" s="76"/>
      <c r="C51" s="70"/>
      <c r="D51" s="71"/>
      <c r="E51" s="110"/>
      <c r="F51" s="72"/>
      <c r="G51" s="72"/>
      <c r="H51" s="72"/>
      <c r="I51" s="72"/>
      <c r="J51" s="113"/>
      <c r="K51" s="72"/>
      <c r="M51" s="114" t="s">
        <v>91</v>
      </c>
      <c r="N51" s="114"/>
      <c r="O51" s="114"/>
      <c r="P51" s="114" t="s">
        <v>91</v>
      </c>
    </row>
    <row r="52" spans="1:16">
      <c r="A52" s="76">
        <v>19</v>
      </c>
      <c r="C52" s="70" t="s">
        <v>92</v>
      </c>
      <c r="D52" s="71" t="s">
        <v>93</v>
      </c>
      <c r="E52" s="110"/>
      <c r="F52" s="72" t="s">
        <v>94</v>
      </c>
      <c r="H52" s="72"/>
      <c r="I52" s="72"/>
      <c r="J52" s="113"/>
      <c r="K52" s="72"/>
      <c r="M52" s="26">
        <f>+M47/260</f>
        <v>0.10769274405925632</v>
      </c>
      <c r="N52" s="115"/>
      <c r="O52" s="116"/>
      <c r="P52" s="26">
        <f>+P47/260</f>
        <v>0.10931702654539037</v>
      </c>
    </row>
    <row r="53" spans="1:16">
      <c r="A53" s="76">
        <v>20</v>
      </c>
      <c r="C53" s="70" t="s">
        <v>95</v>
      </c>
      <c r="D53" s="71" t="s">
        <v>96</v>
      </c>
      <c r="E53" s="110"/>
      <c r="F53" s="72" t="s">
        <v>97</v>
      </c>
      <c r="H53" s="72"/>
      <c r="I53" s="72"/>
      <c r="J53" s="113"/>
      <c r="K53" s="72"/>
      <c r="M53" s="26">
        <f>+M47/4160*1000</f>
        <v>6.7307965037035196</v>
      </c>
      <c r="N53" s="115"/>
      <c r="O53" s="116"/>
      <c r="P53" s="26">
        <f>+P47/4160*1000</f>
        <v>6.8323141590868977</v>
      </c>
    </row>
    <row r="54" spans="1:16">
      <c r="A54" s="76"/>
      <c r="C54" s="70"/>
      <c r="D54" s="72"/>
      <c r="E54" s="72"/>
      <c r="F54" s="72" t="s">
        <v>98</v>
      </c>
      <c r="H54" s="72"/>
      <c r="I54" s="72"/>
      <c r="K54" s="72"/>
      <c r="M54" s="105"/>
      <c r="N54" s="105"/>
      <c r="O54" s="74"/>
      <c r="P54" s="105"/>
    </row>
    <row r="55" spans="1:16">
      <c r="A55" s="76"/>
      <c r="C55" s="70"/>
      <c r="D55" s="72"/>
      <c r="E55" s="117"/>
      <c r="F55" s="72"/>
      <c r="G55" s="72"/>
      <c r="H55" s="72"/>
      <c r="I55" s="72"/>
      <c r="J55" s="67"/>
      <c r="K55" s="72"/>
      <c r="M55" s="74" t="s">
        <v>99</v>
      </c>
      <c r="N55" s="105"/>
      <c r="O55" s="74"/>
      <c r="P55" s="74" t="s">
        <v>99</v>
      </c>
    </row>
    <row r="56" spans="1:16">
      <c r="A56" s="76"/>
      <c r="C56" s="70"/>
      <c r="D56" s="71"/>
      <c r="E56" s="110"/>
      <c r="F56" s="72"/>
      <c r="G56" s="72"/>
      <c r="H56" s="72"/>
      <c r="I56" s="72"/>
      <c r="J56" s="113"/>
      <c r="K56" s="72"/>
      <c r="M56" s="115"/>
      <c r="N56" s="115"/>
      <c r="O56" s="116"/>
      <c r="P56" s="115"/>
    </row>
    <row r="57" spans="1:16">
      <c r="A57" s="76">
        <v>21</v>
      </c>
      <c r="C57" s="70" t="s">
        <v>92</v>
      </c>
      <c r="D57" s="71" t="s">
        <v>100</v>
      </c>
      <c r="E57" s="110"/>
      <c r="F57" s="72" t="s">
        <v>94</v>
      </c>
      <c r="H57" s="72"/>
      <c r="I57" s="72"/>
      <c r="J57" s="113"/>
      <c r="K57" s="72"/>
      <c r="M57" s="26">
        <f>+M47/365</f>
        <v>7.6712639603853813E-2</v>
      </c>
      <c r="N57" s="115"/>
      <c r="O57" s="116"/>
      <c r="P57" s="26">
        <f>+P47/365</f>
        <v>7.786966274466163E-2</v>
      </c>
    </row>
    <row r="58" spans="1:16">
      <c r="A58" s="76">
        <v>22</v>
      </c>
      <c r="C58" s="70" t="s">
        <v>95</v>
      </c>
      <c r="D58" s="71" t="s">
        <v>101</v>
      </c>
      <c r="E58" s="110"/>
      <c r="F58" s="72" t="s">
        <v>97</v>
      </c>
      <c r="H58" s="72"/>
      <c r="I58" s="72"/>
      <c r="J58" s="113"/>
      <c r="K58" s="72"/>
      <c r="M58" s="26">
        <f>+M47/8760*1000</f>
        <v>3.1963599834939087</v>
      </c>
      <c r="N58" s="115"/>
      <c r="O58" s="116"/>
      <c r="P58" s="26">
        <f>+P47/8760*1000</f>
        <v>3.2445692810275681</v>
      </c>
    </row>
    <row r="59" spans="1:16">
      <c r="A59" s="76"/>
      <c r="C59" s="70"/>
      <c r="D59" s="72" t="s">
        <v>102</v>
      </c>
      <c r="E59" s="72"/>
      <c r="F59" s="72" t="s">
        <v>98</v>
      </c>
      <c r="H59" s="72"/>
      <c r="I59" s="72"/>
      <c r="K59" s="72"/>
      <c r="M59" s="105"/>
      <c r="N59" s="105"/>
      <c r="O59" s="74"/>
      <c r="P59" s="105"/>
    </row>
    <row r="60" spans="1:16">
      <c r="A60" s="76"/>
      <c r="C60" s="70"/>
      <c r="D60" s="72"/>
      <c r="E60" s="72"/>
      <c r="F60" s="72"/>
      <c r="H60" s="72"/>
      <c r="I60" s="72"/>
      <c r="K60" s="72"/>
      <c r="M60" s="105"/>
      <c r="N60" s="105"/>
      <c r="O60" s="74"/>
      <c r="P60" s="105"/>
    </row>
    <row r="61" spans="1:16">
      <c r="A61" s="76">
        <v>23</v>
      </c>
      <c r="C61" s="70" t="s">
        <v>103</v>
      </c>
      <c r="D61" s="72" t="s">
        <v>104</v>
      </c>
      <c r="E61" s="1">
        <v>0</v>
      </c>
      <c r="F61" s="118" t="s">
        <v>105</v>
      </c>
      <c r="G61" s="118"/>
      <c r="H61" s="118"/>
      <c r="I61" s="118"/>
      <c r="J61" s="27">
        <f>E61</f>
        <v>0</v>
      </c>
      <c r="K61" s="118" t="s">
        <v>105</v>
      </c>
      <c r="M61" s="105"/>
      <c r="N61" s="105"/>
      <c r="O61" s="74"/>
      <c r="P61" s="105"/>
    </row>
    <row r="62" spans="1:16">
      <c r="A62" s="76">
        <v>24</v>
      </c>
      <c r="C62" s="70"/>
      <c r="D62" s="72"/>
      <c r="E62" s="1">
        <v>0</v>
      </c>
      <c r="F62" s="118" t="s">
        <v>106</v>
      </c>
      <c r="G62" s="118"/>
      <c r="H62" s="118"/>
      <c r="I62" s="118"/>
      <c r="J62" s="27">
        <f>E62</f>
        <v>0</v>
      </c>
      <c r="K62" s="118" t="s">
        <v>106</v>
      </c>
      <c r="M62" s="105"/>
      <c r="N62" s="105"/>
      <c r="O62" s="74"/>
      <c r="P62" s="105"/>
    </row>
    <row r="63" spans="1:16">
      <c r="A63" s="76"/>
      <c r="C63" s="70"/>
      <c r="D63" s="72"/>
      <c r="E63" s="72"/>
      <c r="F63" s="118"/>
      <c r="G63" s="118"/>
      <c r="H63" s="118"/>
      <c r="I63" s="118"/>
      <c r="J63" s="118"/>
      <c r="K63" s="118"/>
      <c r="M63" s="105"/>
      <c r="N63" s="105"/>
      <c r="O63" s="74"/>
      <c r="P63" s="105"/>
    </row>
    <row r="64" spans="1:16">
      <c r="A64" s="76"/>
      <c r="C64" s="70"/>
      <c r="D64" s="72"/>
      <c r="E64" s="72"/>
      <c r="F64" s="118"/>
      <c r="G64" s="118"/>
      <c r="H64" s="118"/>
      <c r="I64" s="118"/>
      <c r="J64" s="118"/>
      <c r="K64" s="118"/>
      <c r="M64" s="105"/>
      <c r="N64" s="105"/>
      <c r="O64" s="74"/>
      <c r="P64" s="105"/>
    </row>
    <row r="65" spans="1:16">
      <c r="A65" s="76"/>
      <c r="C65" s="70"/>
      <c r="D65" s="72"/>
      <c r="E65" s="72"/>
      <c r="F65" s="118"/>
      <c r="G65" s="118"/>
      <c r="H65" s="118"/>
      <c r="I65" s="118"/>
      <c r="J65" s="118"/>
      <c r="K65" s="118"/>
      <c r="M65" s="105"/>
      <c r="N65" s="105"/>
      <c r="O65" s="74"/>
      <c r="P65" s="105"/>
    </row>
    <row r="66" spans="1:16">
      <c r="A66" s="76"/>
      <c r="C66" s="70"/>
      <c r="D66" s="72"/>
      <c r="E66" s="119"/>
      <c r="F66" s="118"/>
      <c r="G66" s="118"/>
      <c r="H66" s="118"/>
      <c r="I66" s="118"/>
      <c r="J66" s="118"/>
      <c r="K66" s="118"/>
      <c r="M66" s="105"/>
      <c r="N66" s="105"/>
      <c r="O66" s="74"/>
      <c r="P66" s="68" t="s">
        <v>447</v>
      </c>
    </row>
    <row r="67" spans="1:16">
      <c r="C67" s="70" t="s">
        <v>26</v>
      </c>
      <c r="D67" s="70"/>
      <c r="E67" s="71" t="s">
        <v>0</v>
      </c>
      <c r="F67" s="70"/>
      <c r="G67" s="70"/>
      <c r="H67" s="70"/>
      <c r="I67" s="72"/>
      <c r="J67" s="105"/>
      <c r="K67" s="73"/>
      <c r="L67" s="74"/>
      <c r="P67" s="67" t="s">
        <v>107</v>
      </c>
    </row>
    <row r="68" spans="1:16">
      <c r="C68" s="70"/>
      <c r="D68" s="75" t="s">
        <v>3</v>
      </c>
      <c r="E68" s="75" t="s">
        <v>27</v>
      </c>
      <c r="F68" s="75"/>
      <c r="G68" s="75"/>
      <c r="H68" s="75"/>
      <c r="I68" s="72"/>
      <c r="J68" s="72"/>
      <c r="K68" s="72"/>
      <c r="N68" s="9" t="str">
        <f>N3</f>
        <v>For the 12 months ended 12/31/16</v>
      </c>
      <c r="O68" s="59"/>
      <c r="P68" s="55"/>
    </row>
    <row r="69" spans="1:16">
      <c r="C69" s="70"/>
      <c r="D69" s="75"/>
      <c r="E69" s="75"/>
      <c r="F69" s="75"/>
      <c r="G69" s="75"/>
      <c r="H69" s="75"/>
      <c r="I69" s="72"/>
      <c r="J69" s="72"/>
      <c r="K69" s="72"/>
    </row>
    <row r="70" spans="1:16" ht="31.2">
      <c r="C70" s="70"/>
      <c r="D70" s="72"/>
      <c r="E70" s="28" t="str">
        <f>E6</f>
        <v>Allete, Inc. dba Minnesota Power</v>
      </c>
      <c r="F70" s="75"/>
      <c r="G70" s="75"/>
      <c r="H70" s="75"/>
      <c r="I70" s="75"/>
      <c r="J70" s="75"/>
      <c r="K70" s="75"/>
    </row>
    <row r="71" spans="1:16">
      <c r="C71" s="76" t="s">
        <v>7</v>
      </c>
      <c r="D71" s="76" t="s">
        <v>8</v>
      </c>
      <c r="E71" s="76" t="s">
        <v>9</v>
      </c>
      <c r="F71" s="75" t="s">
        <v>3</v>
      </c>
      <c r="G71" s="75"/>
      <c r="H71" s="120" t="s">
        <v>10</v>
      </c>
      <c r="I71" s="75"/>
      <c r="J71" s="121" t="s">
        <v>108</v>
      </c>
      <c r="K71" s="75"/>
      <c r="L71" s="121" t="s">
        <v>109</v>
      </c>
      <c r="M71" s="121" t="s">
        <v>110</v>
      </c>
      <c r="O71" s="121" t="s">
        <v>111</v>
      </c>
      <c r="P71" s="121" t="s">
        <v>112</v>
      </c>
    </row>
    <row r="72" spans="1:16">
      <c r="C72" s="70"/>
      <c r="D72" s="122" t="s">
        <v>113</v>
      </c>
      <c r="E72" s="75"/>
      <c r="F72" s="75"/>
      <c r="G72" s="75"/>
      <c r="H72" s="76"/>
      <c r="I72" s="75"/>
      <c r="J72" s="123" t="s">
        <v>11</v>
      </c>
      <c r="K72" s="75"/>
      <c r="L72" s="81" t="s">
        <v>114</v>
      </c>
      <c r="M72" s="81" t="s">
        <v>30</v>
      </c>
      <c r="N72" s="81"/>
      <c r="O72" s="81" t="s">
        <v>115</v>
      </c>
      <c r="P72" s="81" t="s">
        <v>32</v>
      </c>
    </row>
    <row r="73" spans="1:16">
      <c r="A73" s="76" t="s">
        <v>1</v>
      </c>
      <c r="C73" s="70"/>
      <c r="D73" s="80" t="s">
        <v>12</v>
      </c>
      <c r="E73" s="124" t="s">
        <v>116</v>
      </c>
      <c r="F73" s="125"/>
      <c r="G73" s="124" t="s">
        <v>117</v>
      </c>
      <c r="H73" s="126"/>
      <c r="I73" s="127"/>
      <c r="J73" s="128" t="s">
        <v>118</v>
      </c>
      <c r="K73" s="75"/>
      <c r="L73" s="80" t="s">
        <v>4</v>
      </c>
      <c r="M73" s="126" t="s">
        <v>119</v>
      </c>
      <c r="O73" s="80" t="s">
        <v>4</v>
      </c>
      <c r="P73" s="126" t="s">
        <v>120</v>
      </c>
    </row>
    <row r="74" spans="1:16" ht="16.2" thickBot="1">
      <c r="A74" s="83" t="s">
        <v>2</v>
      </c>
      <c r="C74" s="129" t="s">
        <v>121</v>
      </c>
      <c r="D74" s="75"/>
      <c r="E74" s="75"/>
      <c r="F74" s="75"/>
      <c r="G74" s="75"/>
      <c r="H74" s="75"/>
      <c r="I74" s="75"/>
      <c r="J74" s="75"/>
      <c r="K74" s="75"/>
    </row>
    <row r="75" spans="1:16">
      <c r="A75" s="76"/>
      <c r="C75" s="70"/>
      <c r="D75" s="87"/>
      <c r="E75" s="75"/>
      <c r="F75" s="75"/>
      <c r="G75" s="75"/>
      <c r="H75" s="75"/>
      <c r="I75" s="75"/>
      <c r="J75" s="75"/>
      <c r="K75" s="75"/>
    </row>
    <row r="76" spans="1:16">
      <c r="A76" s="76"/>
      <c r="C76" s="70" t="s">
        <v>409</v>
      </c>
      <c r="D76" s="87"/>
      <c r="E76" s="75"/>
      <c r="F76" s="75"/>
      <c r="G76" s="75"/>
      <c r="H76" s="87"/>
      <c r="I76" s="75"/>
      <c r="J76" s="75"/>
      <c r="K76" s="75"/>
    </row>
    <row r="77" spans="1:16">
      <c r="A77" s="76">
        <v>1</v>
      </c>
      <c r="C77" s="70" t="s">
        <v>122</v>
      </c>
      <c r="D77" s="87" t="s">
        <v>123</v>
      </c>
      <c r="E77" s="56">
        <v>2696173936</v>
      </c>
      <c r="F77" s="75"/>
      <c r="G77" s="75" t="s">
        <v>124</v>
      </c>
      <c r="H77" s="130" t="s">
        <v>3</v>
      </c>
      <c r="I77" s="75"/>
      <c r="J77" s="75" t="s">
        <v>3</v>
      </c>
      <c r="K77" s="75"/>
    </row>
    <row r="78" spans="1:16" s="105" customFormat="1">
      <c r="A78" s="131">
        <v>2</v>
      </c>
      <c r="C78" s="132" t="s">
        <v>125</v>
      </c>
      <c r="D78" s="87" t="s">
        <v>126</v>
      </c>
      <c r="E78" s="56">
        <v>710656190</v>
      </c>
      <c r="F78" s="87"/>
      <c r="G78" s="87" t="s">
        <v>41</v>
      </c>
      <c r="H78" s="31">
        <f>J217</f>
        <v>0.85997322981173219</v>
      </c>
      <c r="I78" s="87"/>
      <c r="J78" s="18">
        <f>+H78*E78</f>
        <v>611145299</v>
      </c>
      <c r="K78" s="63"/>
      <c r="L78" s="134" t="s">
        <v>42</v>
      </c>
      <c r="M78" s="18">
        <f>J78-P78</f>
        <v>474459874</v>
      </c>
      <c r="N78" s="63"/>
      <c r="O78" s="134" t="s">
        <v>42</v>
      </c>
      <c r="P78" s="56">
        <v>136685425</v>
      </c>
    </row>
    <row r="79" spans="1:16">
      <c r="A79" s="76">
        <v>3</v>
      </c>
      <c r="C79" s="70" t="s">
        <v>127</v>
      </c>
      <c r="D79" s="87" t="s">
        <v>128</v>
      </c>
      <c r="E79" s="56">
        <v>546902934</v>
      </c>
      <c r="F79" s="75"/>
      <c r="G79" s="75" t="s">
        <v>124</v>
      </c>
      <c r="H79" s="130" t="s">
        <v>3</v>
      </c>
      <c r="I79" s="75"/>
      <c r="J79" s="89" t="s">
        <v>3</v>
      </c>
      <c r="K79" s="89"/>
      <c r="L79" s="135"/>
      <c r="M79" s="89"/>
      <c r="N79" s="89"/>
      <c r="O79" s="135"/>
      <c r="P79" s="89"/>
    </row>
    <row r="80" spans="1:16">
      <c r="A80" s="76">
        <v>4</v>
      </c>
      <c r="C80" s="70" t="s">
        <v>129</v>
      </c>
      <c r="D80" s="87" t="s">
        <v>130</v>
      </c>
      <c r="E80" s="56">
        <f>68976693+193980991</f>
        <v>262957684</v>
      </c>
      <c r="F80" s="75"/>
      <c r="G80" s="75" t="s">
        <v>131</v>
      </c>
      <c r="H80" s="29">
        <f>J243</f>
        <v>0.14606179061370184</v>
      </c>
      <c r="I80" s="75"/>
      <c r="J80" s="14">
        <f>+H80*E80</f>
        <v>38408070.180671975</v>
      </c>
      <c r="K80" s="89"/>
      <c r="L80" s="134" t="s">
        <v>132</v>
      </c>
      <c r="M80" s="18">
        <f>J80-P80</f>
        <v>29817930.643208273</v>
      </c>
      <c r="N80" s="63"/>
      <c r="O80" s="134" t="s">
        <v>133</v>
      </c>
      <c r="P80" s="14">
        <f>J80*$J$221</f>
        <v>8590139.5374637023</v>
      </c>
    </row>
    <row r="81" spans="1:16" ht="16.2" thickBot="1">
      <c r="A81" s="76">
        <v>5</v>
      </c>
      <c r="C81" s="70" t="s">
        <v>134</v>
      </c>
      <c r="D81" s="87" t="s">
        <v>135</v>
      </c>
      <c r="E81" s="398">
        <v>0</v>
      </c>
      <c r="F81" s="75"/>
      <c r="G81" s="75" t="s">
        <v>136</v>
      </c>
      <c r="H81" s="31">
        <f>L272</f>
        <v>0.14606179061370184</v>
      </c>
      <c r="I81" s="87"/>
      <c r="J81" s="438">
        <f>+H81*E81</f>
        <v>0</v>
      </c>
      <c r="K81" s="439"/>
      <c r="L81" s="437" t="s">
        <v>132</v>
      </c>
      <c r="M81" s="438">
        <f>J81-P81</f>
        <v>0</v>
      </c>
      <c r="N81" s="434"/>
      <c r="O81" s="437" t="s">
        <v>133</v>
      </c>
      <c r="P81" s="401">
        <f>J81*$J$221</f>
        <v>0</v>
      </c>
    </row>
    <row r="82" spans="1:16">
      <c r="A82" s="76">
        <v>6</v>
      </c>
      <c r="C82" s="70" t="s">
        <v>137</v>
      </c>
      <c r="D82" s="87"/>
      <c r="E82" s="14">
        <f>SUM(E77:E81)</f>
        <v>4216690744</v>
      </c>
      <c r="F82" s="75"/>
      <c r="G82" s="75" t="s">
        <v>138</v>
      </c>
      <c r="H82" s="33">
        <f>IF(J82&gt;0,J82/E82,0)</f>
        <v>0.15404339768215924</v>
      </c>
      <c r="I82" s="87"/>
      <c r="J82" s="18">
        <f>SUM(J77:J81)</f>
        <v>649553369.18067193</v>
      </c>
      <c r="K82" s="63"/>
      <c r="L82" s="134"/>
      <c r="M82" s="18">
        <f>SUM(M77:M81)</f>
        <v>504277804.64320827</v>
      </c>
      <c r="N82" s="63"/>
      <c r="O82" s="134"/>
      <c r="P82" s="18">
        <f>SUM(P78:P81)</f>
        <v>145275564.53746369</v>
      </c>
    </row>
    <row r="83" spans="1:16">
      <c r="C83" s="70"/>
      <c r="D83" s="87"/>
      <c r="E83" s="89"/>
      <c r="F83" s="75"/>
      <c r="G83" s="75"/>
      <c r="H83" s="137"/>
      <c r="I83" s="75"/>
      <c r="J83" s="89"/>
      <c r="K83" s="89"/>
      <c r="L83" s="134"/>
      <c r="M83" s="63"/>
      <c r="N83" s="63"/>
      <c r="O83" s="134"/>
      <c r="P83" s="89"/>
    </row>
    <row r="84" spans="1:16">
      <c r="C84" s="70" t="s">
        <v>410</v>
      </c>
      <c r="D84" s="87"/>
      <c r="E84" s="89"/>
      <c r="F84" s="75"/>
      <c r="G84" s="75"/>
      <c r="H84" s="75"/>
      <c r="I84" s="75"/>
      <c r="J84" s="89"/>
      <c r="K84" s="89"/>
      <c r="L84" s="134"/>
      <c r="M84" s="63"/>
      <c r="N84" s="63"/>
      <c r="O84" s="134"/>
      <c r="P84" s="89"/>
    </row>
    <row r="85" spans="1:16">
      <c r="A85" s="76">
        <v>7</v>
      </c>
      <c r="C85" s="8" t="str">
        <f>+C77</f>
        <v xml:space="preserve">  Production</v>
      </c>
      <c r="D85" s="87" t="s">
        <v>139</v>
      </c>
      <c r="E85" s="56">
        <v>745556124</v>
      </c>
      <c r="F85" s="75"/>
      <c r="G85" s="4" t="str">
        <f t="shared" ref="G85:H89" si="3">+G77</f>
        <v>NA</v>
      </c>
      <c r="H85" s="29" t="str">
        <f t="shared" si="3"/>
        <v xml:space="preserve"> </v>
      </c>
      <c r="I85" s="75"/>
      <c r="J85" s="89" t="s">
        <v>3</v>
      </c>
      <c r="K85" s="89"/>
      <c r="L85" s="134"/>
      <c r="M85" s="63"/>
      <c r="N85" s="63"/>
      <c r="O85" s="134"/>
      <c r="P85" s="89"/>
    </row>
    <row r="86" spans="1:16" s="105" customFormat="1">
      <c r="A86" s="131">
        <v>8</v>
      </c>
      <c r="C86" s="30" t="str">
        <f>+C78</f>
        <v xml:space="preserve">  Transmission</v>
      </c>
      <c r="D86" s="87" t="s">
        <v>140</v>
      </c>
      <c r="E86" s="56">
        <v>208563761</v>
      </c>
      <c r="F86" s="87"/>
      <c r="G86" s="13" t="str">
        <f t="shared" si="3"/>
        <v>TP</v>
      </c>
      <c r="H86" s="31">
        <f t="shared" si="3"/>
        <v>0.85997322981173219</v>
      </c>
      <c r="I86" s="87"/>
      <c r="J86" s="18">
        <f>+H86*E86</f>
        <v>179359251.16885218</v>
      </c>
      <c r="K86" s="63"/>
      <c r="L86" s="134" t="s">
        <v>42</v>
      </c>
      <c r="M86" s="35">
        <f>J86-P86</f>
        <v>121692247.16885218</v>
      </c>
      <c r="N86" s="138"/>
      <c r="O86" s="134" t="s">
        <v>42</v>
      </c>
      <c r="P86" s="61">
        <v>57667004</v>
      </c>
    </row>
    <row r="87" spans="1:16">
      <c r="A87" s="76">
        <v>9</v>
      </c>
      <c r="C87" s="8" t="str">
        <f>+C79</f>
        <v xml:space="preserve">  Distribution</v>
      </c>
      <c r="D87" s="87" t="s">
        <v>141</v>
      </c>
      <c r="E87" s="56">
        <v>228329540</v>
      </c>
      <c r="F87" s="75"/>
      <c r="G87" s="4" t="str">
        <f t="shared" si="3"/>
        <v>NA</v>
      </c>
      <c r="H87" s="29" t="str">
        <f t="shared" si="3"/>
        <v xml:space="preserve"> </v>
      </c>
      <c r="I87" s="75"/>
      <c r="J87" s="89" t="s">
        <v>3</v>
      </c>
      <c r="K87" s="89"/>
      <c r="L87" s="134"/>
      <c r="M87" s="138"/>
      <c r="N87" s="138"/>
      <c r="O87" s="134"/>
      <c r="P87" s="139"/>
    </row>
    <row r="88" spans="1:16">
      <c r="A88" s="76">
        <v>10</v>
      </c>
      <c r="C88" s="8" t="str">
        <f>+C80</f>
        <v xml:space="preserve">  General &amp; Intangible</v>
      </c>
      <c r="D88" s="87" t="s">
        <v>420</v>
      </c>
      <c r="E88" s="56">
        <f>103650894+42084574</f>
        <v>145735468</v>
      </c>
      <c r="F88" s="75"/>
      <c r="G88" s="4" t="str">
        <f t="shared" si="3"/>
        <v>W/S</v>
      </c>
      <c r="H88" s="29">
        <f t="shared" si="3"/>
        <v>0.14606179061370184</v>
      </c>
      <c r="I88" s="75"/>
      <c r="J88" s="14">
        <f>+H88*E88</f>
        <v>21286383.412005845</v>
      </c>
      <c r="K88" s="89"/>
      <c r="L88" s="134" t="s">
        <v>142</v>
      </c>
      <c r="M88" s="18">
        <f>J88-P88</f>
        <v>16525586.972691389</v>
      </c>
      <c r="N88" s="140"/>
      <c r="O88" s="134" t="s">
        <v>133</v>
      </c>
      <c r="P88" s="14">
        <f>J88*$J$221</f>
        <v>4760796.4393144567</v>
      </c>
    </row>
    <row r="89" spans="1:16" ht="16.2" thickBot="1">
      <c r="A89" s="76">
        <v>11</v>
      </c>
      <c r="C89" s="8" t="str">
        <f>+C81</f>
        <v xml:space="preserve">  Common</v>
      </c>
      <c r="D89" s="87" t="s">
        <v>135</v>
      </c>
      <c r="E89" s="398">
        <v>0</v>
      </c>
      <c r="F89" s="75"/>
      <c r="G89" s="4" t="str">
        <f t="shared" si="3"/>
        <v>CE</v>
      </c>
      <c r="H89" s="29">
        <f t="shared" si="3"/>
        <v>0.14606179061370184</v>
      </c>
      <c r="I89" s="75"/>
      <c r="J89" s="401">
        <f>+H89*E89</f>
        <v>0</v>
      </c>
      <c r="K89" s="430"/>
      <c r="L89" s="437" t="s">
        <v>132</v>
      </c>
      <c r="M89" s="438">
        <f>J89-P89</f>
        <v>0</v>
      </c>
      <c r="N89" s="434"/>
      <c r="O89" s="437" t="s">
        <v>133</v>
      </c>
      <c r="P89" s="401">
        <f>J89*$J$221</f>
        <v>0</v>
      </c>
    </row>
    <row r="90" spans="1:16">
      <c r="A90" s="76">
        <v>12</v>
      </c>
      <c r="C90" s="70" t="s">
        <v>143</v>
      </c>
      <c r="D90" s="87"/>
      <c r="E90" s="14">
        <f>SUM(E85:E89)</f>
        <v>1328184893</v>
      </c>
      <c r="F90" s="75"/>
      <c r="G90" s="75"/>
      <c r="H90" s="75"/>
      <c r="I90" s="75"/>
      <c r="J90" s="14">
        <f>SUM(J85:J89)</f>
        <v>200645634.58085802</v>
      </c>
      <c r="K90" s="89"/>
      <c r="L90" s="135"/>
      <c r="M90" s="35">
        <f>SUM(M86:M89)</f>
        <v>138217834.14154357</v>
      </c>
      <c r="N90" s="138"/>
      <c r="O90" s="134"/>
      <c r="P90" s="35">
        <f>SUM(P86:P89)</f>
        <v>62427800.439314455</v>
      </c>
    </row>
    <row r="91" spans="1:16">
      <c r="A91" s="76"/>
      <c r="D91" s="87" t="s">
        <v>3</v>
      </c>
      <c r="E91" s="89"/>
      <c r="F91" s="75"/>
      <c r="G91" s="75"/>
      <c r="H91" s="137"/>
      <c r="I91" s="75"/>
      <c r="J91" s="89"/>
      <c r="K91" s="89"/>
      <c r="L91" s="135"/>
      <c r="M91" s="89"/>
      <c r="N91" s="89"/>
      <c r="O91" s="135"/>
      <c r="P91" s="89"/>
    </row>
    <row r="92" spans="1:16">
      <c r="A92" s="76"/>
      <c r="C92" s="70" t="s">
        <v>144</v>
      </c>
      <c r="D92" s="87"/>
      <c r="E92" s="89"/>
      <c r="F92" s="75"/>
      <c r="G92" s="75"/>
      <c r="H92" s="75"/>
      <c r="I92" s="75"/>
      <c r="J92" s="89"/>
      <c r="K92" s="89"/>
      <c r="L92" s="135"/>
      <c r="M92" s="89"/>
      <c r="N92" s="89"/>
      <c r="O92" s="135"/>
      <c r="P92" s="89"/>
    </row>
    <row r="93" spans="1:16">
      <c r="A93" s="76">
        <v>13</v>
      </c>
      <c r="C93" s="8" t="str">
        <f>+C85</f>
        <v xml:space="preserve">  Production</v>
      </c>
      <c r="D93" s="87" t="s">
        <v>145</v>
      </c>
      <c r="E93" s="14">
        <f>E77-E85</f>
        <v>1950617812</v>
      </c>
      <c r="F93" s="75"/>
      <c r="G93" s="75"/>
      <c r="H93" s="137"/>
      <c r="I93" s="75"/>
      <c r="J93" s="89" t="s">
        <v>3</v>
      </c>
      <c r="K93" s="89"/>
      <c r="L93" s="135"/>
      <c r="M93" s="89"/>
      <c r="N93" s="89"/>
      <c r="O93" s="135"/>
      <c r="P93" s="89"/>
    </row>
    <row r="94" spans="1:16" s="105" customFormat="1">
      <c r="A94" s="131">
        <v>14</v>
      </c>
      <c r="C94" s="30" t="str">
        <f>+C86</f>
        <v xml:space="preserve">  Transmission</v>
      </c>
      <c r="D94" s="87" t="s">
        <v>146</v>
      </c>
      <c r="E94" s="18">
        <f>E78-E86</f>
        <v>502092429</v>
      </c>
      <c r="F94" s="87"/>
      <c r="G94" s="87"/>
      <c r="H94" s="133"/>
      <c r="I94" s="87"/>
      <c r="J94" s="18">
        <f>J78-J86</f>
        <v>431786047.83114779</v>
      </c>
      <c r="K94" s="63"/>
      <c r="L94" s="134"/>
      <c r="M94" s="18">
        <f>M78-M86</f>
        <v>352767626.83114779</v>
      </c>
      <c r="N94" s="63"/>
      <c r="O94" s="134"/>
      <c r="P94" s="18">
        <f>P78-P86</f>
        <v>79018421</v>
      </c>
    </row>
    <row r="95" spans="1:16">
      <c r="A95" s="76">
        <v>15</v>
      </c>
      <c r="C95" s="8" t="str">
        <f>+C87</f>
        <v xml:space="preserve">  Distribution</v>
      </c>
      <c r="D95" s="87" t="s">
        <v>147</v>
      </c>
      <c r="E95" s="14">
        <f>E79-E87</f>
        <v>318573394</v>
      </c>
      <c r="F95" s="75"/>
      <c r="G95" s="75"/>
      <c r="H95" s="137"/>
      <c r="I95" s="75"/>
      <c r="J95" s="89" t="s">
        <v>3</v>
      </c>
      <c r="K95" s="89"/>
      <c r="L95" s="135"/>
      <c r="M95" s="89" t="s">
        <v>3</v>
      </c>
      <c r="N95" s="89"/>
      <c r="O95" s="135"/>
      <c r="P95" s="89" t="s">
        <v>3</v>
      </c>
    </row>
    <row r="96" spans="1:16">
      <c r="A96" s="76">
        <v>16</v>
      </c>
      <c r="C96" s="8" t="str">
        <f>+C88</f>
        <v xml:space="preserve">  General &amp; Intangible</v>
      </c>
      <c r="D96" s="87" t="s">
        <v>148</v>
      </c>
      <c r="E96" s="14">
        <f>E80-E88</f>
        <v>117222216</v>
      </c>
      <c r="F96" s="75"/>
      <c r="G96" s="75"/>
      <c r="H96" s="137"/>
      <c r="I96" s="75"/>
      <c r="J96" s="14">
        <f>J80-J88</f>
        <v>17121686.76866613</v>
      </c>
      <c r="K96" s="89"/>
      <c r="L96" s="135"/>
      <c r="M96" s="14">
        <f>M80-M88</f>
        <v>13292343.670516884</v>
      </c>
      <c r="N96" s="89"/>
      <c r="O96" s="135"/>
      <c r="P96" s="14">
        <f>P80-P88</f>
        <v>3829343.0981492456</v>
      </c>
    </row>
    <row r="97" spans="1:18" ht="16.2" thickBot="1">
      <c r="A97" s="76">
        <v>17</v>
      </c>
      <c r="C97" s="8" t="str">
        <f>+C89</f>
        <v xml:space="preserve">  Common</v>
      </c>
      <c r="D97" s="87" t="s">
        <v>149</v>
      </c>
      <c r="E97" s="16">
        <f>E81-E89</f>
        <v>0</v>
      </c>
      <c r="F97" s="75"/>
      <c r="G97" s="75"/>
      <c r="H97" s="137"/>
      <c r="I97" s="75"/>
      <c r="J97" s="401">
        <f>J81-J89</f>
        <v>0</v>
      </c>
      <c r="K97" s="430"/>
      <c r="L97" s="431"/>
      <c r="M97" s="401">
        <f>M81-M89</f>
        <v>0</v>
      </c>
      <c r="N97" s="432"/>
      <c r="O97" s="433"/>
      <c r="P97" s="438">
        <f>P81-P89</f>
        <v>0</v>
      </c>
    </row>
    <row r="98" spans="1:18">
      <c r="A98" s="76">
        <v>18</v>
      </c>
      <c r="C98" s="70" t="s">
        <v>150</v>
      </c>
      <c r="D98" s="87"/>
      <c r="E98" s="14">
        <f>SUM(E93:E97)</f>
        <v>2888505851</v>
      </c>
      <c r="F98" s="75"/>
      <c r="G98" s="75" t="s">
        <v>151</v>
      </c>
      <c r="H98" s="34">
        <f>IF(J98&gt;0,J98/E98,0)</f>
        <v>0.15541174494917578</v>
      </c>
      <c r="I98" s="75"/>
      <c r="J98" s="14">
        <f>SUM(J93:J97)</f>
        <v>448907734.59981394</v>
      </c>
      <c r="K98" s="89"/>
      <c r="L98" s="135"/>
      <c r="M98" s="18">
        <f>SUM(M94:M97)</f>
        <v>366059970.5016647</v>
      </c>
      <c r="N98" s="63"/>
      <c r="O98" s="134"/>
      <c r="P98" s="18">
        <f>SUM(P94:P97)</f>
        <v>82847764.09814924</v>
      </c>
    </row>
    <row r="99" spans="1:18">
      <c r="A99" s="76"/>
      <c r="C99" s="70"/>
      <c r="D99" s="87"/>
      <c r="E99" s="89"/>
      <c r="F99" s="75"/>
      <c r="G99" s="75"/>
      <c r="H99" s="137"/>
      <c r="I99" s="75"/>
      <c r="J99" s="89"/>
      <c r="K99" s="89"/>
      <c r="L99" s="135"/>
      <c r="M99" s="63"/>
      <c r="N99" s="63"/>
      <c r="O99" s="134"/>
      <c r="P99" s="63"/>
    </row>
    <row r="100" spans="1:18">
      <c r="A100" s="76" t="s">
        <v>383</v>
      </c>
      <c r="C100" s="143" t="s">
        <v>384</v>
      </c>
      <c r="D100" s="144"/>
      <c r="E100" s="89"/>
      <c r="F100" s="75"/>
      <c r="G100" s="75"/>
      <c r="H100" s="137"/>
      <c r="I100" s="75"/>
      <c r="J100" s="89"/>
      <c r="K100" s="89"/>
      <c r="L100" s="135"/>
      <c r="M100" s="63"/>
      <c r="N100" s="63"/>
      <c r="O100" s="134"/>
      <c r="P100" s="63"/>
    </row>
    <row r="101" spans="1:18">
      <c r="A101" s="76"/>
      <c r="C101" s="145" t="s">
        <v>392</v>
      </c>
      <c r="D101" s="146" t="s">
        <v>393</v>
      </c>
      <c r="E101" s="399">
        <v>0</v>
      </c>
      <c r="F101" s="75"/>
      <c r="G101" s="147" t="s">
        <v>3</v>
      </c>
      <c r="H101" s="148">
        <v>1</v>
      </c>
      <c r="I101" s="94"/>
      <c r="J101" s="404">
        <f>+H101*E101</f>
        <v>0</v>
      </c>
      <c r="K101" s="434"/>
      <c r="L101" s="435" t="s">
        <v>42</v>
      </c>
      <c r="M101" s="436">
        <f>J101-P101</f>
        <v>0</v>
      </c>
      <c r="N101" s="136"/>
      <c r="O101" s="149" t="s">
        <v>42</v>
      </c>
      <c r="P101" s="405">
        <v>0</v>
      </c>
    </row>
    <row r="102" spans="1:18">
      <c r="A102" s="76"/>
      <c r="C102" s="150"/>
      <c r="D102" s="151"/>
      <c r="E102" s="89"/>
      <c r="F102" s="75"/>
      <c r="I102" s="75"/>
      <c r="J102" s="89"/>
      <c r="K102" s="89"/>
      <c r="L102" s="135"/>
      <c r="M102" s="89"/>
      <c r="N102" s="89"/>
      <c r="O102" s="135"/>
      <c r="P102" s="89"/>
    </row>
    <row r="103" spans="1:18">
      <c r="A103" s="76" t="s">
        <v>454</v>
      </c>
      <c r="C103" s="152" t="s">
        <v>448</v>
      </c>
      <c r="D103" s="151" t="s">
        <v>393</v>
      </c>
      <c r="E103" s="62">
        <v>14479386</v>
      </c>
      <c r="F103" s="75"/>
      <c r="H103" s="148">
        <v>1</v>
      </c>
      <c r="I103" s="75"/>
      <c r="J103" s="18">
        <f>+H103*E103</f>
        <v>14479386</v>
      </c>
      <c r="K103" s="89"/>
      <c r="L103" s="149" t="s">
        <v>42</v>
      </c>
      <c r="M103" s="7">
        <f>J103-P103</f>
        <v>14479386</v>
      </c>
      <c r="N103" s="89"/>
      <c r="O103" s="149" t="s">
        <v>42</v>
      </c>
      <c r="P103" s="405">
        <v>0</v>
      </c>
    </row>
    <row r="104" spans="1:18">
      <c r="A104" s="76"/>
      <c r="C104" s="150"/>
      <c r="D104" s="151"/>
      <c r="E104" s="89"/>
      <c r="F104" s="75"/>
      <c r="I104" s="75"/>
      <c r="J104" s="89"/>
      <c r="K104" s="89"/>
      <c r="L104" s="135"/>
      <c r="M104" s="89"/>
      <c r="N104" s="89"/>
      <c r="O104" s="135"/>
      <c r="P104" s="89"/>
    </row>
    <row r="105" spans="1:18">
      <c r="A105" s="76"/>
      <c r="C105" s="70" t="s">
        <v>152</v>
      </c>
      <c r="D105" s="87"/>
      <c r="E105" s="89"/>
      <c r="F105" s="75"/>
      <c r="G105" s="75"/>
      <c r="H105" s="75"/>
      <c r="I105" s="75"/>
      <c r="J105" s="430"/>
      <c r="K105" s="430"/>
      <c r="L105" s="431"/>
      <c r="M105" s="430"/>
      <c r="N105" s="430"/>
      <c r="O105" s="431"/>
      <c r="P105" s="430"/>
    </row>
    <row r="106" spans="1:18">
      <c r="A106" s="76">
        <v>19</v>
      </c>
      <c r="C106" s="132" t="s">
        <v>153</v>
      </c>
      <c r="D106" s="87" t="s">
        <v>154</v>
      </c>
      <c r="E106" s="62">
        <v>-87704886</v>
      </c>
      <c r="F106" s="87"/>
      <c r="G106" s="13" t="str">
        <f>+G85</f>
        <v>NA</v>
      </c>
      <c r="H106" s="153" t="s">
        <v>155</v>
      </c>
      <c r="I106" s="75"/>
      <c r="J106" s="430">
        <v>0</v>
      </c>
      <c r="K106" s="430"/>
      <c r="L106" s="431" t="s">
        <v>3</v>
      </c>
      <c r="M106" s="432">
        <v>0</v>
      </c>
      <c r="N106" s="432"/>
      <c r="O106" s="433"/>
      <c r="P106" s="432">
        <v>0</v>
      </c>
    </row>
    <row r="107" spans="1:18">
      <c r="A107" s="76">
        <v>20</v>
      </c>
      <c r="C107" s="132" t="s">
        <v>156</v>
      </c>
      <c r="D107" s="87" t="s">
        <v>157</v>
      </c>
      <c r="E107" s="62">
        <v>-731950697</v>
      </c>
      <c r="F107" s="75"/>
      <c r="G107" s="75" t="s">
        <v>158</v>
      </c>
      <c r="H107" s="29">
        <f>+H98</f>
        <v>0.15541174494917578</v>
      </c>
      <c r="I107" s="75"/>
      <c r="J107" s="14">
        <f t="shared" ref="J107:J112" si="4">E107*H107</f>
        <v>-113753735.03753544</v>
      </c>
      <c r="K107" s="89"/>
      <c r="L107" s="134" t="s">
        <v>159</v>
      </c>
      <c r="M107" s="7">
        <f t="shared" ref="M107:M112" si="5">J107-P107</f>
        <v>-92760016.553102329</v>
      </c>
      <c r="N107" s="136"/>
      <c r="O107" s="149" t="s">
        <v>160</v>
      </c>
      <c r="P107" s="36">
        <f>J107*$J$225</f>
        <v>-20993718.484433118</v>
      </c>
      <c r="R107" s="154"/>
    </row>
    <row r="108" spans="1:18">
      <c r="A108" s="76">
        <v>21</v>
      </c>
      <c r="C108" s="132" t="s">
        <v>161</v>
      </c>
      <c r="D108" s="87" t="s">
        <v>162</v>
      </c>
      <c r="E108" s="62">
        <v>-102746421</v>
      </c>
      <c r="F108" s="75"/>
      <c r="G108" s="75" t="s">
        <v>158</v>
      </c>
      <c r="H108" s="29">
        <f>+H107</f>
        <v>0.15541174494917578</v>
      </c>
      <c r="I108" s="75"/>
      <c r="J108" s="14">
        <f t="shared" si="4"/>
        <v>-15968000.574892638</v>
      </c>
      <c r="K108" s="89"/>
      <c r="L108" s="134" t="s">
        <v>159</v>
      </c>
      <c r="M108" s="7">
        <f t="shared" si="5"/>
        <v>-13021040.558872532</v>
      </c>
      <c r="N108" s="136"/>
      <c r="O108" s="149" t="s">
        <v>160</v>
      </c>
      <c r="P108" s="36">
        <f>J108*$J$225</f>
        <v>-2946960.0160201052</v>
      </c>
      <c r="R108" s="154"/>
    </row>
    <row r="109" spans="1:18">
      <c r="A109" s="76">
        <v>22</v>
      </c>
      <c r="C109" s="132" t="s">
        <v>163</v>
      </c>
      <c r="D109" s="87" t="s">
        <v>164</v>
      </c>
      <c r="E109" s="62">
        <v>483266723</v>
      </c>
      <c r="F109" s="75"/>
      <c r="G109" s="4" t="str">
        <f>+G108</f>
        <v>NP</v>
      </c>
      <c r="H109" s="29">
        <f>+H108</f>
        <v>0.15541174494917578</v>
      </c>
      <c r="I109" s="75"/>
      <c r="J109" s="14">
        <f t="shared" si="4"/>
        <v>75105324.697299987</v>
      </c>
      <c r="K109" s="89"/>
      <c r="L109" s="134" t="s">
        <v>159</v>
      </c>
      <c r="M109" s="7">
        <f t="shared" si="5"/>
        <v>61244328.899168357</v>
      </c>
      <c r="N109" s="136"/>
      <c r="O109" s="149" t="s">
        <v>160</v>
      </c>
      <c r="P109" s="36">
        <f>J109*$J$225</f>
        <v>13860995.798131634</v>
      </c>
      <c r="R109" s="154"/>
    </row>
    <row r="110" spans="1:18">
      <c r="A110" s="76">
        <v>23</v>
      </c>
      <c r="C110" s="105" t="s">
        <v>165</v>
      </c>
      <c r="D110" s="105" t="s">
        <v>166</v>
      </c>
      <c r="E110" s="406">
        <v>0</v>
      </c>
      <c r="F110" s="75"/>
      <c r="G110" s="75" t="s">
        <v>158</v>
      </c>
      <c r="H110" s="29">
        <f>+H108</f>
        <v>0.15541174494917578</v>
      </c>
      <c r="I110" s="75"/>
      <c r="J110" s="448">
        <f t="shared" si="4"/>
        <v>0</v>
      </c>
      <c r="K110" s="89"/>
      <c r="L110" s="134" t="s">
        <v>159</v>
      </c>
      <c r="M110" s="436">
        <f t="shared" si="5"/>
        <v>0</v>
      </c>
      <c r="N110" s="434"/>
      <c r="O110" s="435" t="s">
        <v>160</v>
      </c>
      <c r="P110" s="448">
        <f>J110*$J$225</f>
        <v>0</v>
      </c>
      <c r="R110" s="154"/>
    </row>
    <row r="111" spans="1:18">
      <c r="A111" s="76" t="s">
        <v>385</v>
      </c>
      <c r="C111" s="105" t="s">
        <v>399</v>
      </c>
      <c r="D111" s="105"/>
      <c r="E111" s="2">
        <v>-11377887</v>
      </c>
      <c r="F111" s="75"/>
      <c r="G111" s="75"/>
      <c r="H111" s="130">
        <v>1</v>
      </c>
      <c r="I111" s="75"/>
      <c r="J111" s="448">
        <f t="shared" si="4"/>
        <v>-11377887</v>
      </c>
      <c r="K111" s="89"/>
      <c r="L111" s="134" t="s">
        <v>42</v>
      </c>
      <c r="M111" s="7">
        <f t="shared" si="5"/>
        <v>-11377887</v>
      </c>
      <c r="N111" s="136"/>
      <c r="O111" s="149" t="s">
        <v>42</v>
      </c>
      <c r="P111" s="403">
        <v>0</v>
      </c>
      <c r="R111" s="154"/>
    </row>
    <row r="112" spans="1:18">
      <c r="A112" s="76" t="s">
        <v>395</v>
      </c>
      <c r="C112" s="105" t="s">
        <v>400</v>
      </c>
      <c r="D112" s="105"/>
      <c r="E112" s="406">
        <v>0</v>
      </c>
      <c r="F112" s="75"/>
      <c r="G112" s="75" t="s">
        <v>3</v>
      </c>
      <c r="H112" s="130">
        <v>1</v>
      </c>
      <c r="I112" s="75"/>
      <c r="J112" s="448">
        <f t="shared" si="4"/>
        <v>0</v>
      </c>
      <c r="K112" s="89"/>
      <c r="L112" s="134" t="s">
        <v>42</v>
      </c>
      <c r="M112" s="7">
        <f t="shared" si="5"/>
        <v>0</v>
      </c>
      <c r="N112" s="136"/>
      <c r="O112" s="149" t="s">
        <v>42</v>
      </c>
      <c r="P112" s="403">
        <v>0</v>
      </c>
      <c r="R112" s="154"/>
    </row>
    <row r="113" spans="1:18">
      <c r="A113" s="76" t="s">
        <v>449</v>
      </c>
      <c r="C113" s="105" t="s">
        <v>450</v>
      </c>
      <c r="D113" s="105" t="s">
        <v>451</v>
      </c>
      <c r="E113" s="2">
        <v>-1655468</v>
      </c>
      <c r="F113" s="75"/>
      <c r="G113" s="75"/>
      <c r="H113" s="130">
        <v>1</v>
      </c>
      <c r="I113" s="75"/>
      <c r="J113" s="448">
        <f t="shared" ref="J113" si="6">E113*H113</f>
        <v>-1655468</v>
      </c>
      <c r="K113" s="89"/>
      <c r="L113" s="134" t="s">
        <v>42</v>
      </c>
      <c r="M113" s="7">
        <f t="shared" ref="M113" si="7">J113-P113</f>
        <v>-1655468</v>
      </c>
      <c r="N113" s="136"/>
      <c r="O113" s="149" t="s">
        <v>42</v>
      </c>
      <c r="P113" s="403">
        <v>0</v>
      </c>
      <c r="R113" s="154"/>
    </row>
    <row r="114" spans="1:18">
      <c r="A114" s="76" t="s">
        <v>452</v>
      </c>
      <c r="C114" s="105" t="s">
        <v>453</v>
      </c>
      <c r="D114" s="105" t="s">
        <v>451</v>
      </c>
      <c r="E114" s="406">
        <v>0</v>
      </c>
      <c r="F114" s="75"/>
      <c r="G114" s="75"/>
      <c r="H114" s="130">
        <v>1</v>
      </c>
      <c r="I114" s="75"/>
      <c r="J114" s="448">
        <f t="shared" ref="J114" si="8">E114*H114</f>
        <v>0</v>
      </c>
      <c r="K114" s="89"/>
      <c r="L114" s="134" t="s">
        <v>42</v>
      </c>
      <c r="M114" s="7">
        <f t="shared" ref="M114" si="9">J114-P114</f>
        <v>0</v>
      </c>
      <c r="N114" s="136"/>
      <c r="O114" s="149" t="s">
        <v>42</v>
      </c>
      <c r="P114" s="403">
        <v>0</v>
      </c>
      <c r="R114" s="154"/>
    </row>
    <row r="115" spans="1:18">
      <c r="A115" s="76"/>
      <c r="C115" s="105"/>
      <c r="D115" s="105"/>
      <c r="E115" s="108"/>
      <c r="F115" s="75"/>
      <c r="G115" s="75"/>
      <c r="H115" s="130"/>
      <c r="I115" s="75"/>
      <c r="J115" s="141"/>
      <c r="K115" s="89"/>
      <c r="L115" s="134"/>
      <c r="M115" s="136"/>
      <c r="N115" s="136"/>
      <c r="O115" s="149"/>
      <c r="P115" s="141"/>
      <c r="R115" s="154"/>
    </row>
    <row r="116" spans="1:18">
      <c r="A116" s="76">
        <v>24</v>
      </c>
      <c r="C116" s="70" t="s">
        <v>464</v>
      </c>
      <c r="D116" s="87"/>
      <c r="E116" s="14">
        <f>SUM(E106:E114)</f>
        <v>-452168636</v>
      </c>
      <c r="F116" s="75"/>
      <c r="G116" s="75"/>
      <c r="H116" s="89" t="s">
        <v>3</v>
      </c>
      <c r="I116" s="75"/>
      <c r="J116" s="14">
        <f>SUM(J106:J114)</f>
        <v>-67649765.915128097</v>
      </c>
      <c r="K116" s="89"/>
      <c r="L116" s="134"/>
      <c r="M116" s="14">
        <f>SUM(M106:M114)</f>
        <v>-57570083.212806508</v>
      </c>
      <c r="N116" s="63"/>
      <c r="O116" s="134"/>
      <c r="P116" s="14">
        <f>SUM(P106:P114)</f>
        <v>-10079682.702321589</v>
      </c>
      <c r="R116" s="154"/>
    </row>
    <row r="117" spans="1:18">
      <c r="A117" s="76"/>
      <c r="D117" s="87"/>
      <c r="E117" s="89"/>
      <c r="F117" s="75"/>
      <c r="G117" s="75"/>
      <c r="H117" s="137"/>
      <c r="I117" s="75"/>
      <c r="J117" s="89"/>
      <c r="K117" s="89"/>
      <c r="L117" s="134"/>
      <c r="M117" s="63"/>
      <c r="N117" s="63"/>
      <c r="O117" s="134"/>
      <c r="P117" s="89"/>
    </row>
    <row r="118" spans="1:18">
      <c r="A118" s="76">
        <v>25</v>
      </c>
      <c r="C118" s="70" t="s">
        <v>167</v>
      </c>
      <c r="D118" s="87" t="s">
        <v>168</v>
      </c>
      <c r="E118" s="56">
        <v>19426</v>
      </c>
      <c r="F118" s="75"/>
      <c r="G118" s="4" t="str">
        <f>+G86</f>
        <v>TP</v>
      </c>
      <c r="H118" s="29">
        <f>+H86</f>
        <v>0.85997322981173219</v>
      </c>
      <c r="I118" s="75"/>
      <c r="J118" s="14">
        <f>+H118*E118</f>
        <v>16705.839962322709</v>
      </c>
      <c r="K118" s="89"/>
      <c r="L118" s="134" t="s">
        <v>42</v>
      </c>
      <c r="M118" s="18">
        <f>J118-P118</f>
        <v>16705.839962322709</v>
      </c>
      <c r="N118" s="63"/>
      <c r="O118" s="134" t="s">
        <v>42</v>
      </c>
      <c r="P118" s="397">
        <v>0</v>
      </c>
    </row>
    <row r="119" spans="1:18">
      <c r="A119" s="76"/>
      <c r="C119" s="70"/>
      <c r="D119" s="75"/>
      <c r="E119" s="89"/>
      <c r="F119" s="75"/>
      <c r="G119" s="75"/>
      <c r="H119" s="75"/>
      <c r="I119" s="75"/>
      <c r="J119" s="89"/>
      <c r="K119" s="89"/>
      <c r="L119" s="134"/>
      <c r="M119" s="63"/>
      <c r="N119" s="63"/>
      <c r="O119" s="134"/>
      <c r="P119" s="89"/>
    </row>
    <row r="120" spans="1:18">
      <c r="A120" s="76"/>
      <c r="C120" s="70" t="s">
        <v>169</v>
      </c>
      <c r="D120" s="75" t="s">
        <v>3</v>
      </c>
      <c r="E120" s="89"/>
      <c r="F120" s="75"/>
      <c r="G120" s="75"/>
      <c r="H120" s="75"/>
      <c r="I120" s="75"/>
      <c r="J120" s="89"/>
      <c r="K120" s="89"/>
      <c r="L120" s="134"/>
      <c r="M120" s="63"/>
      <c r="N120" s="63"/>
      <c r="O120" s="134"/>
      <c r="P120" s="89"/>
    </row>
    <row r="121" spans="1:18">
      <c r="A121" s="76">
        <v>26</v>
      </c>
      <c r="C121" s="70" t="s">
        <v>170</v>
      </c>
      <c r="D121" s="64" t="s">
        <v>171</v>
      </c>
      <c r="E121" s="14">
        <f>+E151/8</f>
        <v>10515272.875</v>
      </c>
      <c r="F121" s="75"/>
      <c r="G121" s="75"/>
      <c r="H121" s="137"/>
      <c r="I121" s="75"/>
      <c r="J121" s="14">
        <f>+J151/8</f>
        <v>3100168.5791585888</v>
      </c>
      <c r="K121" s="107"/>
      <c r="L121" s="134" t="s">
        <v>3</v>
      </c>
      <c r="M121" s="14">
        <f>+M151/8</f>
        <v>2729023.1777521414</v>
      </c>
      <c r="N121" s="136"/>
      <c r="O121" s="134" t="s">
        <v>3</v>
      </c>
      <c r="P121" s="14">
        <f>+P151/8</f>
        <v>371145.40140644769</v>
      </c>
    </row>
    <row r="122" spans="1:18" s="105" customFormat="1">
      <c r="A122" s="131">
        <v>27</v>
      </c>
      <c r="C122" s="132" t="s">
        <v>172</v>
      </c>
      <c r="D122" s="87" t="s">
        <v>173</v>
      </c>
      <c r="E122" s="56">
        <v>3357913</v>
      </c>
      <c r="F122" s="87"/>
      <c r="G122" s="87" t="s">
        <v>174</v>
      </c>
      <c r="H122" s="31">
        <f>J235</f>
        <v>0.80531782322689127</v>
      </c>
      <c r="I122" s="87"/>
      <c r="J122" s="18">
        <f>+H122*E122</f>
        <v>2704187.1877452801</v>
      </c>
      <c r="K122" s="63" t="s">
        <v>3</v>
      </c>
      <c r="L122" s="134" t="s">
        <v>142</v>
      </c>
      <c r="M122" s="7">
        <f>J122-P122</f>
        <v>2099383.4272625893</v>
      </c>
      <c r="N122" s="136"/>
      <c r="O122" s="149" t="s">
        <v>133</v>
      </c>
      <c r="P122" s="36">
        <f>J122*$J$221</f>
        <v>604803.76048269076</v>
      </c>
    </row>
    <row r="123" spans="1:18" ht="16.2" thickBot="1">
      <c r="A123" s="76">
        <v>28</v>
      </c>
      <c r="C123" s="70" t="s">
        <v>175</v>
      </c>
      <c r="D123" s="75" t="s">
        <v>176</v>
      </c>
      <c r="E123" s="60">
        <v>9349750</v>
      </c>
      <c r="F123" s="75"/>
      <c r="G123" s="75" t="s">
        <v>177</v>
      </c>
      <c r="H123" s="29">
        <f>+H82</f>
        <v>0.15404339768215924</v>
      </c>
      <c r="I123" s="75"/>
      <c r="J123" s="16">
        <f>+H123*E123</f>
        <v>1440267.2574787685</v>
      </c>
      <c r="K123" s="89"/>
      <c r="L123" s="134" t="s">
        <v>142</v>
      </c>
      <c r="M123" s="19">
        <f>J123-P123</f>
        <v>1118144.9364461233</v>
      </c>
      <c r="N123" s="136"/>
      <c r="O123" s="149" t="s">
        <v>133</v>
      </c>
      <c r="P123" s="21">
        <f>J123*$J$221</f>
        <v>322122.32103264512</v>
      </c>
    </row>
    <row r="124" spans="1:18">
      <c r="A124" s="76">
        <v>29</v>
      </c>
      <c r="C124" s="70" t="s">
        <v>178</v>
      </c>
      <c r="D124" s="72"/>
      <c r="E124" s="14">
        <f>E121+E122+E123</f>
        <v>23222935.875</v>
      </c>
      <c r="F124" s="72"/>
      <c r="G124" s="72"/>
      <c r="H124" s="72"/>
      <c r="I124" s="72"/>
      <c r="J124" s="14">
        <f>J121+J122+J123</f>
        <v>7244623.0243826378</v>
      </c>
      <c r="K124" s="107"/>
      <c r="L124" s="135"/>
      <c r="M124" s="14">
        <f>SUM(M121:M123)</f>
        <v>5946551.5414608531</v>
      </c>
      <c r="N124" s="89"/>
      <c r="O124" s="135"/>
      <c r="P124" s="14">
        <f>SUM(P121:P123)</f>
        <v>1298071.4829217836</v>
      </c>
    </row>
    <row r="125" spans="1:18" ht="16.2" thickBot="1">
      <c r="D125" s="75"/>
      <c r="E125" s="155"/>
      <c r="F125" s="75"/>
      <c r="G125" s="75"/>
      <c r="H125" s="75"/>
      <c r="I125" s="75"/>
      <c r="J125" s="93"/>
      <c r="K125" s="89"/>
      <c r="L125" s="135"/>
      <c r="M125" s="89"/>
      <c r="N125" s="89"/>
      <c r="O125" s="135"/>
      <c r="P125" s="89"/>
    </row>
    <row r="126" spans="1:18" ht="16.2" thickBot="1">
      <c r="A126" s="76">
        <v>30</v>
      </c>
      <c r="C126" s="70" t="s">
        <v>465</v>
      </c>
      <c r="D126" s="75"/>
      <c r="E126" s="38">
        <f>+E124+E118+E116+E98+E101+E103</f>
        <v>2474058962.875</v>
      </c>
      <c r="F126" s="75"/>
      <c r="G126" s="75"/>
      <c r="H126" s="137"/>
      <c r="I126" s="75"/>
      <c r="J126" s="38">
        <f>+J124+J118+J116+J98+J101+J103</f>
        <v>402998683.54903078</v>
      </c>
      <c r="K126" s="89"/>
      <c r="L126" s="135"/>
      <c r="M126" s="38">
        <f>+M124+M118+M116+M98+M101+M103</f>
        <v>328932530.67028135</v>
      </c>
      <c r="N126" s="141"/>
      <c r="O126" s="142"/>
      <c r="P126" s="38">
        <f>+P124+P118+P116+P98+P101+P103</f>
        <v>74066152.87874943</v>
      </c>
    </row>
    <row r="127" spans="1:18" ht="16.2" thickTop="1">
      <c r="A127" s="76"/>
      <c r="C127" s="70"/>
      <c r="D127" s="75"/>
      <c r="E127" s="94"/>
      <c r="F127" s="75"/>
      <c r="G127" s="75"/>
      <c r="H127" s="137"/>
      <c r="I127" s="75"/>
      <c r="J127" s="94"/>
      <c r="K127" s="75"/>
    </row>
    <row r="128" spans="1:18">
      <c r="A128" s="76"/>
      <c r="C128" s="70"/>
      <c r="D128" s="75"/>
      <c r="E128" s="94"/>
      <c r="F128" s="75"/>
      <c r="G128" s="75"/>
      <c r="H128" s="137"/>
      <c r="I128" s="75"/>
      <c r="J128" s="94"/>
      <c r="K128" s="75"/>
    </row>
    <row r="129" spans="1:16">
      <c r="A129" s="76"/>
      <c r="C129" s="70"/>
      <c r="D129" s="75"/>
      <c r="E129" s="94"/>
      <c r="F129" s="75"/>
      <c r="G129" s="75"/>
      <c r="H129" s="137"/>
      <c r="I129" s="75"/>
      <c r="J129" s="94"/>
      <c r="K129" s="75"/>
    </row>
    <row r="130" spans="1:16">
      <c r="A130" s="76"/>
      <c r="C130" s="70"/>
      <c r="D130" s="75"/>
      <c r="E130" s="94"/>
      <c r="F130" s="75"/>
      <c r="G130" s="75"/>
      <c r="H130" s="137"/>
      <c r="I130" s="75"/>
      <c r="J130" s="94"/>
      <c r="K130" s="75"/>
    </row>
    <row r="131" spans="1:16">
      <c r="A131" s="76"/>
      <c r="C131" s="70"/>
      <c r="D131" s="75"/>
      <c r="E131" s="94"/>
      <c r="F131" s="75"/>
      <c r="G131" s="75"/>
      <c r="H131" s="137"/>
      <c r="I131" s="75"/>
      <c r="J131" s="94"/>
      <c r="K131" s="75"/>
      <c r="P131" s="68" t="s">
        <v>447</v>
      </c>
    </row>
    <row r="132" spans="1:16" ht="21.75" customHeight="1">
      <c r="C132" s="70"/>
      <c r="D132" s="70"/>
      <c r="E132" s="71"/>
      <c r="F132" s="70"/>
      <c r="G132" s="70"/>
      <c r="H132" s="70"/>
      <c r="I132" s="72"/>
      <c r="J132" s="72"/>
      <c r="K132" s="72"/>
      <c r="P132" s="67" t="s">
        <v>179</v>
      </c>
    </row>
    <row r="133" spans="1:16" ht="21.75" customHeight="1">
      <c r="C133" s="70" t="s">
        <v>26</v>
      </c>
      <c r="D133" s="70"/>
      <c r="E133" s="71" t="s">
        <v>0</v>
      </c>
      <c r="F133" s="70"/>
      <c r="G133" s="70"/>
      <c r="H133" s="70"/>
      <c r="I133" s="72"/>
      <c r="J133" s="105"/>
      <c r="K133" s="73"/>
      <c r="L133" s="74"/>
      <c r="N133" s="9" t="str">
        <f>N3</f>
        <v>For the 12 months ended 12/31/16</v>
      </c>
      <c r="O133" s="59"/>
      <c r="P133" s="55"/>
    </row>
    <row r="134" spans="1:16">
      <c r="C134" s="70"/>
      <c r="D134" s="75" t="s">
        <v>3</v>
      </c>
      <c r="E134" s="75" t="s">
        <v>27</v>
      </c>
      <c r="F134" s="75"/>
      <c r="G134" s="75"/>
      <c r="H134" s="75"/>
      <c r="I134" s="72"/>
      <c r="J134" s="72"/>
      <c r="K134" s="72"/>
    </row>
    <row r="135" spans="1:16" ht="6" customHeight="1">
      <c r="C135" s="70"/>
      <c r="D135" s="75"/>
      <c r="E135" s="75"/>
      <c r="F135" s="75"/>
      <c r="G135" s="75"/>
      <c r="H135" s="75"/>
      <c r="I135" s="72"/>
      <c r="J135" s="72"/>
      <c r="K135" s="72"/>
    </row>
    <row r="136" spans="1:16" ht="31.2">
      <c r="A136" s="76"/>
      <c r="E136" s="39" t="str">
        <f>E6</f>
        <v>Allete, Inc. dba Minnesota Power</v>
      </c>
      <c r="K136" s="75"/>
    </row>
    <row r="137" spans="1:16">
      <c r="A137" s="76"/>
      <c r="C137" s="76" t="s">
        <v>7</v>
      </c>
      <c r="D137" s="76" t="s">
        <v>8</v>
      </c>
      <c r="E137" s="76" t="s">
        <v>9</v>
      </c>
      <c r="F137" s="75" t="s">
        <v>3</v>
      </c>
      <c r="G137" s="75"/>
      <c r="H137" s="120" t="s">
        <v>10</v>
      </c>
      <c r="I137" s="75"/>
      <c r="J137" s="121" t="s">
        <v>108</v>
      </c>
      <c r="K137" s="75"/>
      <c r="L137" s="121" t="s">
        <v>109</v>
      </c>
      <c r="M137" s="121" t="s">
        <v>110</v>
      </c>
      <c r="O137" s="121" t="s">
        <v>111</v>
      </c>
      <c r="P137" s="121" t="s">
        <v>112</v>
      </c>
    </row>
    <row r="138" spans="1:16" ht="15.75" customHeight="1">
      <c r="A138" s="76" t="s">
        <v>1</v>
      </c>
      <c r="C138" s="76"/>
      <c r="D138" s="122" t="s">
        <v>113</v>
      </c>
      <c r="E138" s="72"/>
      <c r="F138" s="72"/>
      <c r="G138" s="72"/>
      <c r="H138" s="72"/>
      <c r="I138" s="72"/>
      <c r="J138" s="123" t="s">
        <v>11</v>
      </c>
      <c r="K138" s="75"/>
      <c r="L138" s="81" t="s">
        <v>114</v>
      </c>
      <c r="M138" s="81" t="s">
        <v>30</v>
      </c>
      <c r="N138" s="81"/>
      <c r="O138" s="81" t="s">
        <v>115</v>
      </c>
      <c r="P138" s="81" t="s">
        <v>32</v>
      </c>
    </row>
    <row r="139" spans="1:16" ht="16.2" thickBot="1">
      <c r="A139" s="83" t="s">
        <v>2</v>
      </c>
      <c r="C139" s="70"/>
      <c r="D139" s="80" t="s">
        <v>12</v>
      </c>
      <c r="E139" s="124" t="s">
        <v>116</v>
      </c>
      <c r="F139" s="125"/>
      <c r="G139" s="124" t="s">
        <v>117</v>
      </c>
      <c r="H139" s="126"/>
      <c r="I139" s="127"/>
      <c r="J139" s="128" t="s">
        <v>118</v>
      </c>
      <c r="K139" s="75"/>
      <c r="L139" s="80" t="s">
        <v>4</v>
      </c>
      <c r="M139" s="126" t="s">
        <v>119</v>
      </c>
      <c r="O139" s="80" t="s">
        <v>4</v>
      </c>
      <c r="P139" s="126" t="s">
        <v>120</v>
      </c>
    </row>
    <row r="140" spans="1:16" ht="6.75" customHeight="1">
      <c r="C140" s="70"/>
      <c r="D140" s="75"/>
      <c r="E140" s="156"/>
      <c r="F140" s="157"/>
      <c r="G140" s="123"/>
      <c r="I140" s="157"/>
      <c r="J140" s="156"/>
      <c r="K140" s="75"/>
    </row>
    <row r="141" spans="1:16">
      <c r="A141" s="76"/>
      <c r="C141" s="70" t="s">
        <v>411</v>
      </c>
      <c r="D141" s="75"/>
      <c r="E141" s="75"/>
      <c r="F141" s="75"/>
      <c r="G141" s="75"/>
      <c r="H141" s="75"/>
      <c r="I141" s="75"/>
      <c r="J141" s="75"/>
      <c r="K141" s="75"/>
    </row>
    <row r="142" spans="1:16">
      <c r="A142" s="76">
        <v>1</v>
      </c>
      <c r="C142" s="132" t="s">
        <v>180</v>
      </c>
      <c r="D142" s="87" t="s">
        <v>181</v>
      </c>
      <c r="E142" s="56">
        <v>82641011</v>
      </c>
      <c r="F142" s="87"/>
      <c r="G142" s="87" t="s">
        <v>174</v>
      </c>
      <c r="H142" s="31">
        <f>J235</f>
        <v>0.80531782322689127</v>
      </c>
      <c r="I142" s="87"/>
      <c r="J142" s="18">
        <f t="shared" ref="J142:J150" si="10">+H142*E142</f>
        <v>66552279.08778958</v>
      </c>
      <c r="K142" s="107"/>
      <c r="L142" s="134" t="s">
        <v>42</v>
      </c>
      <c r="M142" s="18">
        <f t="shared" ref="M142:M150" si="11">J142-P142</f>
        <v>51910224.08778958</v>
      </c>
      <c r="N142" s="63"/>
      <c r="O142" s="134" t="s">
        <v>42</v>
      </c>
      <c r="P142" s="397">
        <v>14642055</v>
      </c>
    </row>
    <row r="143" spans="1:16">
      <c r="A143" s="131" t="s">
        <v>13</v>
      </c>
      <c r="B143" s="105"/>
      <c r="C143" s="132" t="s">
        <v>182</v>
      </c>
      <c r="D143" s="87"/>
      <c r="E143" s="56">
        <v>1670902</v>
      </c>
      <c r="F143" s="75"/>
      <c r="G143" s="158"/>
      <c r="H143" s="130">
        <v>1</v>
      </c>
      <c r="I143" s="75"/>
      <c r="J143" s="14">
        <f t="shared" si="10"/>
        <v>1670902</v>
      </c>
      <c r="K143" s="107"/>
      <c r="L143" s="134" t="s">
        <v>42</v>
      </c>
      <c r="M143" s="18">
        <f t="shared" si="11"/>
        <v>1670902</v>
      </c>
      <c r="N143" s="63"/>
      <c r="O143" s="134" t="s">
        <v>42</v>
      </c>
      <c r="P143" s="397">
        <v>0</v>
      </c>
    </row>
    <row r="144" spans="1:16">
      <c r="A144" s="76">
        <v>2</v>
      </c>
      <c r="C144" s="70" t="s">
        <v>183</v>
      </c>
      <c r="D144" s="87" t="s">
        <v>184</v>
      </c>
      <c r="E144" s="56">
        <v>63606628</v>
      </c>
      <c r="F144" s="75"/>
      <c r="G144" s="75" t="s">
        <v>174</v>
      </c>
      <c r="H144" s="29">
        <f>J235</f>
        <v>0.80531782322689127</v>
      </c>
      <c r="I144" s="75"/>
      <c r="J144" s="14">
        <f t="shared" si="10"/>
        <v>51223551.203762636</v>
      </c>
      <c r="K144" s="107"/>
      <c r="L144" s="134" t="s">
        <v>42</v>
      </c>
      <c r="M144" s="18">
        <f t="shared" si="11"/>
        <v>37423102.203762636</v>
      </c>
      <c r="N144" s="63"/>
      <c r="O144" s="134" t="s">
        <v>42</v>
      </c>
      <c r="P144" s="397">
        <v>13800449</v>
      </c>
    </row>
    <row r="145" spans="1:16">
      <c r="A145" s="76">
        <v>3</v>
      </c>
      <c r="C145" s="70" t="s">
        <v>185</v>
      </c>
      <c r="D145" s="87" t="s">
        <v>186</v>
      </c>
      <c r="E145" s="56">
        <v>68273053</v>
      </c>
      <c r="F145" s="75"/>
      <c r="G145" s="75" t="s">
        <v>131</v>
      </c>
      <c r="H145" s="29">
        <f>+H88</f>
        <v>0.14606179061370184</v>
      </c>
      <c r="I145" s="75"/>
      <c r="J145" s="14">
        <f t="shared" si="10"/>
        <v>9972084.3718441688</v>
      </c>
      <c r="K145" s="89"/>
      <c r="L145" s="134" t="s">
        <v>142</v>
      </c>
      <c r="M145" s="18">
        <f t="shared" si="11"/>
        <v>7741782.3589976653</v>
      </c>
      <c r="N145" s="136"/>
      <c r="O145" s="134" t="s">
        <v>133</v>
      </c>
      <c r="P145" s="400">
        <f>J145*$J$221</f>
        <v>2230302.0128465034</v>
      </c>
    </row>
    <row r="146" spans="1:16">
      <c r="A146" s="76">
        <v>4</v>
      </c>
      <c r="C146" s="70" t="s">
        <v>187</v>
      </c>
      <c r="D146" s="87"/>
      <c r="E146" s="56">
        <v>1245939</v>
      </c>
      <c r="F146" s="75"/>
      <c r="G146" s="4" t="str">
        <f>+G145</f>
        <v>W/S</v>
      </c>
      <c r="H146" s="29">
        <f>+H145</f>
        <v>0.14606179061370184</v>
      </c>
      <c r="I146" s="75"/>
      <c r="J146" s="14">
        <f t="shared" si="10"/>
        <v>181984.08133544505</v>
      </c>
      <c r="K146" s="89"/>
      <c r="L146" s="134" t="s">
        <v>142</v>
      </c>
      <c r="M146" s="18">
        <f t="shared" si="11"/>
        <v>141282.51406286447</v>
      </c>
      <c r="N146" s="136"/>
      <c r="O146" s="134" t="s">
        <v>133</v>
      </c>
      <c r="P146" s="400">
        <f>J146*$J$221</f>
        <v>40701.567272580578</v>
      </c>
    </row>
    <row r="147" spans="1:16">
      <c r="A147" s="76">
        <v>5</v>
      </c>
      <c r="C147" s="132" t="s">
        <v>188</v>
      </c>
      <c r="D147" s="87"/>
      <c r="E147" s="56">
        <v>1899241</v>
      </c>
      <c r="F147" s="75"/>
      <c r="G147" s="4" t="str">
        <f>+G146</f>
        <v>W/S</v>
      </c>
      <c r="H147" s="29">
        <f>+H146</f>
        <v>0.14606179061370184</v>
      </c>
      <c r="I147" s="75"/>
      <c r="J147" s="14">
        <f t="shared" si="10"/>
        <v>277406.54126695771</v>
      </c>
      <c r="K147" s="89"/>
      <c r="L147" s="134" t="s">
        <v>142</v>
      </c>
      <c r="M147" s="18">
        <f t="shared" si="11"/>
        <v>215363.30694461672</v>
      </c>
      <c r="N147" s="136"/>
      <c r="O147" s="134" t="s">
        <v>133</v>
      </c>
      <c r="P147" s="400">
        <f>J147*$J$221</f>
        <v>62043.234322340999</v>
      </c>
    </row>
    <row r="148" spans="1:16">
      <c r="A148" s="76" t="s">
        <v>189</v>
      </c>
      <c r="C148" s="132" t="s">
        <v>190</v>
      </c>
      <c r="D148" s="87"/>
      <c r="E148" s="397">
        <v>0</v>
      </c>
      <c r="F148" s="75"/>
      <c r="G148" s="40" t="str">
        <f>+G142</f>
        <v>TE</v>
      </c>
      <c r="H148" s="31">
        <f>+H142</f>
        <v>0.80531782322689127</v>
      </c>
      <c r="I148" s="75"/>
      <c r="J148" s="400">
        <f t="shared" si="10"/>
        <v>0</v>
      </c>
      <c r="K148" s="430"/>
      <c r="L148" s="437" t="s">
        <v>42</v>
      </c>
      <c r="M148" s="404">
        <f t="shared" si="11"/>
        <v>0</v>
      </c>
      <c r="N148" s="63"/>
      <c r="O148" s="134" t="s">
        <v>42</v>
      </c>
      <c r="P148" s="397">
        <v>0</v>
      </c>
    </row>
    <row r="149" spans="1:16">
      <c r="A149" s="76">
        <v>6</v>
      </c>
      <c r="C149" s="132" t="s">
        <v>134</v>
      </c>
      <c r="D149" s="159" t="s">
        <v>191</v>
      </c>
      <c r="E149" s="397">
        <v>0</v>
      </c>
      <c r="F149" s="75"/>
      <c r="G149" s="75" t="s">
        <v>136</v>
      </c>
      <c r="H149" s="29">
        <f>+H89</f>
        <v>0.14606179061370184</v>
      </c>
      <c r="I149" s="75"/>
      <c r="J149" s="400">
        <f t="shared" si="10"/>
        <v>0</v>
      </c>
      <c r="K149" s="430"/>
      <c r="L149" s="437" t="s">
        <v>42</v>
      </c>
      <c r="M149" s="404">
        <f t="shared" si="11"/>
        <v>0</v>
      </c>
      <c r="N149" s="63"/>
      <c r="O149" s="134" t="s">
        <v>42</v>
      </c>
      <c r="P149" s="397">
        <v>0</v>
      </c>
    </row>
    <row r="150" spans="1:16" ht="16.2" thickBot="1">
      <c r="A150" s="76">
        <v>7</v>
      </c>
      <c r="C150" s="70" t="s">
        <v>412</v>
      </c>
      <c r="D150" s="87"/>
      <c r="E150" s="60">
        <v>1630829</v>
      </c>
      <c r="F150" s="75"/>
      <c r="G150" s="75" t="s">
        <v>3</v>
      </c>
      <c r="H150" s="130">
        <v>1</v>
      </c>
      <c r="I150" s="75"/>
      <c r="J150" s="16">
        <f t="shared" si="10"/>
        <v>1630829</v>
      </c>
      <c r="K150" s="89"/>
      <c r="L150" s="134" t="s">
        <v>42</v>
      </c>
      <c r="M150" s="32">
        <f t="shared" si="11"/>
        <v>1630829</v>
      </c>
      <c r="N150" s="136"/>
      <c r="O150" s="149" t="s">
        <v>42</v>
      </c>
      <c r="P150" s="398">
        <v>0</v>
      </c>
    </row>
    <row r="151" spans="1:16">
      <c r="A151" s="76">
        <v>8</v>
      </c>
      <c r="C151" s="132" t="s">
        <v>192</v>
      </c>
      <c r="D151" s="87"/>
      <c r="E151" s="14">
        <f>E142+E145+E148+E149+E150-E143-E144-E146-E147</f>
        <v>84122183</v>
      </c>
      <c r="F151" s="75"/>
      <c r="G151" s="75"/>
      <c r="H151" s="75"/>
      <c r="I151" s="75"/>
      <c r="J151" s="18">
        <f>+J142-J144+J145-J146-J147-J143+J149+J150+J148</f>
        <v>24801348.63326871</v>
      </c>
      <c r="K151" s="63"/>
      <c r="L151" s="134"/>
      <c r="M151" s="18">
        <f>+M142-M143-M144+M145-M146-M147+M148+M149+M150</f>
        <v>21832185.422017131</v>
      </c>
      <c r="N151" s="63"/>
      <c r="O151" s="134"/>
      <c r="P151" s="404">
        <f>+P142-P143-P144+P145-P146-P147+P148+P149+P150</f>
        <v>2969163.2112515816</v>
      </c>
    </row>
    <row r="152" spans="1:16">
      <c r="A152" s="76"/>
      <c r="D152" s="87"/>
      <c r="E152" s="89"/>
      <c r="F152" s="75"/>
      <c r="G152" s="75"/>
      <c r="H152" s="75"/>
      <c r="I152" s="75"/>
      <c r="J152" s="89"/>
      <c r="K152" s="89"/>
      <c r="L152" s="134"/>
      <c r="M152" s="63"/>
      <c r="N152" s="63"/>
      <c r="O152" s="134"/>
      <c r="P152" s="89"/>
    </row>
    <row r="153" spans="1:16">
      <c r="A153" s="76"/>
      <c r="C153" s="70" t="s">
        <v>413</v>
      </c>
      <c r="D153" s="87"/>
      <c r="E153" s="89"/>
      <c r="F153" s="75"/>
      <c r="G153" s="75"/>
      <c r="H153" s="75"/>
      <c r="I153" s="75"/>
      <c r="J153" s="89"/>
      <c r="K153" s="89"/>
      <c r="L153" s="134"/>
      <c r="M153" s="63"/>
      <c r="N153" s="63"/>
      <c r="O153" s="134"/>
      <c r="P153" s="89"/>
    </row>
    <row r="154" spans="1:16">
      <c r="A154" s="76">
        <v>9</v>
      </c>
      <c r="C154" s="30" t="str">
        <f>+C142</f>
        <v xml:space="preserve">  Transmission </v>
      </c>
      <c r="D154" s="87" t="s">
        <v>193</v>
      </c>
      <c r="E154" s="56">
        <v>18019800</v>
      </c>
      <c r="F154" s="87"/>
      <c r="G154" s="87" t="s">
        <v>41</v>
      </c>
      <c r="H154" s="41">
        <f>+H118</f>
        <v>0.85997322981173219</v>
      </c>
      <c r="I154" s="87"/>
      <c r="J154" s="18">
        <f>+H154*E154</f>
        <v>15496545.606561452</v>
      </c>
      <c r="K154" s="89"/>
      <c r="L154" s="134" t="s">
        <v>42</v>
      </c>
      <c r="M154" s="18">
        <f>J154-P154</f>
        <v>12397689.606561452</v>
      </c>
      <c r="N154" s="63"/>
      <c r="O154" s="134" t="s">
        <v>42</v>
      </c>
      <c r="P154" s="56">
        <v>3098856</v>
      </c>
    </row>
    <row r="155" spans="1:16">
      <c r="A155" s="160" t="s">
        <v>394</v>
      </c>
      <c r="B155" s="147"/>
      <c r="C155" s="161" t="s">
        <v>396</v>
      </c>
      <c r="D155" s="162" t="s">
        <v>401</v>
      </c>
      <c r="E155" s="56">
        <v>-299868</v>
      </c>
      <c r="F155" s="87"/>
      <c r="G155" s="87"/>
      <c r="H155" s="66">
        <v>1</v>
      </c>
      <c r="I155" s="87"/>
      <c r="J155" s="18">
        <f>+H155*E155</f>
        <v>-299868</v>
      </c>
      <c r="K155" s="89"/>
      <c r="L155" s="134" t="s">
        <v>42</v>
      </c>
      <c r="M155" s="18">
        <f>J155-P155</f>
        <v>-299868</v>
      </c>
      <c r="N155" s="63"/>
      <c r="O155" s="134" t="s">
        <v>42</v>
      </c>
      <c r="P155" s="397">
        <v>0</v>
      </c>
    </row>
    <row r="156" spans="1:16">
      <c r="A156" s="160" t="s">
        <v>397</v>
      </c>
      <c r="B156" s="147"/>
      <c r="C156" s="161" t="s">
        <v>389</v>
      </c>
      <c r="D156" s="162" t="s">
        <v>402</v>
      </c>
      <c r="E156" s="402">
        <v>0</v>
      </c>
      <c r="F156" s="87"/>
      <c r="G156" s="87"/>
      <c r="H156" s="66">
        <v>1</v>
      </c>
      <c r="I156" s="87"/>
      <c r="J156" s="404">
        <f>+H156*E156</f>
        <v>0</v>
      </c>
      <c r="K156" s="430"/>
      <c r="L156" s="437" t="s">
        <v>42</v>
      </c>
      <c r="M156" s="404">
        <f>J156-P156</f>
        <v>0</v>
      </c>
      <c r="N156" s="63"/>
      <c r="O156" s="134" t="s">
        <v>42</v>
      </c>
      <c r="P156" s="397">
        <v>0</v>
      </c>
    </row>
    <row r="157" spans="1:16">
      <c r="A157" s="160" t="s">
        <v>455</v>
      </c>
      <c r="B157" s="147"/>
      <c r="C157" s="161" t="s">
        <v>457</v>
      </c>
      <c r="D157" s="162" t="s">
        <v>401</v>
      </c>
      <c r="E157" s="402">
        <v>0</v>
      </c>
      <c r="F157" s="87"/>
      <c r="G157" s="87"/>
      <c r="H157" s="66">
        <v>1</v>
      </c>
      <c r="I157" s="87"/>
      <c r="J157" s="404">
        <f t="shared" ref="J157:J158" si="12">+H157*E157</f>
        <v>0</v>
      </c>
      <c r="K157" s="430"/>
      <c r="L157" s="437" t="s">
        <v>42</v>
      </c>
      <c r="M157" s="404">
        <f t="shared" ref="M157:M158" si="13">J157-P157</f>
        <v>0</v>
      </c>
      <c r="N157" s="63"/>
      <c r="O157" s="134" t="s">
        <v>42</v>
      </c>
      <c r="P157" s="397">
        <v>0</v>
      </c>
    </row>
    <row r="158" spans="1:16">
      <c r="A158" s="160" t="s">
        <v>456</v>
      </c>
      <c r="B158" s="147"/>
      <c r="C158" s="161" t="s">
        <v>458</v>
      </c>
      <c r="D158" s="162" t="s">
        <v>401</v>
      </c>
      <c r="E158" s="402">
        <v>0</v>
      </c>
      <c r="F158" s="87"/>
      <c r="G158" s="87"/>
      <c r="H158" s="66">
        <v>1</v>
      </c>
      <c r="I158" s="87"/>
      <c r="J158" s="404">
        <f t="shared" si="12"/>
        <v>0</v>
      </c>
      <c r="K158" s="430"/>
      <c r="L158" s="437" t="s">
        <v>42</v>
      </c>
      <c r="M158" s="404">
        <f t="shared" si="13"/>
        <v>0</v>
      </c>
      <c r="N158" s="63"/>
      <c r="O158" s="134" t="s">
        <v>42</v>
      </c>
      <c r="P158" s="397">
        <v>0</v>
      </c>
    </row>
    <row r="159" spans="1:16">
      <c r="A159" s="76">
        <v>10</v>
      </c>
      <c r="C159" s="70" t="s">
        <v>129</v>
      </c>
      <c r="D159" s="87" t="s">
        <v>414</v>
      </c>
      <c r="E159" s="56">
        <f>10272529+4428190</f>
        <v>14700719</v>
      </c>
      <c r="F159" s="75"/>
      <c r="G159" s="75" t="s">
        <v>131</v>
      </c>
      <c r="H159" s="29">
        <f>+H145</f>
        <v>0.14606179061370184</v>
      </c>
      <c r="I159" s="75"/>
      <c r="J159" s="400">
        <f>+H159*E159</f>
        <v>2147213.3404488685</v>
      </c>
      <c r="K159" s="430"/>
      <c r="L159" s="437" t="s">
        <v>142</v>
      </c>
      <c r="M159" s="404">
        <f>J159-P159</f>
        <v>1666979.3134749928</v>
      </c>
      <c r="N159" s="136"/>
      <c r="O159" s="134" t="s">
        <v>133</v>
      </c>
      <c r="P159" s="400">
        <f>J159*$J$221</f>
        <v>480234.02697387559</v>
      </c>
    </row>
    <row r="160" spans="1:16" ht="16.2" thickBot="1">
      <c r="A160" s="76">
        <v>11</v>
      </c>
      <c r="C160" s="8" t="str">
        <f>+C149</f>
        <v xml:space="preserve">  Common</v>
      </c>
      <c r="D160" s="87" t="s">
        <v>194</v>
      </c>
      <c r="E160" s="398">
        <v>0</v>
      </c>
      <c r="F160" s="75"/>
      <c r="G160" s="75" t="s">
        <v>136</v>
      </c>
      <c r="H160" s="29">
        <f>+H149</f>
        <v>0.14606179061370184</v>
      </c>
      <c r="I160" s="75"/>
      <c r="J160" s="401">
        <f>+H160*E160</f>
        <v>0</v>
      </c>
      <c r="K160" s="430"/>
      <c r="L160" s="437" t="s">
        <v>142</v>
      </c>
      <c r="M160" s="438">
        <f>J160-P160</f>
        <v>0</v>
      </c>
      <c r="N160" s="136"/>
      <c r="O160" s="149" t="s">
        <v>133</v>
      </c>
      <c r="P160" s="401">
        <f>J160*$J$221</f>
        <v>0</v>
      </c>
    </row>
    <row r="161" spans="1:17">
      <c r="A161" s="76">
        <v>12</v>
      </c>
      <c r="C161" s="70" t="s">
        <v>195</v>
      </c>
      <c r="D161" s="87"/>
      <c r="E161" s="14">
        <f>SUM(E154:E160)</f>
        <v>32420651</v>
      </c>
      <c r="F161" s="75"/>
      <c r="G161" s="75"/>
      <c r="H161" s="75"/>
      <c r="I161" s="75"/>
      <c r="J161" s="404">
        <f>SUM(J154:J160)</f>
        <v>17343890.94701032</v>
      </c>
      <c r="K161" s="430"/>
      <c r="L161" s="431"/>
      <c r="M161" s="400">
        <f>SUM(M154:M160)</f>
        <v>13764800.920036444</v>
      </c>
      <c r="N161" s="89"/>
      <c r="O161" s="135"/>
      <c r="P161" s="14">
        <f>SUM(P154:P160)</f>
        <v>3579090.0269738757</v>
      </c>
    </row>
    <row r="162" spans="1:17" ht="6" customHeight="1">
      <c r="A162" s="76"/>
      <c r="C162" s="70"/>
      <c r="D162" s="87"/>
      <c r="E162" s="89"/>
      <c r="F162" s="75"/>
      <c r="G162" s="75"/>
      <c r="H162" s="75"/>
      <c r="I162" s="75"/>
      <c r="J162" s="439"/>
      <c r="K162" s="430"/>
      <c r="L162" s="431"/>
      <c r="M162" s="430"/>
      <c r="N162" s="89"/>
      <c r="O162" s="135"/>
      <c r="P162" s="89"/>
    </row>
    <row r="163" spans="1:17">
      <c r="A163" s="76" t="s">
        <v>3</v>
      </c>
      <c r="C163" s="70" t="s">
        <v>196</v>
      </c>
      <c r="D163" s="105"/>
      <c r="E163" s="89"/>
      <c r="F163" s="75"/>
      <c r="G163" s="75"/>
      <c r="H163" s="75"/>
      <c r="I163" s="75"/>
      <c r="J163" s="439"/>
      <c r="K163" s="430"/>
      <c r="L163" s="431"/>
      <c r="M163" s="430"/>
      <c r="N163" s="89"/>
      <c r="O163" s="135"/>
      <c r="P163" s="89"/>
    </row>
    <row r="164" spans="1:17">
      <c r="A164" s="76"/>
      <c r="C164" s="70" t="s">
        <v>197</v>
      </c>
      <c r="D164" s="105"/>
      <c r="E164" s="89"/>
      <c r="F164" s="75"/>
      <c r="G164" s="75"/>
      <c r="I164" s="75"/>
      <c r="J164" s="439"/>
      <c r="K164" s="430"/>
      <c r="L164" s="431"/>
      <c r="M164" s="430"/>
      <c r="N164" s="89"/>
      <c r="O164" s="135"/>
      <c r="P164" s="89"/>
    </row>
    <row r="165" spans="1:17">
      <c r="A165" s="76">
        <v>13</v>
      </c>
      <c r="C165" s="70" t="s">
        <v>198</v>
      </c>
      <c r="D165" s="87" t="s">
        <v>199</v>
      </c>
      <c r="E165" s="56">
        <v>5492487</v>
      </c>
      <c r="F165" s="75"/>
      <c r="G165" s="75" t="s">
        <v>131</v>
      </c>
      <c r="H165" s="15">
        <f>+H159</f>
        <v>0.14606179061370184</v>
      </c>
      <c r="I165" s="75"/>
      <c r="J165" s="404">
        <f>+H165*E165</f>
        <v>802242.48614247935</v>
      </c>
      <c r="K165" s="430"/>
      <c r="L165" s="437" t="s">
        <v>142</v>
      </c>
      <c r="M165" s="404">
        <f>J165-P165</f>
        <v>622817.30631884886</v>
      </c>
      <c r="N165" s="136"/>
      <c r="O165" s="134" t="s">
        <v>133</v>
      </c>
      <c r="P165" s="14">
        <f>J165*$J$221</f>
        <v>179425.17982363046</v>
      </c>
    </row>
    <row r="166" spans="1:17">
      <c r="A166" s="76">
        <v>14</v>
      </c>
      <c r="C166" s="70" t="s">
        <v>200</v>
      </c>
      <c r="D166" s="13" t="str">
        <f>+D165</f>
        <v>263.i</v>
      </c>
      <c r="E166" s="397">
        <v>0</v>
      </c>
      <c r="F166" s="75"/>
      <c r="G166" s="4" t="str">
        <f>+G165</f>
        <v>W/S</v>
      </c>
      <c r="H166" s="15">
        <f>+H165</f>
        <v>0.14606179061370184</v>
      </c>
      <c r="I166" s="75"/>
      <c r="J166" s="404">
        <f>+H166*E166</f>
        <v>0</v>
      </c>
      <c r="K166" s="430"/>
      <c r="L166" s="437"/>
      <c r="M166" s="439"/>
      <c r="N166" s="63"/>
      <c r="O166" s="134"/>
      <c r="P166" s="89"/>
    </row>
    <row r="167" spans="1:17">
      <c r="A167" s="76">
        <v>15</v>
      </c>
      <c r="C167" s="70" t="s">
        <v>201</v>
      </c>
      <c r="D167" s="87" t="s">
        <v>3</v>
      </c>
      <c r="E167" s="89"/>
      <c r="F167" s="75"/>
      <c r="G167" s="75"/>
      <c r="I167" s="75"/>
      <c r="J167" s="439"/>
      <c r="K167" s="430"/>
      <c r="L167" s="437"/>
      <c r="M167" s="439"/>
      <c r="N167" s="63"/>
      <c r="O167" s="134"/>
      <c r="P167" s="89"/>
    </row>
    <row r="168" spans="1:17">
      <c r="A168" s="76">
        <v>16</v>
      </c>
      <c r="C168" s="70" t="s">
        <v>202</v>
      </c>
      <c r="D168" s="87" t="s">
        <v>203</v>
      </c>
      <c r="E168" s="56">
        <v>37817320</v>
      </c>
      <c r="F168" s="75"/>
      <c r="G168" s="75" t="s">
        <v>177</v>
      </c>
      <c r="H168" s="15">
        <f>+H82</f>
        <v>0.15404339768215924</v>
      </c>
      <c r="I168" s="75"/>
      <c r="J168" s="404">
        <f>+H168*E168</f>
        <v>5825508.4640334742</v>
      </c>
      <c r="K168" s="430"/>
      <c r="L168" s="437" t="s">
        <v>42</v>
      </c>
      <c r="M168" s="404">
        <f>J168-P168</f>
        <v>4772333.4640334742</v>
      </c>
      <c r="N168" s="136"/>
      <c r="O168" s="134" t="s">
        <v>42</v>
      </c>
      <c r="P168" s="56">
        <v>1053175</v>
      </c>
      <c r="Q168" s="163"/>
    </row>
    <row r="169" spans="1:17">
      <c r="A169" s="76">
        <v>17</v>
      </c>
      <c r="C169" s="70" t="s">
        <v>204</v>
      </c>
      <c r="D169" s="87" t="s">
        <v>205</v>
      </c>
      <c r="E169" s="397">
        <v>0</v>
      </c>
      <c r="F169" s="75"/>
      <c r="G169" s="13" t="str">
        <f>+G106</f>
        <v>NA</v>
      </c>
      <c r="H169" s="164" t="s">
        <v>155</v>
      </c>
      <c r="I169" s="75"/>
      <c r="J169" s="439">
        <v>0</v>
      </c>
      <c r="K169" s="430"/>
      <c r="L169" s="437"/>
      <c r="M169" s="434"/>
      <c r="N169" s="136"/>
      <c r="O169" s="149"/>
      <c r="P169" s="141"/>
    </row>
    <row r="170" spans="1:17">
      <c r="A170" s="76">
        <v>18</v>
      </c>
      <c r="C170" s="70" t="s">
        <v>206</v>
      </c>
      <c r="D170" s="13" t="str">
        <f>+D169</f>
        <v xml:space="preserve">263.i   </v>
      </c>
      <c r="E170" s="56">
        <v>1357928</v>
      </c>
      <c r="F170" s="75"/>
      <c r="G170" s="4" t="str">
        <f>+G168</f>
        <v>GP</v>
      </c>
      <c r="H170" s="15">
        <f>+H168</f>
        <v>0.15404339768215924</v>
      </c>
      <c r="I170" s="75"/>
      <c r="J170" s="404">
        <f>+H170*E170</f>
        <v>209179.84292773914</v>
      </c>
      <c r="K170" s="430"/>
      <c r="L170" s="437" t="s">
        <v>142</v>
      </c>
      <c r="M170" s="404">
        <f>J170-P170</f>
        <v>162395.81991587061</v>
      </c>
      <c r="N170" s="136"/>
      <c r="O170" s="134" t="s">
        <v>133</v>
      </c>
      <c r="P170" s="14">
        <f>J170*$J$221</f>
        <v>46784.023011868521</v>
      </c>
      <c r="Q170" s="163"/>
    </row>
    <row r="171" spans="1:17" ht="16.2" thickBot="1">
      <c r="A171" s="76">
        <v>19</v>
      </c>
      <c r="C171" s="70" t="s">
        <v>207</v>
      </c>
      <c r="D171" s="87"/>
      <c r="E171" s="398">
        <v>0</v>
      </c>
      <c r="F171" s="75"/>
      <c r="G171" s="75" t="s">
        <v>177</v>
      </c>
      <c r="H171" s="15">
        <f>+H168</f>
        <v>0.15404339768215924</v>
      </c>
      <c r="I171" s="75"/>
      <c r="J171" s="438">
        <f>+H171*E171</f>
        <v>0</v>
      </c>
      <c r="K171" s="430"/>
      <c r="L171" s="437" t="s">
        <v>142</v>
      </c>
      <c r="M171" s="438">
        <f>J171-P171</f>
        <v>0</v>
      </c>
      <c r="N171" s="136"/>
      <c r="O171" s="149" t="s">
        <v>133</v>
      </c>
      <c r="P171" s="401">
        <f>J171*$J$221</f>
        <v>0</v>
      </c>
    </row>
    <row r="172" spans="1:17">
      <c r="A172" s="76">
        <v>20</v>
      </c>
      <c r="C172" s="70" t="s">
        <v>208</v>
      </c>
      <c r="D172" s="87"/>
      <c r="E172" s="14">
        <f>SUM(E165:E171)</f>
        <v>44667735</v>
      </c>
      <c r="F172" s="75"/>
      <c r="G172" s="75"/>
      <c r="H172" s="90"/>
      <c r="I172" s="75"/>
      <c r="J172" s="18">
        <f>SUM(J165:J171)</f>
        <v>6836930.7931036931</v>
      </c>
      <c r="K172" s="89"/>
      <c r="L172" s="135"/>
      <c r="M172" s="18">
        <f>SUM(M165:M171)</f>
        <v>5557546.5902681928</v>
      </c>
      <c r="N172" s="63"/>
      <c r="O172" s="134"/>
      <c r="P172" s="18">
        <f>SUM(P165:P171)</f>
        <v>1279384.2028354991</v>
      </c>
    </row>
    <row r="173" spans="1:17" ht="12" customHeight="1">
      <c r="A173" s="76"/>
      <c r="C173" s="70"/>
      <c r="D173" s="87"/>
      <c r="E173" s="89"/>
      <c r="F173" s="75"/>
      <c r="G173" s="75"/>
      <c r="H173" s="90"/>
      <c r="I173" s="75"/>
      <c r="J173" s="87"/>
      <c r="K173" s="75"/>
      <c r="M173" s="105"/>
      <c r="N173" s="105"/>
      <c r="O173" s="165"/>
      <c r="P173" s="105"/>
    </row>
    <row r="174" spans="1:17" ht="4.5" customHeight="1">
      <c r="A174" s="76" t="s">
        <v>209</v>
      </c>
      <c r="C174" s="70"/>
      <c r="D174" s="87"/>
      <c r="E174" s="75"/>
      <c r="F174" s="75"/>
      <c r="G174" s="75"/>
      <c r="H174" s="90"/>
      <c r="I174" s="75"/>
      <c r="J174" s="87"/>
      <c r="K174" s="75"/>
      <c r="O174" s="166"/>
    </row>
    <row r="175" spans="1:17">
      <c r="A175" s="76" t="s">
        <v>3</v>
      </c>
      <c r="C175" s="70" t="s">
        <v>210</v>
      </c>
      <c r="D175" s="87" t="s">
        <v>211</v>
      </c>
      <c r="E175" s="75"/>
      <c r="F175" s="75"/>
      <c r="H175" s="167"/>
      <c r="I175" s="75"/>
      <c r="J175" s="105"/>
      <c r="K175" s="75"/>
      <c r="O175" s="166"/>
    </row>
    <row r="176" spans="1:17">
      <c r="A176" s="76">
        <v>21</v>
      </c>
      <c r="C176" s="168" t="s">
        <v>212</v>
      </c>
      <c r="D176" s="87"/>
      <c r="E176" s="42">
        <f>IF(E363&gt;0,1-(((1-E364)*(1-E363))/(1-E364*E363*E365)),0)</f>
        <v>0.41369999999999996</v>
      </c>
      <c r="F176" s="75"/>
      <c r="H176" s="167"/>
      <c r="I176" s="75"/>
      <c r="J176" s="105"/>
      <c r="K176" s="75"/>
      <c r="O176" s="166"/>
    </row>
    <row r="177" spans="1:17">
      <c r="A177" s="76">
        <v>22</v>
      </c>
      <c r="C177" s="64" t="s">
        <v>213</v>
      </c>
      <c r="D177" s="87"/>
      <c r="E177" s="42">
        <f>IF(J292&gt;0,(E176/(1-E176))*(1-J289/J292),0)</f>
        <v>0.53826453981768096</v>
      </c>
      <c r="F177" s="75"/>
      <c r="H177" s="167"/>
      <c r="I177" s="75"/>
      <c r="J177" s="105"/>
      <c r="K177" s="75"/>
      <c r="O177" s="166"/>
    </row>
    <row r="178" spans="1:17">
      <c r="A178" s="76"/>
      <c r="C178" s="70" t="s">
        <v>214</v>
      </c>
      <c r="D178" s="87"/>
      <c r="E178" s="75"/>
      <c r="F178" s="75"/>
      <c r="H178" s="167"/>
      <c r="I178" s="75"/>
      <c r="J178" s="105"/>
      <c r="K178" s="75"/>
      <c r="O178" s="166"/>
    </row>
    <row r="179" spans="1:17">
      <c r="A179" s="76"/>
      <c r="C179" s="70" t="s">
        <v>215</v>
      </c>
      <c r="D179" s="87"/>
      <c r="E179" s="75"/>
      <c r="F179" s="75"/>
      <c r="H179" s="167"/>
      <c r="I179" s="75"/>
      <c r="J179" s="105"/>
      <c r="K179" s="75"/>
      <c r="O179" s="166"/>
    </row>
    <row r="180" spans="1:17">
      <c r="A180" s="76">
        <v>23</v>
      </c>
      <c r="C180" s="168" t="s">
        <v>216</v>
      </c>
      <c r="D180" s="87"/>
      <c r="E180" s="43">
        <f>IF(E176&gt;0,1/(1-E176),0)</f>
        <v>1.7056114617090226</v>
      </c>
      <c r="F180" s="75"/>
      <c r="H180" s="167"/>
      <c r="I180" s="75"/>
      <c r="J180" s="105"/>
      <c r="K180" s="75"/>
      <c r="O180" s="166"/>
    </row>
    <row r="181" spans="1:17">
      <c r="A181" s="76">
        <v>24</v>
      </c>
      <c r="C181" s="70" t="s">
        <v>217</v>
      </c>
      <c r="D181" s="87"/>
      <c r="E181" s="56">
        <v>-736258</v>
      </c>
      <c r="F181" s="75"/>
      <c r="H181" s="167"/>
      <c r="I181" s="75"/>
      <c r="J181" s="105"/>
      <c r="K181" s="75"/>
      <c r="O181" s="166"/>
    </row>
    <row r="182" spans="1:17">
      <c r="A182" s="76"/>
      <c r="C182" s="70"/>
      <c r="D182" s="87"/>
      <c r="E182" s="75"/>
      <c r="F182" s="75"/>
      <c r="H182" s="167"/>
      <c r="I182" s="75"/>
      <c r="J182" s="105"/>
      <c r="K182" s="75"/>
      <c r="O182" s="166"/>
    </row>
    <row r="183" spans="1:17">
      <c r="A183" s="76">
        <v>25</v>
      </c>
      <c r="C183" s="168" t="s">
        <v>218</v>
      </c>
      <c r="D183" s="169"/>
      <c r="E183" s="14">
        <f>E177*E187</f>
        <v>104159746.92457931</v>
      </c>
      <c r="F183" s="75"/>
      <c r="G183" s="75" t="s">
        <v>124</v>
      </c>
      <c r="H183" s="90"/>
      <c r="I183" s="75"/>
      <c r="J183" s="18">
        <f>$E$177*J187</f>
        <v>16966548.29949034</v>
      </c>
      <c r="K183" s="89"/>
      <c r="L183" s="135"/>
      <c r="M183" s="14">
        <f>$E$177*M187</f>
        <v>13848307.442949556</v>
      </c>
      <c r="N183" s="89"/>
      <c r="O183" s="135"/>
      <c r="P183" s="14">
        <f>$E$177*P187</f>
        <v>3118240.8565407828</v>
      </c>
    </row>
    <row r="184" spans="1:17" ht="16.2" thickBot="1">
      <c r="A184" s="76">
        <v>26</v>
      </c>
      <c r="C184" s="64" t="s">
        <v>219</v>
      </c>
      <c r="D184" s="169" t="s">
        <v>220</v>
      </c>
      <c r="E184" s="16">
        <f>E180*E181</f>
        <v>-1255770.0835749616</v>
      </c>
      <c r="F184" s="75"/>
      <c r="G184" s="64" t="s">
        <v>158</v>
      </c>
      <c r="H184" s="15">
        <f>H98</f>
        <v>0.15541174494917578</v>
      </c>
      <c r="I184" s="75"/>
      <c r="J184" s="32">
        <f>H184*E184</f>
        <v>-195161.41994335709</v>
      </c>
      <c r="K184" s="89"/>
      <c r="L184" s="134" t="s">
        <v>42</v>
      </c>
      <c r="M184" s="32">
        <f>J184-P184</f>
        <v>-195161.41994335709</v>
      </c>
      <c r="N184" s="136"/>
      <c r="O184" s="149"/>
      <c r="P184" s="6">
        <v>0</v>
      </c>
      <c r="Q184" s="163"/>
    </row>
    <row r="185" spans="1:17">
      <c r="A185" s="76">
        <v>27</v>
      </c>
      <c r="C185" s="168" t="s">
        <v>14</v>
      </c>
      <c r="D185" s="105" t="s">
        <v>221</v>
      </c>
      <c r="E185" s="35">
        <f>+E183+E184</f>
        <v>102903976.84100434</v>
      </c>
      <c r="F185" s="75"/>
      <c r="G185" s="75" t="s">
        <v>3</v>
      </c>
      <c r="H185" s="90" t="s">
        <v>3</v>
      </c>
      <c r="I185" s="75"/>
      <c r="J185" s="35">
        <f>+J183+J184</f>
        <v>16771386.879546983</v>
      </c>
      <c r="K185" s="89"/>
      <c r="L185" s="135" t="s">
        <v>3</v>
      </c>
      <c r="M185" s="36">
        <f>M183+M184</f>
        <v>13653146.023006199</v>
      </c>
      <c r="N185" s="141"/>
      <c r="O185" s="142"/>
      <c r="P185" s="36">
        <f>P183+P184</f>
        <v>3118240.8565407828</v>
      </c>
    </row>
    <row r="186" spans="1:17">
      <c r="A186" s="76" t="s">
        <v>3</v>
      </c>
      <c r="D186" s="170"/>
      <c r="E186" s="89"/>
      <c r="F186" s="75"/>
      <c r="G186" s="75"/>
      <c r="H186" s="90"/>
      <c r="I186" s="75"/>
      <c r="J186" s="89"/>
      <c r="K186" s="89"/>
      <c r="L186" s="135"/>
      <c r="M186" s="89"/>
      <c r="N186" s="89"/>
      <c r="O186" s="135"/>
      <c r="P186" s="89"/>
    </row>
    <row r="187" spans="1:17">
      <c r="A187" s="76">
        <v>28</v>
      </c>
      <c r="C187" s="70" t="s">
        <v>15</v>
      </c>
      <c r="D187" s="137"/>
      <c r="E187" s="14">
        <f>+$J292*E126</f>
        <v>193510326.65064639</v>
      </c>
      <c r="F187" s="75"/>
      <c r="G187" s="75" t="s">
        <v>124</v>
      </c>
      <c r="H187" s="167"/>
      <c r="I187" s="75"/>
      <c r="J187" s="18">
        <f>+$J292*J126</f>
        <v>31520836.028390776</v>
      </c>
      <c r="K187" s="63"/>
      <c r="L187" s="134" t="s">
        <v>3</v>
      </c>
      <c r="M187" s="18">
        <f>+$J292*M126</f>
        <v>25727697.848422647</v>
      </c>
      <c r="N187" s="63"/>
      <c r="O187" s="134"/>
      <c r="P187" s="18">
        <f>+$J292*P126</f>
        <v>5793138.1799681289</v>
      </c>
    </row>
    <row r="188" spans="1:17">
      <c r="A188" s="76"/>
      <c r="C188" s="168" t="s">
        <v>222</v>
      </c>
      <c r="E188" s="89"/>
      <c r="F188" s="75"/>
      <c r="G188" s="75"/>
      <c r="H188" s="167"/>
      <c r="I188" s="75"/>
      <c r="J188" s="89"/>
      <c r="K188" s="89"/>
      <c r="L188" s="135"/>
      <c r="M188" s="89"/>
      <c r="N188" s="89"/>
      <c r="O188" s="135"/>
      <c r="P188" s="89"/>
    </row>
    <row r="189" spans="1:17">
      <c r="A189" s="76"/>
      <c r="C189" s="70"/>
      <c r="E189" s="141"/>
      <c r="F189" s="75"/>
      <c r="G189" s="75"/>
      <c r="H189" s="167"/>
      <c r="I189" s="75"/>
      <c r="J189" s="141"/>
      <c r="K189" s="89"/>
      <c r="L189" s="135"/>
      <c r="M189" s="89"/>
      <c r="N189" s="89"/>
      <c r="O189" s="135"/>
      <c r="P189" s="89"/>
    </row>
    <row r="190" spans="1:17">
      <c r="A190" s="76">
        <v>29</v>
      </c>
      <c r="C190" s="70" t="s">
        <v>223</v>
      </c>
      <c r="D190" s="75"/>
      <c r="E190" s="36">
        <f>+E187+E185+E172+E161+E151</f>
        <v>457624872.4916507</v>
      </c>
      <c r="F190" s="75"/>
      <c r="G190" s="75"/>
      <c r="H190" s="75"/>
      <c r="I190" s="75"/>
      <c r="J190" s="36">
        <f>+J187+J185+J172+J161+J151</f>
        <v>97274393.281320482</v>
      </c>
      <c r="K190" s="107"/>
      <c r="L190" s="135"/>
      <c r="M190" s="36">
        <f>+M187+M185+M172+M161+M151</f>
        <v>80535376.803750619</v>
      </c>
      <c r="N190" s="141"/>
      <c r="O190" s="142"/>
      <c r="P190" s="36">
        <f>+P187+P185+P172+P161+P151</f>
        <v>16739016.477569867</v>
      </c>
    </row>
    <row r="191" spans="1:17">
      <c r="A191" s="76"/>
      <c r="C191" s="132"/>
      <c r="D191" s="87"/>
      <c r="E191" s="141"/>
      <c r="F191" s="75"/>
      <c r="G191" s="75"/>
      <c r="H191" s="75"/>
      <c r="I191" s="75"/>
      <c r="J191" s="141"/>
      <c r="K191" s="107"/>
      <c r="L191" s="135"/>
      <c r="M191" s="141"/>
      <c r="N191" s="141"/>
      <c r="O191" s="142"/>
      <c r="P191" s="141"/>
    </row>
    <row r="192" spans="1:17">
      <c r="A192" s="131">
        <v>30</v>
      </c>
      <c r="B192" s="132"/>
      <c r="C192" s="132" t="s">
        <v>430</v>
      </c>
      <c r="D192" s="87"/>
      <c r="E192" s="141"/>
      <c r="F192" s="75"/>
      <c r="G192" s="75"/>
      <c r="H192" s="75"/>
      <c r="I192" s="75"/>
      <c r="J192" s="141"/>
      <c r="K192" s="107"/>
      <c r="L192" s="135"/>
      <c r="M192" s="89"/>
      <c r="N192" s="89"/>
      <c r="O192" s="135"/>
      <c r="P192" s="89"/>
    </row>
    <row r="193" spans="1:19">
      <c r="A193" s="131"/>
      <c r="B193" s="171"/>
      <c r="C193" s="171" t="s">
        <v>398</v>
      </c>
      <c r="D193" s="132"/>
      <c r="E193" s="89"/>
      <c r="F193" s="119"/>
      <c r="G193" s="119"/>
      <c r="H193" s="119"/>
      <c r="I193" s="119"/>
      <c r="J193" s="89"/>
      <c r="K193" s="172"/>
      <c r="L193" s="134"/>
      <c r="M193" s="63"/>
      <c r="N193" s="63"/>
      <c r="O193" s="134"/>
      <c r="P193" s="63"/>
    </row>
    <row r="194" spans="1:19">
      <c r="A194" s="131"/>
      <c r="B194" s="132"/>
      <c r="C194" s="132" t="s">
        <v>224</v>
      </c>
      <c r="D194" s="73"/>
      <c r="E194" s="5">
        <f>'MP Attach GG'!L79</f>
        <v>24758920.147652213</v>
      </c>
      <c r="F194" s="119"/>
      <c r="G194" s="119"/>
      <c r="H194" s="119"/>
      <c r="I194" s="119"/>
      <c r="J194" s="258">
        <f>E194</f>
        <v>24758920.147652213</v>
      </c>
      <c r="K194" s="172"/>
      <c r="L194" s="134" t="s">
        <v>42</v>
      </c>
      <c r="M194" s="18">
        <f>J194-P194</f>
        <v>24758920.147652213</v>
      </c>
      <c r="N194" s="63"/>
      <c r="O194" s="134" t="s">
        <v>42</v>
      </c>
      <c r="P194" s="405">
        <v>0</v>
      </c>
    </row>
    <row r="195" spans="1:19">
      <c r="A195" s="131" t="s">
        <v>403</v>
      </c>
      <c r="B195" s="132"/>
      <c r="C195" s="132" t="s">
        <v>431</v>
      </c>
      <c r="D195" s="73"/>
      <c r="E195" s="141"/>
      <c r="F195" s="75"/>
      <c r="G195" s="75"/>
      <c r="H195" s="75"/>
      <c r="I195" s="75"/>
      <c r="J195" s="141"/>
      <c r="K195" s="107"/>
      <c r="L195" s="135"/>
      <c r="M195" s="141"/>
      <c r="N195" s="141"/>
      <c r="O195" s="142"/>
      <c r="P195" s="141"/>
    </row>
    <row r="196" spans="1:19">
      <c r="A196" s="131"/>
      <c r="B196" s="171"/>
      <c r="C196" s="171" t="s">
        <v>398</v>
      </c>
      <c r="D196" s="73"/>
      <c r="L196" s="64"/>
      <c r="O196" s="64"/>
    </row>
    <row r="197" spans="1:19">
      <c r="A197" s="131"/>
      <c r="B197" s="132"/>
      <c r="C197" s="132" t="s">
        <v>404</v>
      </c>
      <c r="D197" s="73"/>
      <c r="E197" s="405">
        <v>0</v>
      </c>
      <c r="F197" s="119"/>
      <c r="G197" s="119"/>
      <c r="H197" s="119"/>
      <c r="I197" s="119"/>
      <c r="J197" s="419">
        <f>E197</f>
        <v>0</v>
      </c>
      <c r="K197" s="172"/>
      <c r="L197" s="134" t="s">
        <v>42</v>
      </c>
      <c r="M197" s="404">
        <f>J197-P197</f>
        <v>0</v>
      </c>
      <c r="N197" s="63"/>
      <c r="O197" s="134" t="s">
        <v>42</v>
      </c>
      <c r="P197" s="405">
        <v>0</v>
      </c>
    </row>
    <row r="198" spans="1:19">
      <c r="A198" s="131" t="s">
        <v>436</v>
      </c>
      <c r="B198" s="132"/>
      <c r="C198" s="132" t="s">
        <v>437</v>
      </c>
      <c r="D198" s="87"/>
      <c r="E198" s="141"/>
      <c r="F198" s="75"/>
      <c r="G198" s="75"/>
      <c r="H198" s="75"/>
      <c r="I198" s="75"/>
      <c r="J198" s="141"/>
      <c r="K198" s="107"/>
      <c r="L198" s="135"/>
      <c r="M198" s="89"/>
      <c r="N198" s="89"/>
      <c r="O198" s="135"/>
      <c r="P198" s="89"/>
    </row>
    <row r="199" spans="1:19" s="105" customFormat="1" ht="15.75" customHeight="1">
      <c r="A199" s="131"/>
      <c r="B199" s="171"/>
      <c r="C199" s="171" t="s">
        <v>398</v>
      </c>
      <c r="D199" s="132"/>
      <c r="E199" s="89"/>
      <c r="F199" s="119"/>
      <c r="G199" s="119"/>
      <c r="H199" s="119"/>
      <c r="I199" s="119"/>
      <c r="J199" s="89"/>
      <c r="K199" s="172"/>
      <c r="L199" s="134"/>
      <c r="M199" s="63"/>
      <c r="N199" s="63"/>
      <c r="O199" s="134"/>
      <c r="P199" s="63"/>
    </row>
    <row r="200" spans="1:19" s="105" customFormat="1" ht="16.2" thickBot="1">
      <c r="A200" s="131"/>
      <c r="B200" s="132"/>
      <c r="C200" s="132" t="s">
        <v>438</v>
      </c>
      <c r="D200" s="73"/>
      <c r="E200" s="60">
        <f>'MP Attach ZZ'!L86</f>
        <v>10677960.853367599</v>
      </c>
      <c r="F200" s="119"/>
      <c r="G200" s="119"/>
      <c r="H200" s="119"/>
      <c r="I200" s="119"/>
      <c r="J200" s="259">
        <f>E200</f>
        <v>10677960.853367599</v>
      </c>
      <c r="K200" s="172"/>
      <c r="L200" s="134" t="s">
        <v>42</v>
      </c>
      <c r="M200" s="32">
        <f>J200-P200</f>
        <v>9307592.1717885546</v>
      </c>
      <c r="N200" s="63"/>
      <c r="O200" s="134" t="s">
        <v>42</v>
      </c>
      <c r="P200" s="60">
        <f>'MP Attach ZZ'!L84</f>
        <v>1370368.6815790439</v>
      </c>
    </row>
    <row r="201" spans="1:19" s="105" customFormat="1" ht="16.2" thickBot="1">
      <c r="A201" s="131">
        <v>31</v>
      </c>
      <c r="C201" s="105" t="s">
        <v>225</v>
      </c>
      <c r="D201" s="73"/>
      <c r="E201" s="44">
        <f>E190-E194-E197-E200</f>
        <v>422187991.49063087</v>
      </c>
      <c r="F201" s="119"/>
      <c r="G201" s="119"/>
      <c r="H201" s="119"/>
      <c r="I201" s="119"/>
      <c r="J201" s="44">
        <f>J190-J194-J197-J200</f>
        <v>61837512.280300677</v>
      </c>
      <c r="K201" s="172"/>
      <c r="L201" s="134"/>
      <c r="M201" s="44">
        <f>M190-M194-M197-M200</f>
        <v>46468864.484309852</v>
      </c>
      <c r="N201" s="63"/>
      <c r="O201" s="134"/>
      <c r="P201" s="44">
        <f>P190-P194-P197-P200</f>
        <v>15368647.795990823</v>
      </c>
    </row>
    <row r="202" spans="1:19" s="105" customFormat="1" ht="16.2" thickTop="1">
      <c r="A202" s="131"/>
      <c r="B202" s="132"/>
      <c r="C202" s="132" t="s">
        <v>439</v>
      </c>
      <c r="D202" s="73"/>
      <c r="E202" s="172"/>
      <c r="F202" s="119"/>
      <c r="G202" s="119"/>
      <c r="H202" s="119"/>
      <c r="I202" s="119"/>
      <c r="J202" s="119"/>
      <c r="K202" s="119"/>
      <c r="L202" s="74"/>
      <c r="O202" s="74"/>
    </row>
    <row r="203" spans="1:19" s="105" customFormat="1">
      <c r="A203" s="131"/>
      <c r="B203" s="132"/>
      <c r="C203" s="87"/>
      <c r="D203" s="73"/>
      <c r="E203" s="172"/>
      <c r="F203" s="119"/>
      <c r="G203" s="119"/>
      <c r="H203" s="119"/>
      <c r="I203" s="119"/>
      <c r="J203" s="119"/>
      <c r="K203" s="119"/>
      <c r="L203" s="74"/>
      <c r="O203" s="74"/>
      <c r="P203" s="68" t="s">
        <v>447</v>
      </c>
    </row>
    <row r="204" spans="1:19">
      <c r="C204" s="70" t="s">
        <v>26</v>
      </c>
      <c r="D204" s="70"/>
      <c r="E204" s="71" t="s">
        <v>0</v>
      </c>
      <c r="F204" s="70"/>
      <c r="G204" s="70"/>
      <c r="H204" s="70"/>
      <c r="I204" s="72"/>
      <c r="K204" s="73"/>
      <c r="L204" s="74"/>
      <c r="O204" s="74"/>
      <c r="P204" s="74" t="s">
        <v>226</v>
      </c>
      <c r="Q204" s="105"/>
      <c r="R204" s="105"/>
      <c r="S204" s="105"/>
    </row>
    <row r="205" spans="1:19">
      <c r="C205" s="70"/>
      <c r="D205" s="75" t="s">
        <v>3</v>
      </c>
      <c r="E205" s="75" t="s">
        <v>27</v>
      </c>
      <c r="F205" s="75"/>
      <c r="G205" s="75"/>
      <c r="H205" s="75"/>
      <c r="I205" s="72"/>
      <c r="J205" s="72"/>
      <c r="K205" s="72"/>
      <c r="N205" s="9" t="str">
        <f>N3</f>
        <v>For the 12 months ended 12/31/16</v>
      </c>
      <c r="O205" s="59"/>
      <c r="P205" s="55"/>
    </row>
    <row r="206" spans="1:19">
      <c r="A206" s="76"/>
      <c r="K206" s="75"/>
    </row>
    <row r="207" spans="1:19" ht="31.2">
      <c r="A207" s="76"/>
      <c r="E207" s="39" t="str">
        <f>E6</f>
        <v>Allete, Inc. dba Minnesota Power</v>
      </c>
      <c r="K207" s="75"/>
    </row>
    <row r="208" spans="1:19">
      <c r="A208" s="76"/>
      <c r="D208" s="129" t="s">
        <v>227</v>
      </c>
      <c r="F208" s="72"/>
      <c r="G208" s="72"/>
      <c r="H208" s="72"/>
      <c r="I208" s="72"/>
      <c r="J208" s="72"/>
      <c r="K208" s="75"/>
    </row>
    <row r="209" spans="1:11">
      <c r="A209" s="76" t="s">
        <v>1</v>
      </c>
      <c r="C209" s="129"/>
      <c r="D209" s="72"/>
      <c r="E209" s="72"/>
      <c r="F209" s="72"/>
      <c r="G209" s="72"/>
      <c r="H209" s="72"/>
      <c r="I209" s="72"/>
      <c r="J209" s="72"/>
      <c r="K209" s="75"/>
    </row>
    <row r="210" spans="1:11" ht="16.2" thickBot="1">
      <c r="A210" s="83" t="s">
        <v>2</v>
      </c>
      <c r="C210" s="132" t="s">
        <v>228</v>
      </c>
      <c r="D210" s="73"/>
      <c r="E210" s="73"/>
      <c r="F210" s="73"/>
      <c r="G210" s="73"/>
      <c r="H210" s="73"/>
      <c r="I210" s="105"/>
      <c r="J210" s="105"/>
      <c r="K210" s="87"/>
    </row>
    <row r="211" spans="1:11">
      <c r="A211" s="76"/>
      <c r="C211" s="132"/>
      <c r="D211" s="73"/>
      <c r="E211" s="73"/>
      <c r="F211" s="73"/>
      <c r="G211" s="73"/>
      <c r="H211" s="73"/>
      <c r="I211" s="73"/>
      <c r="J211" s="73"/>
      <c r="K211" s="87"/>
    </row>
    <row r="212" spans="1:11">
      <c r="A212" s="76">
        <v>1</v>
      </c>
      <c r="C212" s="73" t="s">
        <v>229</v>
      </c>
      <c r="D212" s="73"/>
      <c r="E212" s="87"/>
      <c r="F212" s="87"/>
      <c r="G212" s="87"/>
      <c r="H212" s="87"/>
      <c r="I212" s="87"/>
      <c r="J212" s="18">
        <f>E78</f>
        <v>710656190</v>
      </c>
      <c r="K212" s="87"/>
    </row>
    <row r="213" spans="1:11">
      <c r="A213" s="76">
        <v>2</v>
      </c>
      <c r="C213" s="73" t="s">
        <v>230</v>
      </c>
      <c r="D213" s="105"/>
      <c r="E213" s="105"/>
      <c r="F213" s="105"/>
      <c r="G213" s="105"/>
      <c r="H213" s="105"/>
      <c r="I213" s="105"/>
      <c r="J213" s="56">
        <v>91630200</v>
      </c>
      <c r="K213" s="87"/>
    </row>
    <row r="214" spans="1:11" ht="16.2" thickBot="1">
      <c r="A214" s="76">
        <v>3</v>
      </c>
      <c r="C214" s="173" t="s">
        <v>231</v>
      </c>
      <c r="D214" s="173"/>
      <c r="E214" s="174"/>
      <c r="F214" s="87"/>
      <c r="G214" s="87"/>
      <c r="H214" s="175"/>
      <c r="I214" s="87"/>
      <c r="J214" s="60">
        <v>7880691</v>
      </c>
      <c r="K214" s="87"/>
    </row>
    <row r="215" spans="1:11">
      <c r="A215" s="76">
        <v>4</v>
      </c>
      <c r="C215" s="73" t="s">
        <v>232</v>
      </c>
      <c r="D215" s="73"/>
      <c r="E215" s="87"/>
      <c r="F215" s="87"/>
      <c r="G215" s="87"/>
      <c r="H215" s="175"/>
      <c r="I215" s="87"/>
      <c r="J215" s="18">
        <f>J212-J213-J214</f>
        <v>611145299</v>
      </c>
      <c r="K215" s="87"/>
    </row>
    <row r="216" spans="1:11">
      <c r="A216" s="76"/>
      <c r="C216" s="105"/>
      <c r="D216" s="73"/>
      <c r="E216" s="87"/>
      <c r="F216" s="87"/>
      <c r="G216" s="87"/>
      <c r="H216" s="175"/>
      <c r="I216" s="87"/>
      <c r="J216" s="105"/>
      <c r="K216" s="87"/>
    </row>
    <row r="217" spans="1:11">
      <c r="A217" s="76">
        <v>5</v>
      </c>
      <c r="C217" s="73" t="s">
        <v>233</v>
      </c>
      <c r="D217" s="176"/>
      <c r="E217" s="177"/>
      <c r="F217" s="177"/>
      <c r="G217" s="177"/>
      <c r="H217" s="178"/>
      <c r="I217" s="87" t="s">
        <v>234</v>
      </c>
      <c r="J217" s="37">
        <f>IF(J212&gt;0,J215/J212,0)</f>
        <v>0.85997322981173219</v>
      </c>
      <c r="K217" s="87"/>
    </row>
    <row r="218" spans="1:11">
      <c r="A218" s="76"/>
      <c r="C218" s="73"/>
      <c r="D218" s="176"/>
      <c r="E218" s="177"/>
      <c r="F218" s="177"/>
      <c r="G218" s="177"/>
      <c r="H218" s="178"/>
      <c r="I218" s="87"/>
      <c r="J218" s="153"/>
      <c r="K218" s="87"/>
    </row>
    <row r="219" spans="1:11">
      <c r="A219" s="76">
        <v>6</v>
      </c>
      <c r="C219" s="73" t="s">
        <v>235</v>
      </c>
      <c r="D219" s="176"/>
      <c r="E219" s="45">
        <f>J78</f>
        <v>611145299</v>
      </c>
      <c r="F219" s="177"/>
      <c r="G219" s="177"/>
      <c r="H219" s="178"/>
      <c r="I219" s="87"/>
      <c r="J219" s="105"/>
      <c r="K219" s="87"/>
    </row>
    <row r="220" spans="1:11">
      <c r="A220" s="76">
        <v>7</v>
      </c>
      <c r="C220" s="73" t="s">
        <v>236</v>
      </c>
      <c r="D220" s="176"/>
      <c r="E220" s="45">
        <f>M78</f>
        <v>474459874</v>
      </c>
      <c r="F220" s="177"/>
      <c r="G220" s="177"/>
      <c r="H220" s="178"/>
      <c r="I220" s="87" t="s">
        <v>237</v>
      </c>
      <c r="J220" s="46">
        <f>IF(E220&gt;0,E220/E219,0)</f>
        <v>0.77634545299840385</v>
      </c>
      <c r="K220" s="87"/>
    </row>
    <row r="221" spans="1:11">
      <c r="A221" s="76">
        <v>8</v>
      </c>
      <c r="C221" s="73" t="s">
        <v>238</v>
      </c>
      <c r="D221" s="176"/>
      <c r="E221" s="45">
        <f>P78</f>
        <v>136685425</v>
      </c>
      <c r="F221" s="177"/>
      <c r="G221" s="177"/>
      <c r="H221" s="178"/>
      <c r="I221" s="87" t="s">
        <v>239</v>
      </c>
      <c r="J221" s="46">
        <f>IF(E221&gt;0,E221/E219,0)</f>
        <v>0.22365454700159609</v>
      </c>
      <c r="K221" s="87"/>
    </row>
    <row r="222" spans="1:11">
      <c r="A222" s="76"/>
      <c r="C222" s="73"/>
      <c r="D222" s="176"/>
      <c r="E222" s="179"/>
      <c r="F222" s="177"/>
      <c r="G222" s="177"/>
      <c r="H222" s="178"/>
      <c r="I222" s="87"/>
      <c r="J222" s="180"/>
      <c r="K222" s="87"/>
    </row>
    <row r="223" spans="1:11">
      <c r="A223" s="76">
        <v>9</v>
      </c>
      <c r="C223" s="73" t="s">
        <v>240</v>
      </c>
      <c r="D223" s="176"/>
      <c r="E223" s="45">
        <f>J98</f>
        <v>448907734.59981394</v>
      </c>
      <c r="F223" s="177"/>
      <c r="G223" s="177"/>
      <c r="H223" s="178"/>
      <c r="I223" s="87"/>
      <c r="J223" s="105"/>
      <c r="K223" s="87"/>
    </row>
    <row r="224" spans="1:11">
      <c r="A224" s="76">
        <v>10</v>
      </c>
      <c r="C224" s="73" t="s">
        <v>241</v>
      </c>
      <c r="D224" s="176"/>
      <c r="E224" s="45">
        <f>M98</f>
        <v>366059970.5016647</v>
      </c>
      <c r="F224" s="177"/>
      <c r="G224" s="177"/>
      <c r="H224" s="178"/>
      <c r="I224" s="87" t="s">
        <v>242</v>
      </c>
      <c r="J224" s="46">
        <f>IF(E224&gt;0,E224/E223,0)</f>
        <v>0.8154458974247677</v>
      </c>
      <c r="K224" s="87"/>
    </row>
    <row r="225" spans="1:29">
      <c r="A225" s="76">
        <v>11</v>
      </c>
      <c r="C225" s="73" t="s">
        <v>243</v>
      </c>
      <c r="D225" s="176"/>
      <c r="E225" s="45">
        <f>P98</f>
        <v>82847764.09814924</v>
      </c>
      <c r="F225" s="177"/>
      <c r="G225" s="177"/>
      <c r="H225" s="178"/>
      <c r="I225" s="87" t="s">
        <v>244</v>
      </c>
      <c r="J225" s="46">
        <f>IF(E225&gt;0,E225/E223,0)</f>
        <v>0.18455410257523236</v>
      </c>
      <c r="K225" s="87"/>
    </row>
    <row r="226" spans="1:29">
      <c r="A226" s="76"/>
      <c r="C226" s="105"/>
      <c r="D226" s="105"/>
      <c r="E226" s="105"/>
      <c r="F226" s="105"/>
      <c r="G226" s="105"/>
      <c r="H226" s="105"/>
      <c r="I226" s="105"/>
      <c r="J226" s="105"/>
      <c r="K226" s="87"/>
      <c r="U226" s="181"/>
      <c r="V226" s="181"/>
      <c r="W226" s="181"/>
      <c r="X226" s="181"/>
      <c r="Y226" s="181"/>
      <c r="Z226" s="181"/>
      <c r="AA226" s="181"/>
      <c r="AB226" s="181"/>
      <c r="AC226" s="181"/>
    </row>
    <row r="227" spans="1:29">
      <c r="A227" s="76"/>
      <c r="C227" s="132" t="s">
        <v>245</v>
      </c>
      <c r="D227" s="105"/>
      <c r="E227" s="105"/>
      <c r="F227" s="105"/>
      <c r="G227" s="105"/>
      <c r="H227" s="105"/>
      <c r="I227" s="105"/>
      <c r="J227" s="105"/>
      <c r="K227" s="87"/>
      <c r="L227" s="131"/>
      <c r="U227" s="182"/>
      <c r="V227" s="181"/>
      <c r="W227" s="181"/>
      <c r="X227" s="181"/>
      <c r="Y227" s="181"/>
      <c r="Z227" s="181"/>
      <c r="AA227" s="181"/>
      <c r="AB227" s="181"/>
      <c r="AC227" s="181"/>
    </row>
    <row r="228" spans="1:29">
      <c r="A228" s="76"/>
      <c r="C228" s="105"/>
      <c r="D228" s="105"/>
      <c r="E228" s="105"/>
      <c r="F228" s="105"/>
      <c r="G228" s="105"/>
      <c r="H228" s="105"/>
      <c r="I228" s="105"/>
      <c r="J228" s="105"/>
      <c r="K228" s="105"/>
      <c r="U228" s="181"/>
      <c r="V228" s="181"/>
      <c r="W228" s="181"/>
      <c r="X228" s="181"/>
      <c r="Y228" s="181"/>
      <c r="Z228" s="181"/>
      <c r="AA228" s="181"/>
      <c r="AB228" s="181"/>
      <c r="AC228" s="181"/>
    </row>
    <row r="229" spans="1:29">
      <c r="A229" s="76">
        <v>12</v>
      </c>
      <c r="C229" s="105" t="s">
        <v>246</v>
      </c>
      <c r="D229" s="105"/>
      <c r="E229" s="73"/>
      <c r="F229" s="73"/>
      <c r="G229" s="73"/>
      <c r="H229" s="131"/>
      <c r="I229" s="73"/>
      <c r="J229" s="18">
        <f>E142</f>
        <v>82641011</v>
      </c>
      <c r="K229" s="105"/>
      <c r="U229" s="183"/>
      <c r="V229" s="183"/>
      <c r="W229" s="184"/>
      <c r="X229" s="183"/>
      <c r="Y229" s="185"/>
      <c r="Z229" s="186"/>
      <c r="AA229" s="183"/>
      <c r="AB229" s="183"/>
      <c r="AC229" s="181"/>
    </row>
    <row r="230" spans="1:29" ht="16.2" thickBot="1">
      <c r="A230" s="76">
        <v>13</v>
      </c>
      <c r="C230" s="173" t="s">
        <v>247</v>
      </c>
      <c r="D230" s="173"/>
      <c r="E230" s="174"/>
      <c r="F230" s="174"/>
      <c r="G230" s="87"/>
      <c r="H230" s="87"/>
      <c r="I230" s="87"/>
      <c r="J230" s="60">
        <v>5252231</v>
      </c>
      <c r="K230" s="105"/>
      <c r="U230" s="187"/>
      <c r="V230" s="185"/>
      <c r="W230" s="188"/>
      <c r="X230" s="189"/>
      <c r="Y230" s="185"/>
      <c r="Z230" s="186"/>
      <c r="AA230" s="183"/>
      <c r="AB230" s="183"/>
      <c r="AC230" s="181"/>
    </row>
    <row r="231" spans="1:29">
      <c r="A231" s="76">
        <v>14</v>
      </c>
      <c r="C231" s="73" t="s">
        <v>248</v>
      </c>
      <c r="D231" s="176"/>
      <c r="E231" s="177"/>
      <c r="F231" s="177"/>
      <c r="G231" s="177"/>
      <c r="H231" s="178"/>
      <c r="I231" s="177"/>
      <c r="J231" s="18">
        <f>+J229-J230</f>
        <v>77388780</v>
      </c>
      <c r="K231" s="105"/>
      <c r="U231" s="190"/>
      <c r="V231" s="191"/>
      <c r="W231" s="192"/>
      <c r="X231" s="193"/>
      <c r="Y231" s="194"/>
      <c r="Z231" s="194"/>
      <c r="AA231" s="183"/>
      <c r="AB231" s="183"/>
      <c r="AC231" s="181"/>
    </row>
    <row r="232" spans="1:29">
      <c r="A232" s="76"/>
      <c r="C232" s="73"/>
      <c r="D232" s="73"/>
      <c r="E232" s="87"/>
      <c r="F232" s="87"/>
      <c r="G232" s="87"/>
      <c r="H232" s="87"/>
      <c r="I232" s="105"/>
      <c r="J232" s="105"/>
      <c r="K232" s="105"/>
      <c r="U232" s="183"/>
      <c r="V232" s="183"/>
      <c r="W232" s="184"/>
      <c r="X232" s="193"/>
      <c r="Y232" s="183"/>
      <c r="Z232" s="183"/>
      <c r="AA232" s="183"/>
      <c r="AB232" s="183"/>
      <c r="AC232" s="181"/>
    </row>
    <row r="233" spans="1:29">
      <c r="A233" s="76">
        <v>15</v>
      </c>
      <c r="C233" s="73" t="s">
        <v>249</v>
      </c>
      <c r="D233" s="73"/>
      <c r="E233" s="87"/>
      <c r="F233" s="87"/>
      <c r="G233" s="87"/>
      <c r="H233" s="87"/>
      <c r="I233" s="87"/>
      <c r="J233" s="31">
        <f>IF(J229&gt;0,J231/J229,0)</f>
        <v>0.9364452233044438</v>
      </c>
      <c r="U233" s="186"/>
      <c r="V233" s="186"/>
      <c r="W233" s="195"/>
      <c r="X233" s="196"/>
      <c r="Y233" s="197"/>
      <c r="Z233" s="197"/>
      <c r="AA233" s="183"/>
      <c r="AB233" s="183"/>
      <c r="AC233" s="181"/>
    </row>
    <row r="234" spans="1:29">
      <c r="A234" s="76">
        <v>16</v>
      </c>
      <c r="C234" s="73" t="s">
        <v>250</v>
      </c>
      <c r="D234" s="73"/>
      <c r="E234" s="87"/>
      <c r="F234" s="87"/>
      <c r="G234" s="87"/>
      <c r="H234" s="87"/>
      <c r="I234" s="73" t="s">
        <v>41</v>
      </c>
      <c r="J234" s="47">
        <f>J217</f>
        <v>0.85997322981173219</v>
      </c>
      <c r="K234" s="75"/>
      <c r="U234" s="187"/>
      <c r="V234" s="187"/>
      <c r="W234" s="198"/>
      <c r="X234" s="197"/>
      <c r="Y234" s="183"/>
      <c r="Z234" s="197"/>
      <c r="AA234" s="183"/>
      <c r="AB234" s="183"/>
      <c r="AC234" s="181"/>
    </row>
    <row r="235" spans="1:29">
      <c r="A235" s="76">
        <v>17</v>
      </c>
      <c r="C235" s="73" t="s">
        <v>382</v>
      </c>
      <c r="D235" s="73"/>
      <c r="E235" s="73"/>
      <c r="F235" s="73"/>
      <c r="G235" s="73"/>
      <c r="H235" s="73"/>
      <c r="I235" s="73" t="s">
        <v>251</v>
      </c>
      <c r="J235" s="48">
        <f>+J234*J233</f>
        <v>0.80531782322689127</v>
      </c>
      <c r="K235" s="75"/>
      <c r="U235" s="190"/>
      <c r="V235" s="187"/>
      <c r="W235" s="198"/>
      <c r="X235" s="197"/>
      <c r="Y235" s="183"/>
      <c r="Z235" s="197"/>
      <c r="AA235" s="183"/>
      <c r="AB235" s="183"/>
      <c r="AC235" s="181"/>
    </row>
    <row r="236" spans="1:29">
      <c r="A236" s="76"/>
      <c r="D236" s="72"/>
      <c r="E236" s="75"/>
      <c r="F236" s="75"/>
      <c r="G236" s="75"/>
      <c r="H236" s="109"/>
      <c r="I236" s="75"/>
      <c r="K236" s="75"/>
      <c r="M236" s="67"/>
      <c r="N236" s="67"/>
      <c r="U236" s="190"/>
      <c r="V236" s="185"/>
      <c r="W236" s="188"/>
      <c r="X236" s="197"/>
      <c r="Y236" s="183"/>
      <c r="Z236" s="197"/>
      <c r="AA236" s="183"/>
      <c r="AB236" s="183"/>
      <c r="AC236" s="181"/>
    </row>
    <row r="237" spans="1:29">
      <c r="A237" s="76" t="s">
        <v>3</v>
      </c>
      <c r="C237" s="70" t="s">
        <v>252</v>
      </c>
      <c r="D237" s="75"/>
      <c r="E237" s="75"/>
      <c r="F237" s="75"/>
      <c r="G237" s="75"/>
      <c r="H237" s="75"/>
      <c r="I237" s="75"/>
      <c r="J237" s="75"/>
      <c r="K237" s="75"/>
      <c r="M237" s="67"/>
      <c r="N237" s="67"/>
      <c r="U237" s="190"/>
      <c r="V237" s="185"/>
      <c r="W237" s="188"/>
      <c r="X237" s="197"/>
      <c r="Y237" s="183"/>
      <c r="Z237" s="199"/>
      <c r="AA237" s="183"/>
      <c r="AB237" s="183"/>
      <c r="AC237" s="181"/>
    </row>
    <row r="238" spans="1:29" ht="16.2" thickBot="1">
      <c r="A238" s="76" t="s">
        <v>3</v>
      </c>
      <c r="C238" s="70"/>
      <c r="D238" s="200" t="s">
        <v>253</v>
      </c>
      <c r="E238" s="201" t="s">
        <v>254</v>
      </c>
      <c r="F238" s="201" t="s">
        <v>41</v>
      </c>
      <c r="G238" s="75"/>
      <c r="H238" s="201" t="s">
        <v>255</v>
      </c>
      <c r="I238" s="75"/>
      <c r="J238" s="75"/>
      <c r="K238" s="75"/>
      <c r="M238" s="67"/>
      <c r="N238" s="67"/>
      <c r="U238" s="191"/>
      <c r="V238" s="191"/>
      <c r="W238" s="192"/>
      <c r="X238" s="193"/>
      <c r="Y238" s="185"/>
      <c r="Z238" s="186"/>
      <c r="AA238" s="183"/>
      <c r="AB238" s="183"/>
      <c r="AC238" s="181"/>
    </row>
    <row r="239" spans="1:29">
      <c r="A239" s="76">
        <v>18</v>
      </c>
      <c r="C239" s="70" t="s">
        <v>122</v>
      </c>
      <c r="D239" s="75" t="s">
        <v>256</v>
      </c>
      <c r="E239" s="56">
        <v>30225944</v>
      </c>
      <c r="F239" s="202">
        <v>0</v>
      </c>
      <c r="G239" s="202"/>
      <c r="H239" s="400">
        <f>E239*F239</f>
        <v>0</v>
      </c>
      <c r="I239" s="75"/>
      <c r="J239" s="75"/>
      <c r="K239" s="75"/>
      <c r="M239" s="67"/>
      <c r="N239" s="67"/>
      <c r="U239" s="191"/>
      <c r="V239" s="191"/>
      <c r="W239" s="192"/>
      <c r="X239" s="193"/>
      <c r="Y239" s="185"/>
      <c r="Z239" s="186"/>
      <c r="AA239" s="183"/>
      <c r="AB239" s="183"/>
      <c r="AC239" s="181"/>
    </row>
    <row r="240" spans="1:29">
      <c r="A240" s="76">
        <v>19</v>
      </c>
      <c r="C240" s="70" t="s">
        <v>125</v>
      </c>
      <c r="D240" s="75" t="s">
        <v>257</v>
      </c>
      <c r="E240" s="56">
        <v>9716773</v>
      </c>
      <c r="F240" s="49">
        <f>+J217</f>
        <v>0.85997322981173219</v>
      </c>
      <c r="G240" s="202"/>
      <c r="H240" s="400">
        <f>E240*F240</f>
        <v>8356164.6601574346</v>
      </c>
      <c r="I240" s="75"/>
      <c r="J240" s="75"/>
      <c r="K240" s="109"/>
      <c r="M240" s="67"/>
      <c r="N240" s="67"/>
      <c r="U240" s="181"/>
      <c r="V240" s="181"/>
      <c r="W240" s="181"/>
      <c r="X240" s="181"/>
      <c r="Y240" s="181"/>
      <c r="Z240" s="181"/>
      <c r="AA240" s="181"/>
      <c r="AB240" s="181"/>
      <c r="AC240" s="181"/>
    </row>
    <row r="241" spans="1:29">
      <c r="A241" s="76">
        <v>20</v>
      </c>
      <c r="C241" s="70" t="s">
        <v>127</v>
      </c>
      <c r="D241" s="75" t="s">
        <v>258</v>
      </c>
      <c r="E241" s="56">
        <v>12575405</v>
      </c>
      <c r="F241" s="202">
        <v>0</v>
      </c>
      <c r="G241" s="202"/>
      <c r="H241" s="400">
        <f>E241*F241</f>
        <v>0</v>
      </c>
      <c r="I241" s="75"/>
      <c r="J241" s="203" t="s">
        <v>259</v>
      </c>
      <c r="K241" s="75"/>
      <c r="M241" s="67"/>
      <c r="N241" s="67"/>
      <c r="U241" s="181"/>
      <c r="V241" s="181"/>
      <c r="W241" s="181"/>
      <c r="X241" s="181"/>
      <c r="Y241" s="181"/>
      <c r="Z241" s="181"/>
      <c r="AA241" s="181"/>
      <c r="AB241" s="181"/>
      <c r="AC241" s="181"/>
    </row>
    <row r="242" spans="1:29" ht="16.2" thickBot="1">
      <c r="A242" s="76">
        <v>21</v>
      </c>
      <c r="C242" s="70" t="s">
        <v>260</v>
      </c>
      <c r="D242" s="75" t="s">
        <v>261</v>
      </c>
      <c r="E242" s="60">
        <v>4691670</v>
      </c>
      <c r="F242" s="202">
        <v>0</v>
      </c>
      <c r="G242" s="202"/>
      <c r="H242" s="401">
        <f>E242*F242</f>
        <v>0</v>
      </c>
      <c r="I242" s="75"/>
      <c r="J242" s="83" t="s">
        <v>262</v>
      </c>
      <c r="K242" s="75"/>
      <c r="M242" s="67"/>
      <c r="N242" s="67"/>
      <c r="U242" s="181"/>
      <c r="V242" s="181"/>
      <c r="W242" s="181"/>
      <c r="X242" s="181"/>
      <c r="Y242" s="181"/>
      <c r="Z242" s="181"/>
      <c r="AA242" s="181"/>
      <c r="AB242" s="181"/>
      <c r="AC242" s="181"/>
    </row>
    <row r="243" spans="1:29">
      <c r="A243" s="76">
        <v>22</v>
      </c>
      <c r="C243" s="70" t="s">
        <v>263</v>
      </c>
      <c r="D243" s="75"/>
      <c r="E243" s="14">
        <f>SUM(E239:E242)</f>
        <v>57209792</v>
      </c>
      <c r="F243" s="75"/>
      <c r="G243" s="75"/>
      <c r="H243" s="14">
        <f>SUM(H239:H242)</f>
        <v>8356164.6601574346</v>
      </c>
      <c r="I243" s="76" t="s">
        <v>264</v>
      </c>
      <c r="J243" s="29">
        <f>IF(H243&gt;0,H243/E243,0)</f>
        <v>0.14606179061370184</v>
      </c>
      <c r="L243" s="204" t="s">
        <v>265</v>
      </c>
      <c r="M243" s="67"/>
      <c r="N243" s="67"/>
      <c r="P243" s="67"/>
      <c r="Q243" s="67"/>
      <c r="R243" s="67"/>
      <c r="S243" s="67"/>
      <c r="T243" s="67"/>
      <c r="U243" s="181"/>
      <c r="V243" s="181"/>
      <c r="W243" s="181"/>
      <c r="X243" s="181"/>
      <c r="Y243" s="181"/>
      <c r="Z243" s="181"/>
      <c r="AA243" s="181"/>
      <c r="AB243" s="181"/>
      <c r="AC243" s="181"/>
    </row>
    <row r="244" spans="1:29">
      <c r="A244" s="76"/>
      <c r="C244" s="70"/>
      <c r="D244" s="75"/>
      <c r="E244" s="75"/>
      <c r="F244" s="75"/>
      <c r="G244" s="75"/>
      <c r="H244" s="89"/>
      <c r="I244" s="76"/>
      <c r="J244" s="130"/>
      <c r="M244" s="67"/>
      <c r="N244" s="67"/>
      <c r="P244" s="67"/>
      <c r="Q244" s="67"/>
      <c r="R244" s="67"/>
      <c r="S244" s="67"/>
      <c r="T244" s="67"/>
      <c r="U244" s="205"/>
      <c r="V244" s="205"/>
      <c r="W244" s="206"/>
      <c r="X244" s="207"/>
      <c r="Y244" s="208"/>
      <c r="Z244" s="208"/>
      <c r="AA244" s="209"/>
      <c r="AB244" s="209"/>
      <c r="AC244" s="181"/>
    </row>
    <row r="245" spans="1:29">
      <c r="A245" s="76"/>
      <c r="C245" s="70"/>
      <c r="D245" s="75"/>
      <c r="E245" s="75"/>
      <c r="F245" s="75"/>
      <c r="G245" s="75"/>
      <c r="H245" s="89"/>
      <c r="I245" s="76"/>
      <c r="J245" s="130"/>
      <c r="M245" s="67"/>
      <c r="N245" s="67"/>
      <c r="P245" s="67"/>
      <c r="Q245" s="67"/>
      <c r="R245" s="67"/>
      <c r="S245" s="67"/>
      <c r="T245" s="67"/>
      <c r="U245" s="205"/>
      <c r="V245" s="205"/>
      <c r="W245" s="206"/>
      <c r="X245" s="207"/>
      <c r="Y245" s="208"/>
      <c r="Z245" s="208"/>
      <c r="AA245" s="209"/>
      <c r="AB245" s="209"/>
      <c r="AC245" s="181"/>
    </row>
    <row r="246" spans="1:29">
      <c r="A246" s="76"/>
      <c r="C246" s="70"/>
      <c r="D246" s="75"/>
      <c r="E246" s="75"/>
      <c r="F246" s="75"/>
      <c r="G246" s="75"/>
      <c r="H246" s="89"/>
      <c r="I246" s="76"/>
      <c r="J246" s="130"/>
      <c r="M246" s="67"/>
      <c r="N246" s="67"/>
      <c r="P246" s="67"/>
      <c r="Q246" s="67"/>
      <c r="R246" s="67"/>
      <c r="S246" s="67"/>
      <c r="T246" s="67"/>
      <c r="U246" s="205"/>
      <c r="V246" s="205"/>
      <c r="W246" s="206"/>
      <c r="X246" s="207"/>
      <c r="Y246" s="208"/>
      <c r="Z246" s="208"/>
      <c r="AA246" s="209"/>
      <c r="AB246" s="209"/>
    </row>
    <row r="247" spans="1:29">
      <c r="A247" s="76"/>
      <c r="C247" s="70"/>
      <c r="D247" s="75"/>
      <c r="E247" s="75"/>
      <c r="F247" s="75"/>
      <c r="G247" s="75"/>
      <c r="H247" s="89"/>
      <c r="I247" s="76"/>
      <c r="J247" s="130"/>
      <c r="M247" s="67"/>
      <c r="N247" s="67"/>
      <c r="P247" s="67"/>
      <c r="Q247" s="67"/>
      <c r="R247" s="67"/>
      <c r="S247" s="67"/>
      <c r="T247" s="67"/>
      <c r="U247" s="205"/>
      <c r="V247" s="205"/>
      <c r="W247" s="206"/>
      <c r="X247" s="207"/>
      <c r="Y247" s="208"/>
      <c r="Z247" s="208"/>
      <c r="AA247" s="209"/>
      <c r="AB247" s="209"/>
    </row>
    <row r="248" spans="1:29">
      <c r="A248" s="76"/>
      <c r="C248" s="70"/>
      <c r="D248" s="75"/>
      <c r="E248" s="75"/>
      <c r="F248" s="75"/>
      <c r="G248" s="75"/>
      <c r="H248" s="89"/>
      <c r="I248" s="76"/>
      <c r="J248" s="130"/>
      <c r="M248" s="67"/>
      <c r="N248" s="67"/>
      <c r="P248" s="67"/>
      <c r="Q248" s="67"/>
      <c r="R248" s="67"/>
      <c r="S248" s="67"/>
      <c r="T248" s="67"/>
      <c r="U248" s="205"/>
      <c r="V248" s="205"/>
      <c r="W248" s="206"/>
      <c r="X248" s="207"/>
      <c r="Y248" s="208"/>
      <c r="Z248" s="208"/>
      <c r="AA248" s="209"/>
      <c r="AB248" s="209"/>
    </row>
    <row r="249" spans="1:29">
      <c r="A249" s="76"/>
      <c r="C249" s="70"/>
      <c r="D249" s="75"/>
      <c r="E249" s="75"/>
      <c r="F249" s="75"/>
      <c r="G249" s="75"/>
      <c r="H249" s="89"/>
      <c r="I249" s="76"/>
      <c r="J249" s="130"/>
      <c r="M249" s="67"/>
      <c r="N249" s="67"/>
      <c r="P249" s="67"/>
      <c r="Q249" s="67"/>
      <c r="R249" s="67"/>
      <c r="S249" s="67"/>
      <c r="T249" s="67"/>
      <c r="U249" s="205"/>
      <c r="V249" s="205"/>
      <c r="W249" s="206"/>
      <c r="X249" s="207"/>
      <c r="Y249" s="208"/>
      <c r="Z249" s="208"/>
      <c r="AA249" s="209"/>
      <c r="AB249" s="209"/>
    </row>
    <row r="250" spans="1:29">
      <c r="A250" s="76"/>
      <c r="C250" s="70"/>
      <c r="D250" s="75"/>
      <c r="E250" s="75"/>
      <c r="F250" s="75"/>
      <c r="G250" s="75"/>
      <c r="H250" s="89"/>
      <c r="I250" s="76"/>
      <c r="J250" s="130"/>
      <c r="M250" s="67"/>
      <c r="N250" s="67"/>
      <c r="P250" s="67"/>
      <c r="Q250" s="67"/>
      <c r="R250" s="67"/>
      <c r="S250" s="67"/>
      <c r="T250" s="67"/>
      <c r="U250" s="205"/>
      <c r="V250" s="205"/>
      <c r="W250" s="206"/>
      <c r="X250" s="207"/>
      <c r="Y250" s="208"/>
      <c r="Z250" s="208"/>
      <c r="AA250" s="209"/>
      <c r="AB250" s="209"/>
    </row>
    <row r="251" spans="1:29">
      <c r="A251" s="76"/>
      <c r="C251" s="70"/>
      <c r="D251" s="75"/>
      <c r="E251" s="75"/>
      <c r="F251" s="75"/>
      <c r="G251" s="75"/>
      <c r="H251" s="89"/>
      <c r="I251" s="76"/>
      <c r="J251" s="130"/>
      <c r="M251" s="67"/>
      <c r="N251" s="67"/>
      <c r="P251" s="67"/>
      <c r="Q251" s="67"/>
      <c r="R251" s="67"/>
      <c r="S251" s="67"/>
      <c r="T251" s="67"/>
      <c r="U251" s="205"/>
      <c r="V251" s="205"/>
      <c r="W251" s="206"/>
      <c r="X251" s="207"/>
      <c r="Y251" s="208"/>
      <c r="Z251" s="208"/>
      <c r="AA251" s="209"/>
      <c r="AB251" s="209"/>
    </row>
    <row r="252" spans="1:29">
      <c r="A252" s="76"/>
      <c r="C252" s="70"/>
      <c r="D252" s="75"/>
      <c r="E252" s="75"/>
      <c r="F252" s="75"/>
      <c r="G252" s="75"/>
      <c r="H252" s="89"/>
      <c r="I252" s="76"/>
      <c r="J252" s="130"/>
      <c r="M252" s="67"/>
      <c r="N252" s="67"/>
      <c r="P252" s="67"/>
      <c r="Q252" s="67"/>
      <c r="R252" s="67"/>
      <c r="S252" s="67"/>
      <c r="T252" s="67"/>
      <c r="U252" s="205"/>
      <c r="V252" s="205"/>
      <c r="W252" s="206"/>
      <c r="X252" s="207"/>
      <c r="Y252" s="208"/>
      <c r="Z252" s="208"/>
      <c r="AA252" s="209"/>
      <c r="AB252" s="209"/>
    </row>
    <row r="253" spans="1:29">
      <c r="A253" s="76"/>
      <c r="C253" s="70"/>
      <c r="D253" s="75"/>
      <c r="E253" s="75"/>
      <c r="F253" s="75"/>
      <c r="G253" s="75"/>
      <c r="H253" s="89"/>
      <c r="I253" s="76"/>
      <c r="J253" s="130"/>
      <c r="M253" s="67"/>
      <c r="N253" s="67"/>
      <c r="P253" s="67"/>
      <c r="Q253" s="67"/>
      <c r="R253" s="67"/>
      <c r="S253" s="67"/>
      <c r="T253" s="67"/>
      <c r="U253" s="205"/>
      <c r="V253" s="205"/>
      <c r="W253" s="206"/>
      <c r="X253" s="207"/>
      <c r="Y253" s="208"/>
      <c r="Z253" s="208"/>
      <c r="AA253" s="209"/>
      <c r="AB253" s="209"/>
    </row>
    <row r="254" spans="1:29">
      <c r="A254" s="76"/>
      <c r="C254" s="70"/>
      <c r="D254" s="75"/>
      <c r="E254" s="75"/>
      <c r="F254" s="75"/>
      <c r="G254" s="75"/>
      <c r="H254" s="89"/>
      <c r="I254" s="76"/>
      <c r="J254" s="130"/>
      <c r="M254" s="67"/>
      <c r="N254" s="67"/>
      <c r="P254" s="67"/>
      <c r="Q254" s="67"/>
      <c r="R254" s="67"/>
      <c r="S254" s="67"/>
      <c r="T254" s="67"/>
      <c r="U254" s="205"/>
      <c r="V254" s="205"/>
      <c r="W254" s="206"/>
      <c r="X254" s="207"/>
      <c r="Y254" s="208"/>
      <c r="Z254" s="208"/>
      <c r="AA254" s="209"/>
      <c r="AB254" s="209"/>
    </row>
    <row r="255" spans="1:29">
      <c r="A255" s="76"/>
      <c r="C255" s="70"/>
      <c r="D255" s="75"/>
      <c r="E255" s="75"/>
      <c r="F255" s="75"/>
      <c r="G255" s="75"/>
      <c r="H255" s="89"/>
      <c r="I255" s="76"/>
      <c r="J255" s="130"/>
      <c r="M255" s="67"/>
      <c r="N255" s="67"/>
      <c r="P255" s="67"/>
      <c r="Q255" s="67"/>
      <c r="R255" s="67"/>
      <c r="S255" s="67"/>
      <c r="T255" s="67"/>
      <c r="U255" s="205"/>
      <c r="V255" s="205"/>
      <c r="W255" s="206"/>
      <c r="X255" s="207"/>
      <c r="Y255" s="208"/>
      <c r="Z255" s="208"/>
      <c r="AA255" s="209"/>
      <c r="AB255" s="209"/>
    </row>
    <row r="256" spans="1:29">
      <c r="A256" s="76"/>
      <c r="C256" s="70"/>
      <c r="D256" s="75"/>
      <c r="E256" s="75"/>
      <c r="F256" s="75"/>
      <c r="G256" s="75"/>
      <c r="H256" s="89"/>
      <c r="I256" s="76"/>
      <c r="J256" s="130"/>
      <c r="M256" s="67"/>
      <c r="N256" s="67"/>
      <c r="P256" s="67"/>
      <c r="Q256" s="67"/>
      <c r="R256" s="67"/>
      <c r="S256" s="67"/>
      <c r="T256" s="67"/>
      <c r="U256" s="205"/>
      <c r="V256" s="205"/>
      <c r="W256" s="206"/>
      <c r="X256" s="207"/>
      <c r="Y256" s="208"/>
      <c r="Z256" s="208"/>
      <c r="AA256" s="209"/>
      <c r="AB256" s="209"/>
    </row>
    <row r="257" spans="1:28">
      <c r="A257" s="76"/>
      <c r="C257" s="70"/>
      <c r="D257" s="75"/>
      <c r="E257" s="75"/>
      <c r="F257" s="75"/>
      <c r="G257" s="75"/>
      <c r="H257" s="89"/>
      <c r="I257" s="76"/>
      <c r="J257" s="130"/>
      <c r="M257" s="67"/>
      <c r="N257" s="67"/>
      <c r="P257" s="67"/>
      <c r="Q257" s="67"/>
      <c r="R257" s="67"/>
      <c r="S257" s="67"/>
      <c r="T257" s="67"/>
      <c r="U257" s="205"/>
      <c r="V257" s="205"/>
      <c r="W257" s="206"/>
      <c r="X257" s="207"/>
      <c r="Y257" s="208"/>
      <c r="Z257" s="208"/>
      <c r="AA257" s="209"/>
      <c r="AB257" s="209"/>
    </row>
    <row r="258" spans="1:28">
      <c r="A258" s="76"/>
      <c r="C258" s="70"/>
      <c r="D258" s="75"/>
      <c r="E258" s="75"/>
      <c r="F258" s="75"/>
      <c r="G258" s="75"/>
      <c r="H258" s="89"/>
      <c r="I258" s="76"/>
      <c r="J258" s="130"/>
      <c r="M258" s="67"/>
      <c r="N258" s="67"/>
      <c r="P258" s="67"/>
      <c r="Q258" s="67"/>
      <c r="R258" s="67"/>
      <c r="S258" s="67"/>
      <c r="T258" s="67"/>
      <c r="U258" s="205"/>
      <c r="V258" s="205"/>
      <c r="W258" s="206"/>
      <c r="X258" s="207"/>
      <c r="Y258" s="208"/>
      <c r="Z258" s="208"/>
      <c r="AA258" s="209"/>
      <c r="AB258" s="209"/>
    </row>
    <row r="259" spans="1:28">
      <c r="A259" s="76"/>
      <c r="C259" s="70"/>
      <c r="D259" s="75"/>
      <c r="E259" s="75"/>
      <c r="F259" s="75"/>
      <c r="G259" s="75"/>
      <c r="H259" s="89"/>
      <c r="I259" s="76"/>
      <c r="J259" s="130"/>
      <c r="M259" s="67"/>
      <c r="N259" s="67"/>
      <c r="P259" s="67"/>
      <c r="Q259" s="67"/>
      <c r="R259" s="67"/>
      <c r="S259" s="67"/>
      <c r="T259" s="67"/>
      <c r="U259" s="205"/>
      <c r="V259" s="205"/>
      <c r="W259" s="206"/>
      <c r="X259" s="207"/>
      <c r="Y259" s="208"/>
      <c r="Z259" s="208"/>
      <c r="AA259" s="209"/>
      <c r="AB259" s="209"/>
    </row>
    <row r="260" spans="1:28">
      <c r="A260" s="76"/>
      <c r="C260" s="70"/>
      <c r="D260" s="75"/>
      <c r="E260" s="75"/>
      <c r="F260" s="75"/>
      <c r="G260" s="75"/>
      <c r="H260" s="89"/>
      <c r="I260" s="76"/>
      <c r="J260" s="130"/>
      <c r="M260" s="67"/>
      <c r="N260" s="67"/>
      <c r="P260" s="67"/>
      <c r="Q260" s="67"/>
      <c r="R260" s="67"/>
      <c r="S260" s="67"/>
      <c r="T260" s="67"/>
      <c r="U260" s="205"/>
      <c r="V260" s="205"/>
      <c r="W260" s="206"/>
      <c r="X260" s="207"/>
      <c r="Y260" s="208"/>
      <c r="Z260" s="208"/>
      <c r="AA260" s="209"/>
      <c r="AB260" s="209"/>
    </row>
    <row r="261" spans="1:28">
      <c r="A261" s="76"/>
      <c r="C261" s="70"/>
      <c r="D261" s="75"/>
      <c r="E261" s="75"/>
      <c r="F261" s="75"/>
      <c r="G261" s="75"/>
      <c r="H261" s="89"/>
      <c r="I261" s="76"/>
      <c r="J261" s="130"/>
      <c r="M261" s="67"/>
      <c r="N261" s="67"/>
      <c r="P261" s="67"/>
      <c r="Q261" s="67"/>
      <c r="R261" s="67"/>
      <c r="S261" s="67"/>
      <c r="T261" s="67"/>
      <c r="U261" s="205"/>
      <c r="V261" s="205"/>
      <c r="W261" s="206"/>
      <c r="X261" s="207"/>
      <c r="Y261" s="208"/>
      <c r="Z261" s="208"/>
      <c r="AA261" s="209"/>
      <c r="AB261" s="209"/>
    </row>
    <row r="262" spans="1:28">
      <c r="A262" s="76"/>
      <c r="C262" s="70"/>
      <c r="D262" s="75"/>
      <c r="E262" s="75"/>
      <c r="F262" s="75"/>
      <c r="G262" s="75"/>
      <c r="H262" s="89"/>
      <c r="I262" s="76"/>
      <c r="J262" s="130"/>
      <c r="M262" s="67"/>
      <c r="N262" s="67"/>
      <c r="P262" s="67"/>
      <c r="Q262" s="67"/>
      <c r="R262" s="67"/>
      <c r="S262" s="67"/>
      <c r="T262" s="67"/>
      <c r="U262" s="205"/>
      <c r="V262" s="205"/>
      <c r="W262" s="206"/>
      <c r="X262" s="207"/>
      <c r="Y262" s="208"/>
      <c r="Z262" s="208"/>
      <c r="AA262" s="209"/>
      <c r="AB262" s="209"/>
    </row>
    <row r="263" spans="1:28">
      <c r="A263" s="76"/>
      <c r="C263" s="70"/>
      <c r="D263" s="75"/>
      <c r="E263" s="75"/>
      <c r="F263" s="75"/>
      <c r="G263" s="75"/>
      <c r="H263" s="89"/>
      <c r="I263" s="76"/>
      <c r="J263" s="130"/>
      <c r="M263" s="67"/>
      <c r="N263" s="67"/>
      <c r="P263" s="67"/>
      <c r="Q263" s="67"/>
      <c r="R263" s="67"/>
      <c r="S263" s="67"/>
      <c r="T263" s="67"/>
      <c r="U263" s="205"/>
      <c r="V263" s="205"/>
      <c r="W263" s="206"/>
      <c r="X263" s="207"/>
      <c r="Y263" s="208"/>
      <c r="Z263" s="208"/>
      <c r="AA263" s="209"/>
      <c r="AB263" s="209"/>
    </row>
    <row r="264" spans="1:28">
      <c r="A264" s="76"/>
      <c r="C264" s="70"/>
      <c r="D264" s="75"/>
      <c r="E264" s="75"/>
      <c r="F264" s="75"/>
      <c r="G264" s="75"/>
      <c r="H264" s="75"/>
      <c r="I264" s="76"/>
      <c r="J264" s="130"/>
      <c r="M264" s="67"/>
      <c r="N264" s="67"/>
      <c r="P264" s="67"/>
      <c r="Q264" s="67"/>
      <c r="R264" s="67"/>
      <c r="S264" s="67"/>
      <c r="T264" s="67"/>
      <c r="U264" s="205"/>
      <c r="V264" s="205"/>
      <c r="W264" s="206"/>
      <c r="X264" s="207"/>
      <c r="Y264" s="208"/>
      <c r="Z264" s="208"/>
      <c r="AA264" s="209"/>
      <c r="AB264" s="209"/>
    </row>
    <row r="265" spans="1:28">
      <c r="C265" s="70"/>
      <c r="D265" s="70"/>
      <c r="E265" s="71"/>
      <c r="F265" s="70"/>
      <c r="G265" s="70"/>
      <c r="H265" s="70"/>
      <c r="I265" s="72"/>
      <c r="J265" s="72"/>
      <c r="K265" s="72"/>
      <c r="P265" s="68" t="s">
        <v>447</v>
      </c>
      <c r="U265" s="210"/>
      <c r="V265" s="210"/>
      <c r="W265" s="210"/>
      <c r="X265" s="210"/>
      <c r="Y265" s="210"/>
      <c r="Z265" s="210"/>
      <c r="AA265" s="210"/>
      <c r="AB265" s="210"/>
    </row>
    <row r="266" spans="1:28">
      <c r="C266" s="70" t="s">
        <v>26</v>
      </c>
      <c r="D266" s="70"/>
      <c r="E266" s="71" t="s">
        <v>0</v>
      </c>
      <c r="F266" s="70"/>
      <c r="G266" s="70"/>
      <c r="H266" s="70"/>
      <c r="I266" s="72"/>
      <c r="J266" s="73"/>
      <c r="K266" s="73"/>
      <c r="P266" s="67" t="s">
        <v>266</v>
      </c>
      <c r="U266" s="210"/>
      <c r="V266" s="210"/>
      <c r="W266" s="210"/>
      <c r="X266" s="210"/>
      <c r="Y266" s="210"/>
      <c r="Z266" s="210"/>
      <c r="AA266" s="210"/>
      <c r="AB266" s="210"/>
    </row>
    <row r="267" spans="1:28">
      <c r="C267" s="70"/>
      <c r="D267" s="75" t="s">
        <v>3</v>
      </c>
      <c r="E267" s="75" t="s">
        <v>27</v>
      </c>
      <c r="F267" s="75"/>
      <c r="G267" s="75"/>
      <c r="H267" s="75"/>
      <c r="I267" s="72"/>
      <c r="K267" s="73"/>
      <c r="L267" s="74"/>
      <c r="N267" s="9" t="str">
        <f>N3</f>
        <v>For the 12 months ended 12/31/16</v>
      </c>
      <c r="O267" s="59"/>
      <c r="P267" s="55"/>
      <c r="U267" s="210"/>
      <c r="V267" s="210"/>
      <c r="W267" s="210"/>
      <c r="X267" s="210"/>
      <c r="Y267" s="210"/>
      <c r="Z267" s="210"/>
      <c r="AA267" s="210"/>
      <c r="AB267" s="210"/>
    </row>
    <row r="268" spans="1:28" ht="31.5" customHeight="1">
      <c r="A268" s="76"/>
      <c r="C268" s="70"/>
      <c r="D268" s="75"/>
      <c r="E268" s="10" t="str">
        <f>$E$6</f>
        <v>Allete, Inc. dba Minnesota Power</v>
      </c>
      <c r="F268" s="75"/>
      <c r="G268" s="75"/>
      <c r="H268" s="75"/>
      <c r="I268" s="75"/>
      <c r="J268" s="75"/>
      <c r="K268" s="75"/>
      <c r="M268" s="67"/>
      <c r="N268" s="67"/>
      <c r="P268" s="67"/>
      <c r="Q268" s="67"/>
      <c r="R268" s="67"/>
      <c r="S268" s="67"/>
      <c r="T268" s="67"/>
      <c r="U268" s="210"/>
      <c r="V268" s="210"/>
      <c r="W268" s="210"/>
      <c r="X268" s="210"/>
      <c r="Y268" s="210"/>
      <c r="Z268" s="210"/>
      <c r="AA268" s="210"/>
      <c r="AB268" s="210"/>
    </row>
    <row r="269" spans="1:28" ht="15.75" customHeight="1">
      <c r="A269" s="76"/>
      <c r="C269" s="70"/>
      <c r="D269" s="75"/>
      <c r="E269" s="211"/>
      <c r="F269" s="75"/>
      <c r="G269" s="75"/>
      <c r="H269" s="75"/>
      <c r="I269" s="75"/>
      <c r="J269" s="75"/>
      <c r="K269" s="75"/>
      <c r="M269" s="67"/>
      <c r="N269" s="67"/>
      <c r="P269" s="67"/>
      <c r="Q269" s="67"/>
      <c r="R269" s="67"/>
      <c r="S269" s="67"/>
      <c r="T269" s="67"/>
      <c r="U269" s="210"/>
      <c r="V269" s="210"/>
      <c r="W269" s="210"/>
      <c r="X269" s="210"/>
      <c r="Y269" s="210"/>
      <c r="Z269" s="210"/>
      <c r="AA269" s="210"/>
      <c r="AB269" s="210"/>
    </row>
    <row r="270" spans="1:28">
      <c r="A270" s="76" t="s">
        <v>1</v>
      </c>
      <c r="D270" s="75"/>
      <c r="F270" s="75"/>
      <c r="G270" s="75"/>
      <c r="H270" s="109" t="s">
        <v>267</v>
      </c>
      <c r="I270" s="167" t="s">
        <v>3</v>
      </c>
      <c r="J270" s="34" t="str">
        <f>+J241</f>
        <v>W&amp;S Allocator</v>
      </c>
      <c r="K270" s="167"/>
      <c r="M270" s="67"/>
      <c r="N270" s="67"/>
      <c r="P270" s="67"/>
      <c r="Q270" s="67"/>
      <c r="R270" s="67"/>
      <c r="S270" s="67"/>
      <c r="T270" s="67"/>
      <c r="U270" s="210"/>
      <c r="V270" s="210"/>
      <c r="W270" s="210"/>
      <c r="X270" s="210"/>
      <c r="Y270" s="210"/>
      <c r="Z270" s="210"/>
      <c r="AA270" s="210"/>
      <c r="AB270" s="210"/>
    </row>
    <row r="271" spans="1:28" ht="16.2" thickBot="1">
      <c r="A271" s="83" t="s">
        <v>2</v>
      </c>
      <c r="C271" s="70" t="s">
        <v>268</v>
      </c>
      <c r="D271" s="75"/>
      <c r="E271" s="212" t="s">
        <v>254</v>
      </c>
      <c r="H271" s="128" t="s">
        <v>269</v>
      </c>
      <c r="I271" s="167"/>
      <c r="J271" s="128" t="s">
        <v>270</v>
      </c>
      <c r="K271" s="87"/>
      <c r="L271" s="213" t="s">
        <v>136</v>
      </c>
      <c r="M271" s="67"/>
      <c r="N271" s="67"/>
      <c r="P271" s="67"/>
      <c r="Q271" s="67"/>
      <c r="R271" s="67"/>
      <c r="S271" s="67"/>
      <c r="T271" s="67"/>
      <c r="U271" s="210"/>
      <c r="V271" s="210"/>
      <c r="W271" s="210"/>
      <c r="X271" s="210"/>
      <c r="Y271" s="210"/>
      <c r="Z271" s="210"/>
      <c r="AA271" s="210"/>
      <c r="AB271" s="210"/>
    </row>
    <row r="272" spans="1:28">
      <c r="A272" s="76">
        <v>1</v>
      </c>
      <c r="C272" s="70" t="s">
        <v>271</v>
      </c>
      <c r="D272" s="75" t="s">
        <v>272</v>
      </c>
      <c r="E272" s="56">
        <v>3865510020</v>
      </c>
      <c r="F272" s="75"/>
      <c r="H272" s="15">
        <f>IF(E275&gt;0,E272/E275,0)</f>
        <v>1</v>
      </c>
      <c r="I272" s="109" t="s">
        <v>273</v>
      </c>
      <c r="J272" s="15">
        <f>J243</f>
        <v>0.14606179061370184</v>
      </c>
      <c r="K272" s="214" t="s">
        <v>264</v>
      </c>
      <c r="L272" s="50">
        <f>H272*J272</f>
        <v>0.14606179061370184</v>
      </c>
      <c r="M272" s="67"/>
      <c r="N272" s="67"/>
      <c r="P272" s="67"/>
      <c r="Q272" s="67"/>
      <c r="R272" s="67"/>
      <c r="S272" s="67"/>
      <c r="T272" s="67"/>
      <c r="U272" s="210"/>
      <c r="V272" s="210"/>
      <c r="W272" s="210"/>
      <c r="X272" s="210"/>
      <c r="Y272" s="210"/>
      <c r="Z272" s="210"/>
      <c r="AA272" s="210"/>
      <c r="AB272" s="210"/>
    </row>
    <row r="273" spans="1:28">
      <c r="A273" s="76">
        <v>2</v>
      </c>
      <c r="C273" s="70" t="s">
        <v>274</v>
      </c>
      <c r="D273" s="75" t="s">
        <v>275</v>
      </c>
      <c r="E273" s="397">
        <v>0</v>
      </c>
      <c r="F273" s="75"/>
      <c r="L273" s="64"/>
      <c r="M273" s="67"/>
      <c r="N273" s="67"/>
      <c r="P273" s="67"/>
      <c r="Q273" s="67"/>
      <c r="R273" s="67"/>
      <c r="S273" s="67"/>
      <c r="T273" s="67"/>
      <c r="U273" s="210"/>
      <c r="V273" s="210"/>
      <c r="W273" s="210"/>
      <c r="X273" s="210"/>
      <c r="Y273" s="210"/>
      <c r="Z273" s="210"/>
      <c r="AA273" s="210"/>
      <c r="AB273" s="210"/>
    </row>
    <row r="274" spans="1:28" ht="16.2" thickBot="1">
      <c r="A274" s="76">
        <v>3</v>
      </c>
      <c r="C274" s="215" t="s">
        <v>276</v>
      </c>
      <c r="D274" s="200" t="s">
        <v>277</v>
      </c>
      <c r="E274" s="398">
        <v>0</v>
      </c>
      <c r="F274" s="75"/>
      <c r="G274" s="75"/>
      <c r="H274" s="75" t="s">
        <v>3</v>
      </c>
      <c r="I274" s="75"/>
      <c r="J274" s="75"/>
      <c r="K274" s="75"/>
      <c r="M274" s="216"/>
      <c r="N274" s="216"/>
      <c r="O274" s="106"/>
      <c r="P274" s="92"/>
      <c r="Q274" s="217"/>
      <c r="R274" s="216"/>
      <c r="S274" s="92"/>
      <c r="T274" s="92"/>
      <c r="U274" s="210"/>
      <c r="V274" s="210"/>
      <c r="W274" s="210"/>
      <c r="X274" s="210"/>
      <c r="Y274" s="210"/>
      <c r="Z274" s="210"/>
      <c r="AA274" s="210"/>
      <c r="AB274" s="210"/>
    </row>
    <row r="275" spans="1:28">
      <c r="A275" s="76">
        <v>4</v>
      </c>
      <c r="C275" s="70" t="s">
        <v>278</v>
      </c>
      <c r="D275" s="75"/>
      <c r="E275" s="14">
        <f>E272+E273+E274</f>
        <v>3865510020</v>
      </c>
      <c r="F275" s="75"/>
      <c r="G275" s="75"/>
      <c r="H275" s="75"/>
      <c r="I275" s="75"/>
      <c r="J275" s="75"/>
      <c r="K275" s="75"/>
      <c r="M275" s="216"/>
      <c r="N275" s="216"/>
      <c r="O275" s="106"/>
      <c r="P275" s="92"/>
      <c r="Q275" s="217"/>
      <c r="R275" s="216"/>
      <c r="S275" s="92"/>
      <c r="T275" s="92"/>
    </row>
    <row r="276" spans="1:28">
      <c r="A276" s="76"/>
      <c r="C276" s="70"/>
      <c r="D276" s="75"/>
      <c r="E276" s="89"/>
      <c r="F276" s="75"/>
      <c r="G276" s="75"/>
      <c r="H276" s="75"/>
      <c r="I276" s="75"/>
      <c r="J276" s="75"/>
      <c r="K276" s="75"/>
    </row>
    <row r="277" spans="1:28" ht="16.2" thickBot="1">
      <c r="A277" s="76"/>
      <c r="B277" s="72"/>
      <c r="C277" s="70" t="s">
        <v>279</v>
      </c>
      <c r="D277" s="75"/>
      <c r="E277" s="75"/>
      <c r="F277" s="75"/>
      <c r="G277" s="75"/>
      <c r="H277" s="75"/>
      <c r="I277" s="75"/>
      <c r="J277" s="201" t="s">
        <v>254</v>
      </c>
      <c r="K277" s="75"/>
    </row>
    <row r="278" spans="1:28">
      <c r="A278" s="76">
        <v>5</v>
      </c>
      <c r="B278" s="72"/>
      <c r="C278" s="72"/>
      <c r="D278" s="75" t="s">
        <v>280</v>
      </c>
      <c r="E278" s="75"/>
      <c r="F278" s="75"/>
      <c r="G278" s="75"/>
      <c r="H278" s="75"/>
      <c r="I278" s="75"/>
      <c r="J278" s="56">
        <v>59272399</v>
      </c>
      <c r="K278" s="75"/>
    </row>
    <row r="279" spans="1:28">
      <c r="A279" s="76"/>
      <c r="C279" s="70"/>
      <c r="D279" s="75"/>
      <c r="E279" s="75"/>
      <c r="F279" s="75" t="s">
        <v>3</v>
      </c>
      <c r="G279" s="75"/>
      <c r="H279" s="75"/>
      <c r="I279" s="75"/>
      <c r="J279" s="89"/>
      <c r="K279" s="75"/>
    </row>
    <row r="280" spans="1:28">
      <c r="A280" s="76">
        <v>6</v>
      </c>
      <c r="B280" s="72"/>
      <c r="C280" s="70"/>
      <c r="D280" s="75" t="s">
        <v>281</v>
      </c>
      <c r="E280" s="75"/>
      <c r="F280" s="75"/>
      <c r="G280" s="75"/>
      <c r="H280" s="75"/>
      <c r="I280" s="87"/>
      <c r="J280" s="397">
        <v>0</v>
      </c>
      <c r="K280" s="75"/>
    </row>
    <row r="281" spans="1:28">
      <c r="A281" s="76"/>
      <c r="B281" s="72"/>
      <c r="C281" s="70"/>
      <c r="D281" s="75"/>
      <c r="E281" s="75"/>
      <c r="F281" s="75"/>
      <c r="G281" s="75"/>
      <c r="H281" s="75"/>
      <c r="I281" s="75"/>
      <c r="J281" s="89"/>
      <c r="K281" s="75"/>
    </row>
    <row r="282" spans="1:28">
      <c r="A282" s="76"/>
      <c r="B282" s="72"/>
      <c r="C282" s="70" t="s">
        <v>282</v>
      </c>
      <c r="D282" s="75"/>
      <c r="E282" s="75"/>
      <c r="F282" s="75"/>
      <c r="G282" s="75"/>
      <c r="H282" s="75"/>
      <c r="I282" s="75"/>
      <c r="J282" s="89"/>
      <c r="K282" s="75"/>
    </row>
    <row r="283" spans="1:28">
      <c r="A283" s="76">
        <v>7</v>
      </c>
      <c r="B283" s="72"/>
      <c r="C283" s="70"/>
      <c r="D283" s="75" t="s">
        <v>283</v>
      </c>
      <c r="E283" s="72"/>
      <c r="F283" s="75"/>
      <c r="G283" s="75"/>
      <c r="H283" s="75"/>
      <c r="I283" s="75"/>
      <c r="J283" s="56">
        <v>1893811031</v>
      </c>
      <c r="K283" s="75"/>
    </row>
    <row r="284" spans="1:28">
      <c r="A284" s="76">
        <v>8</v>
      </c>
      <c r="B284" s="72"/>
      <c r="C284" s="70"/>
      <c r="D284" s="75" t="s">
        <v>284</v>
      </c>
      <c r="E284" s="75"/>
      <c r="F284" s="75"/>
      <c r="G284" s="75"/>
      <c r="H284" s="75"/>
      <c r="I284" s="75"/>
      <c r="J284" s="63">
        <v>0</v>
      </c>
      <c r="K284" s="75"/>
    </row>
    <row r="285" spans="1:28" ht="16.2" thickBot="1">
      <c r="A285" s="76">
        <v>9</v>
      </c>
      <c r="B285" s="72"/>
      <c r="C285" s="70"/>
      <c r="D285" s="75" t="s">
        <v>285</v>
      </c>
      <c r="E285" s="75"/>
      <c r="F285" s="75"/>
      <c r="G285" s="75"/>
      <c r="H285" s="75"/>
      <c r="I285" s="75"/>
      <c r="J285" s="60">
        <v>-131821653</v>
      </c>
      <c r="K285" s="75"/>
    </row>
    <row r="286" spans="1:28">
      <c r="A286" s="76">
        <v>10</v>
      </c>
      <c r="B286" s="72"/>
      <c r="C286" s="72"/>
      <c r="D286" s="75" t="s">
        <v>286</v>
      </c>
      <c r="E286" s="72" t="s">
        <v>287</v>
      </c>
      <c r="F286" s="72"/>
      <c r="G286" s="72"/>
      <c r="H286" s="72"/>
      <c r="I286" s="72"/>
      <c r="J286" s="14">
        <f>+J283+J284+J285</f>
        <v>1761989378</v>
      </c>
      <c r="K286" s="218" t="s">
        <v>288</v>
      </c>
    </row>
    <row r="287" spans="1:28">
      <c r="A287" s="76"/>
      <c r="C287" s="70"/>
      <c r="D287" s="75"/>
      <c r="E287" s="75"/>
      <c r="F287" s="75"/>
      <c r="G287" s="75"/>
      <c r="H287" s="109" t="s">
        <v>289</v>
      </c>
      <c r="I287" s="75"/>
      <c r="J287" s="75"/>
      <c r="K287" s="75"/>
    </row>
    <row r="288" spans="1:28" ht="16.2" thickBot="1">
      <c r="A288" s="76"/>
      <c r="C288" s="70"/>
      <c r="D288" s="75"/>
      <c r="E288" s="83" t="s">
        <v>254</v>
      </c>
      <c r="F288" s="83" t="s">
        <v>290</v>
      </c>
      <c r="G288" s="75"/>
      <c r="H288" s="83" t="s">
        <v>291</v>
      </c>
      <c r="I288" s="75"/>
      <c r="J288" s="83" t="s">
        <v>292</v>
      </c>
      <c r="K288" s="75"/>
    </row>
    <row r="289" spans="1:20">
      <c r="A289" s="76">
        <v>11</v>
      </c>
      <c r="C289" s="70" t="s">
        <v>293</v>
      </c>
      <c r="E289" s="56">
        <v>1433271361</v>
      </c>
      <c r="F289" s="51">
        <f>IF($E$292&gt;0,E289/$E$292,0)</f>
        <v>0.44856162863521482</v>
      </c>
      <c r="G289" s="219"/>
      <c r="H289" s="52">
        <f>IF(E289&gt;0,J278/E289,0)</f>
        <v>4.1354624541332756E-2</v>
      </c>
      <c r="J289" s="52">
        <f>H289*F289</f>
        <v>1.8550097735858046E-2</v>
      </c>
      <c r="K289" s="105"/>
    </row>
    <row r="290" spans="1:20">
      <c r="A290" s="76">
        <v>12</v>
      </c>
      <c r="C290" s="70" t="s">
        <v>294</v>
      </c>
      <c r="E290" s="397">
        <v>0</v>
      </c>
      <c r="F290" s="51">
        <f>IF($E$292&gt;0,E290/$E$292,0)</f>
        <v>0</v>
      </c>
      <c r="G290" s="219"/>
      <c r="H290" s="52">
        <f>IF(E290&gt;0,J280/E290,0)</f>
        <v>0</v>
      </c>
      <c r="J290" s="52">
        <f>H290*F290</f>
        <v>0</v>
      </c>
      <c r="K290" s="105"/>
    </row>
    <row r="291" spans="1:20" ht="16.2" thickBot="1">
      <c r="A291" s="76">
        <v>13</v>
      </c>
      <c r="C291" s="70" t="s">
        <v>295</v>
      </c>
      <c r="E291" s="16">
        <f>J286</f>
        <v>1761989378</v>
      </c>
      <c r="F291" s="51">
        <f>IF($E$292&gt;0,E291/$E$292,0)</f>
        <v>0.55143837136478524</v>
      </c>
      <c r="G291" s="219"/>
      <c r="H291" s="260">
        <v>0.1082</v>
      </c>
      <c r="J291" s="53">
        <f>H291*F291</f>
        <v>5.9665631781669767E-2</v>
      </c>
      <c r="K291" s="105"/>
    </row>
    <row r="292" spans="1:20">
      <c r="A292" s="76">
        <v>14</v>
      </c>
      <c r="C292" s="70" t="s">
        <v>296</v>
      </c>
      <c r="E292" s="14">
        <f>E291+E290+E289</f>
        <v>3195260739</v>
      </c>
      <c r="F292" s="75" t="s">
        <v>3</v>
      </c>
      <c r="G292" s="75"/>
      <c r="H292" s="75"/>
      <c r="I292" s="75"/>
      <c r="J292" s="52">
        <f>SUM(J289:J291)</f>
        <v>7.821572951752781E-2</v>
      </c>
      <c r="K292" s="159" t="s">
        <v>297</v>
      </c>
    </row>
    <row r="293" spans="1:20">
      <c r="F293" s="75"/>
      <c r="G293" s="75"/>
      <c r="H293" s="75"/>
      <c r="I293" s="75"/>
      <c r="K293" s="160"/>
    </row>
    <row r="294" spans="1:20">
      <c r="A294" s="76"/>
      <c r="K294" s="105"/>
    </row>
    <row r="295" spans="1:20">
      <c r="A295" s="76"/>
      <c r="C295" s="70" t="s">
        <v>298</v>
      </c>
      <c r="D295" s="72"/>
      <c r="E295" s="72"/>
      <c r="F295" s="72"/>
      <c r="G295" s="72"/>
      <c r="H295" s="72"/>
      <c r="I295" s="72"/>
      <c r="J295" s="72"/>
      <c r="K295" s="220"/>
    </row>
    <row r="296" spans="1:20" ht="16.2" thickBot="1">
      <c r="A296" s="76"/>
      <c r="C296" s="70"/>
      <c r="D296" s="70"/>
      <c r="E296" s="70"/>
      <c r="F296" s="70"/>
      <c r="G296" s="70"/>
      <c r="H296" s="70"/>
      <c r="I296" s="70"/>
      <c r="J296" s="83" t="s">
        <v>299</v>
      </c>
      <c r="K296" s="220"/>
    </row>
    <row r="297" spans="1:20">
      <c r="A297" s="76"/>
      <c r="C297" s="70" t="s">
        <v>300</v>
      </c>
      <c r="D297" s="72"/>
      <c r="E297" s="72" t="s">
        <v>301</v>
      </c>
      <c r="F297" s="72" t="s">
        <v>302</v>
      </c>
      <c r="G297" s="72"/>
      <c r="H297" s="72" t="s">
        <v>3</v>
      </c>
      <c r="J297" s="105"/>
      <c r="K297" s="220"/>
      <c r="M297" s="147"/>
      <c r="N297" s="147"/>
      <c r="O297" s="221"/>
      <c r="P297" s="147"/>
    </row>
    <row r="298" spans="1:20">
      <c r="A298" s="76">
        <v>15</v>
      </c>
      <c r="C298" s="64" t="s">
        <v>303</v>
      </c>
      <c r="D298" s="72"/>
      <c r="E298" s="72"/>
      <c r="G298" s="72"/>
      <c r="J298" s="406">
        <v>0</v>
      </c>
      <c r="K298" s="105"/>
      <c r="M298" s="147"/>
      <c r="N298" s="147"/>
      <c r="O298" s="221"/>
      <c r="P298" s="147"/>
    </row>
    <row r="299" spans="1:20" ht="16.2" thickBot="1">
      <c r="A299" s="76">
        <v>16</v>
      </c>
      <c r="C299" s="155" t="s">
        <v>304</v>
      </c>
      <c r="D299" s="222"/>
      <c r="E299" s="155"/>
      <c r="F299" s="222"/>
      <c r="G299" s="222"/>
      <c r="H299" s="222"/>
      <c r="I299" s="72"/>
      <c r="J299" s="428">
        <v>0</v>
      </c>
      <c r="K299" s="105"/>
      <c r="N299" s="223"/>
      <c r="O299" s="224"/>
      <c r="P299" s="147"/>
    </row>
    <row r="300" spans="1:20">
      <c r="A300" s="76">
        <v>17</v>
      </c>
      <c r="C300" s="64" t="s">
        <v>305</v>
      </c>
      <c r="D300" s="72"/>
      <c r="F300" s="72"/>
      <c r="G300" s="72"/>
      <c r="H300" s="72"/>
      <c r="I300" s="72"/>
      <c r="J300" s="429">
        <f>+J298-J299</f>
        <v>0</v>
      </c>
      <c r="K300" s="105"/>
      <c r="N300" s="225"/>
      <c r="O300" s="225"/>
      <c r="P300" s="147"/>
    </row>
    <row r="301" spans="1:20">
      <c r="A301" s="76"/>
      <c r="C301" s="64" t="s">
        <v>3</v>
      </c>
      <c r="D301" s="72"/>
      <c r="F301" s="72"/>
      <c r="G301" s="72"/>
      <c r="H301" s="118"/>
      <c r="I301" s="72"/>
      <c r="J301" s="108" t="s">
        <v>3</v>
      </c>
      <c r="N301" s="225"/>
      <c r="O301" s="225"/>
      <c r="P301" s="147"/>
    </row>
    <row r="302" spans="1:20">
      <c r="A302" s="76">
        <v>18</v>
      </c>
      <c r="C302" s="70" t="s">
        <v>306</v>
      </c>
      <c r="D302" s="72"/>
      <c r="F302" s="72"/>
      <c r="G302" s="72"/>
      <c r="H302" s="110"/>
      <c r="I302" s="72"/>
      <c r="J302" s="2">
        <v>616768</v>
      </c>
      <c r="K302" s="75"/>
      <c r="N302" s="223"/>
      <c r="O302" s="224"/>
      <c r="P302" s="147"/>
      <c r="T302" s="226"/>
    </row>
    <row r="303" spans="1:20">
      <c r="A303" s="76"/>
      <c r="D303" s="72"/>
      <c r="E303" s="72"/>
      <c r="F303" s="72"/>
      <c r="G303" s="72"/>
      <c r="H303" s="72"/>
      <c r="I303" s="72"/>
      <c r="J303" s="108"/>
      <c r="N303" s="223"/>
      <c r="O303" s="224"/>
      <c r="P303" s="147"/>
      <c r="T303" s="227"/>
    </row>
    <row r="304" spans="1:20">
      <c r="C304" s="70" t="s">
        <v>307</v>
      </c>
      <c r="D304" s="72"/>
      <c r="E304" s="72" t="s">
        <v>308</v>
      </c>
      <c r="F304" s="72"/>
      <c r="G304" s="72"/>
      <c r="H304" s="72"/>
      <c r="I304" s="72"/>
      <c r="J304" s="89"/>
      <c r="K304" s="75"/>
      <c r="N304" s="147"/>
      <c r="O304" s="221"/>
      <c r="P304" s="147"/>
      <c r="T304" s="227"/>
    </row>
    <row r="305" spans="1:20">
      <c r="A305" s="76">
        <v>19</v>
      </c>
      <c r="C305" s="70" t="s">
        <v>309</v>
      </c>
      <c r="D305" s="75"/>
      <c r="E305" s="75"/>
      <c r="F305" s="75"/>
      <c r="G305" s="75"/>
      <c r="H305" s="75"/>
      <c r="I305" s="75"/>
      <c r="J305" s="5">
        <v>62286022</v>
      </c>
      <c r="K305" s="75"/>
      <c r="N305" s="147"/>
      <c r="O305" s="221"/>
      <c r="P305" s="147"/>
      <c r="T305" s="226"/>
    </row>
    <row r="306" spans="1:20">
      <c r="A306" s="76">
        <v>20</v>
      </c>
      <c r="C306" s="228" t="s">
        <v>310</v>
      </c>
      <c r="D306" s="229"/>
      <c r="E306" s="229"/>
      <c r="F306" s="229"/>
      <c r="G306" s="229"/>
      <c r="H306" s="72"/>
      <c r="I306" s="72"/>
      <c r="J306" s="5">
        <v>19035397</v>
      </c>
      <c r="K306" s="75"/>
      <c r="N306" s="147"/>
      <c r="O306" s="221"/>
      <c r="P306" s="147"/>
      <c r="T306" s="226"/>
    </row>
    <row r="307" spans="1:20">
      <c r="A307" s="131" t="s">
        <v>311</v>
      </c>
      <c r="C307" s="230" t="s">
        <v>432</v>
      </c>
      <c r="D307" s="78"/>
      <c r="E307" s="229"/>
      <c r="F307" s="229"/>
      <c r="G307" s="229"/>
      <c r="H307" s="72"/>
      <c r="I307" s="72"/>
      <c r="J307" s="5">
        <v>25535443</v>
      </c>
      <c r="K307" s="75"/>
      <c r="N307" s="147"/>
      <c r="O307" s="221"/>
      <c r="P307" s="147"/>
      <c r="T307" s="226"/>
    </row>
    <row r="308" spans="1:20" s="408" customFormat="1">
      <c r="A308" s="407" t="s">
        <v>405</v>
      </c>
      <c r="C308" s="409" t="s">
        <v>433</v>
      </c>
      <c r="D308" s="410"/>
      <c r="E308" s="411"/>
      <c r="F308" s="411"/>
      <c r="G308" s="411"/>
      <c r="H308" s="412"/>
      <c r="I308" s="412"/>
      <c r="J308" s="413">
        <v>0</v>
      </c>
      <c r="L308" s="414"/>
      <c r="N308" s="415"/>
      <c r="O308" s="416"/>
      <c r="P308" s="415"/>
      <c r="T308" s="417"/>
    </row>
    <row r="309" spans="1:20" ht="16.2" thickBot="1">
      <c r="A309" s="131" t="s">
        <v>440</v>
      </c>
      <c r="C309" s="231" t="s">
        <v>442</v>
      </c>
      <c r="D309" s="232"/>
      <c r="E309" s="75"/>
      <c r="F309" s="75"/>
      <c r="G309" s="75"/>
      <c r="H309" s="75"/>
      <c r="I309" s="72"/>
      <c r="J309" s="6">
        <v>12824609</v>
      </c>
      <c r="K309" s="87"/>
      <c r="M309" s="147"/>
      <c r="N309" s="147"/>
      <c r="O309" s="221"/>
      <c r="P309" s="147"/>
    </row>
    <row r="310" spans="1:20">
      <c r="A310" s="76">
        <v>21</v>
      </c>
      <c r="C310" s="64" t="s">
        <v>441</v>
      </c>
      <c r="D310" s="76"/>
      <c r="E310" s="75"/>
      <c r="F310" s="75"/>
      <c r="G310" s="75"/>
      <c r="H310" s="75"/>
      <c r="I310" s="72"/>
      <c r="J310" s="7">
        <f>+J305-J306-J307-J308-J309</f>
        <v>4890573</v>
      </c>
      <c r="K310" s="75"/>
    </row>
    <row r="311" spans="1:20">
      <c r="A311" s="76"/>
      <c r="D311" s="76"/>
      <c r="E311" s="75"/>
      <c r="F311" s="75"/>
      <c r="G311" s="75"/>
      <c r="H311" s="75"/>
      <c r="I311" s="72"/>
      <c r="J311" s="136"/>
      <c r="K311" s="75"/>
    </row>
    <row r="312" spans="1:20">
      <c r="A312" s="76"/>
      <c r="D312" s="76"/>
      <c r="E312" s="75"/>
      <c r="F312" s="75"/>
      <c r="G312" s="75"/>
      <c r="H312" s="75"/>
      <c r="I312" s="72"/>
      <c r="J312" s="136"/>
      <c r="K312" s="75"/>
    </row>
    <row r="313" spans="1:20">
      <c r="A313" s="76"/>
      <c r="D313" s="76"/>
      <c r="E313" s="75"/>
      <c r="F313" s="75"/>
      <c r="G313" s="75"/>
      <c r="H313" s="75"/>
      <c r="I313" s="72"/>
      <c r="J313" s="136"/>
      <c r="K313" s="75"/>
    </row>
    <row r="314" spans="1:20">
      <c r="A314" s="76"/>
      <c r="D314" s="76"/>
      <c r="E314" s="75"/>
      <c r="F314" s="75"/>
      <c r="G314" s="75"/>
      <c r="H314" s="75"/>
      <c r="I314" s="72"/>
      <c r="J314" s="136"/>
      <c r="K314" s="75"/>
    </row>
    <row r="315" spans="1:20">
      <c r="A315" s="76"/>
      <c r="D315" s="76"/>
      <c r="E315" s="75"/>
      <c r="F315" s="75"/>
      <c r="G315" s="75"/>
      <c r="H315" s="75"/>
      <c r="I315" s="72"/>
      <c r="J315" s="136"/>
      <c r="K315" s="75"/>
    </row>
    <row r="316" spans="1:20">
      <c r="A316" s="76"/>
      <c r="D316" s="76"/>
      <c r="E316" s="75"/>
      <c r="F316" s="75"/>
      <c r="G316" s="75"/>
      <c r="H316" s="75"/>
      <c r="I316" s="72"/>
      <c r="J316" s="136"/>
      <c r="K316" s="75"/>
    </row>
    <row r="317" spans="1:20">
      <c r="A317" s="76"/>
      <c r="D317" s="76"/>
      <c r="E317" s="75"/>
      <c r="F317" s="75"/>
      <c r="G317" s="75"/>
      <c r="H317" s="75"/>
      <c r="I317" s="72"/>
      <c r="J317" s="136"/>
      <c r="K317" s="75"/>
    </row>
    <row r="318" spans="1:20">
      <c r="A318" s="76"/>
      <c r="D318" s="76"/>
      <c r="E318" s="75"/>
      <c r="F318" s="75"/>
      <c r="G318" s="75"/>
      <c r="H318" s="75"/>
      <c r="I318" s="72"/>
      <c r="J318" s="136"/>
      <c r="K318" s="75"/>
    </row>
    <row r="319" spans="1:20">
      <c r="A319" s="76"/>
      <c r="D319" s="76"/>
      <c r="E319" s="75"/>
      <c r="F319" s="75"/>
      <c r="G319" s="75"/>
      <c r="H319" s="75"/>
      <c r="I319" s="72"/>
      <c r="J319" s="136"/>
      <c r="K319" s="75"/>
    </row>
    <row r="320" spans="1:20">
      <c r="A320" s="76"/>
      <c r="D320" s="76"/>
      <c r="E320" s="75"/>
      <c r="F320" s="75"/>
      <c r="G320" s="75"/>
      <c r="H320" s="75"/>
      <c r="I320" s="72"/>
      <c r="J320" s="136"/>
      <c r="K320" s="75"/>
    </row>
    <row r="321" spans="1:16">
      <c r="A321" s="76"/>
      <c r="D321" s="76"/>
      <c r="E321" s="75"/>
      <c r="F321" s="75"/>
      <c r="G321" s="75"/>
      <c r="H321" s="75"/>
      <c r="I321" s="72"/>
      <c r="J321" s="136"/>
      <c r="K321" s="75"/>
    </row>
    <row r="322" spans="1:16">
      <c r="A322" s="76"/>
      <c r="D322" s="76"/>
      <c r="E322" s="75"/>
      <c r="F322" s="75"/>
      <c r="G322" s="75"/>
      <c r="H322" s="75"/>
      <c r="I322" s="72"/>
      <c r="J322" s="136"/>
      <c r="K322" s="75"/>
    </row>
    <row r="323" spans="1:16">
      <c r="A323" s="76"/>
      <c r="D323" s="76"/>
      <c r="E323" s="75"/>
      <c r="F323" s="75"/>
      <c r="G323" s="75"/>
      <c r="H323" s="75"/>
      <c r="I323" s="72"/>
      <c r="J323" s="136"/>
      <c r="K323" s="75"/>
    </row>
    <row r="324" spans="1:16">
      <c r="A324" s="76"/>
      <c r="D324" s="76"/>
      <c r="E324" s="75"/>
      <c r="F324" s="75"/>
      <c r="G324" s="75"/>
      <c r="H324" s="75"/>
      <c r="I324" s="72"/>
      <c r="J324" s="136"/>
      <c r="K324" s="75"/>
    </row>
    <row r="325" spans="1:16">
      <c r="A325" s="76"/>
      <c r="D325" s="76"/>
      <c r="E325" s="75"/>
      <c r="F325" s="75"/>
      <c r="G325" s="75"/>
      <c r="H325" s="75"/>
      <c r="I325" s="72"/>
      <c r="J325" s="136"/>
      <c r="K325" s="75"/>
    </row>
    <row r="326" spans="1:16">
      <c r="A326" s="76"/>
      <c r="D326" s="76"/>
      <c r="E326" s="75"/>
      <c r="F326" s="75"/>
      <c r="G326" s="75"/>
      <c r="H326" s="75"/>
      <c r="I326" s="72"/>
      <c r="J326" s="136"/>
      <c r="K326" s="75"/>
    </row>
    <row r="327" spans="1:16">
      <c r="A327" s="76"/>
      <c r="D327" s="76"/>
      <c r="E327" s="75"/>
      <c r="F327" s="75"/>
      <c r="G327" s="75"/>
      <c r="H327" s="75"/>
      <c r="I327" s="72"/>
      <c r="J327" s="136"/>
      <c r="K327" s="75"/>
    </row>
    <row r="328" spans="1:16" s="105" customFormat="1">
      <c r="A328" s="76"/>
      <c r="B328" s="64"/>
      <c r="C328" s="233"/>
      <c r="D328" s="73"/>
      <c r="E328" s="119"/>
      <c r="F328" s="119"/>
      <c r="G328" s="119"/>
      <c r="H328" s="119"/>
      <c r="I328" s="119"/>
      <c r="J328" s="136"/>
      <c r="K328" s="119"/>
      <c r="L328" s="74"/>
      <c r="O328" s="74"/>
    </row>
    <row r="329" spans="1:16">
      <c r="C329" s="70"/>
      <c r="D329" s="70"/>
      <c r="E329" s="71" t="s">
        <v>0</v>
      </c>
      <c r="F329" s="70"/>
      <c r="G329" s="70"/>
      <c r="H329" s="70"/>
      <c r="I329" s="72"/>
      <c r="K329" s="234"/>
      <c r="L329" s="74"/>
      <c r="P329" s="68" t="s">
        <v>447</v>
      </c>
    </row>
    <row r="330" spans="1:16">
      <c r="C330" s="70" t="s">
        <v>26</v>
      </c>
      <c r="D330" s="70"/>
      <c r="E330" s="75" t="s">
        <v>27</v>
      </c>
      <c r="F330" s="70"/>
      <c r="G330" s="70"/>
      <c r="H330" s="70"/>
      <c r="I330" s="72"/>
      <c r="J330" s="235"/>
      <c r="K330" s="72"/>
      <c r="P330" s="67" t="s">
        <v>312</v>
      </c>
    </row>
    <row r="331" spans="1:16" ht="31.2">
      <c r="D331" s="75" t="s">
        <v>3</v>
      </c>
      <c r="E331" s="28" t="str">
        <f>E6</f>
        <v>Allete, Inc. dba Minnesota Power</v>
      </c>
      <c r="F331" s="75"/>
      <c r="G331" s="75"/>
      <c r="H331" s="75"/>
      <c r="I331" s="72"/>
      <c r="J331" s="73"/>
      <c r="K331" s="105"/>
      <c r="L331" s="74"/>
      <c r="N331" s="9" t="str">
        <f>N3</f>
        <v>For the 12 months ended 12/31/16</v>
      </c>
      <c r="O331" s="59"/>
      <c r="P331" s="55"/>
    </row>
    <row r="332" spans="1:16">
      <c r="C332" s="70"/>
      <c r="D332" s="76"/>
      <c r="F332" s="75"/>
      <c r="G332" s="75"/>
      <c r="H332" s="75"/>
      <c r="I332" s="72"/>
      <c r="J332" s="72"/>
      <c r="K332" s="72"/>
    </row>
    <row r="333" spans="1:16">
      <c r="A333" s="76"/>
      <c r="B333" s="72"/>
      <c r="C333" s="70" t="s">
        <v>313</v>
      </c>
      <c r="D333" s="76"/>
      <c r="E333" s="75"/>
      <c r="F333" s="75"/>
      <c r="G333" s="75"/>
      <c r="H333" s="75"/>
      <c r="I333" s="72"/>
      <c r="J333" s="75"/>
      <c r="K333" s="73"/>
    </row>
    <row r="334" spans="1:16">
      <c r="A334" s="76"/>
      <c r="B334" s="72"/>
      <c r="C334" s="70" t="s">
        <v>314</v>
      </c>
      <c r="D334" s="72"/>
      <c r="E334" s="75"/>
      <c r="F334" s="75"/>
      <c r="G334" s="75"/>
      <c r="H334" s="75"/>
      <c r="I334" s="72"/>
      <c r="J334" s="75"/>
      <c r="K334" s="73"/>
    </row>
    <row r="335" spans="1:16">
      <c r="A335" s="76" t="s">
        <v>16</v>
      </c>
      <c r="B335" s="72"/>
      <c r="C335" s="70"/>
      <c r="D335" s="72"/>
      <c r="E335" s="75"/>
      <c r="F335" s="75"/>
      <c r="G335" s="75"/>
      <c r="H335" s="75"/>
      <c r="I335" s="72"/>
      <c r="J335" s="75"/>
      <c r="K335" s="73"/>
    </row>
    <row r="336" spans="1:16" s="239" customFormat="1" ht="16.2" thickBot="1">
      <c r="A336" s="83" t="s">
        <v>17</v>
      </c>
      <c r="B336" s="72"/>
      <c r="C336" s="70"/>
      <c r="D336" s="236"/>
      <c r="E336" s="237"/>
      <c r="F336" s="237"/>
      <c r="G336" s="237"/>
      <c r="H336" s="237"/>
      <c r="I336" s="236"/>
      <c r="J336" s="75"/>
      <c r="K336" s="236"/>
      <c r="L336" s="238"/>
      <c r="O336" s="238"/>
    </row>
    <row r="337" spans="1:16" s="239" customFormat="1">
      <c r="A337" s="76" t="s">
        <v>18</v>
      </c>
      <c r="B337" s="72"/>
      <c r="C337" s="132" t="s">
        <v>386</v>
      </c>
      <c r="D337" s="73"/>
      <c r="E337" s="87"/>
      <c r="F337" s="87"/>
      <c r="G337" s="87"/>
      <c r="H337" s="87"/>
      <c r="I337" s="73"/>
      <c r="J337" s="87"/>
      <c r="K337" s="73"/>
      <c r="L337" s="67"/>
      <c r="M337" s="64"/>
      <c r="N337" s="64"/>
      <c r="O337" s="67"/>
      <c r="P337" s="64"/>
    </row>
    <row r="338" spans="1:16" s="239" customFormat="1">
      <c r="A338" s="76" t="s">
        <v>19</v>
      </c>
      <c r="B338" s="72"/>
      <c r="C338" s="132" t="s">
        <v>387</v>
      </c>
      <c r="D338" s="73"/>
      <c r="E338" s="73"/>
      <c r="F338" s="73"/>
      <c r="G338" s="73"/>
      <c r="H338" s="73"/>
      <c r="I338" s="73"/>
      <c r="J338" s="87"/>
      <c r="K338" s="73"/>
      <c r="L338" s="67"/>
      <c r="M338" s="64"/>
      <c r="N338" s="64"/>
      <c r="O338" s="67"/>
      <c r="P338" s="64"/>
    </row>
    <row r="339" spans="1:16" s="239" customFormat="1">
      <c r="A339" s="76" t="s">
        <v>20</v>
      </c>
      <c r="B339" s="72"/>
      <c r="C339" s="132" t="s">
        <v>388</v>
      </c>
      <c r="D339" s="73"/>
      <c r="E339" s="73"/>
      <c r="F339" s="73"/>
      <c r="G339" s="73"/>
      <c r="H339" s="73"/>
      <c r="I339" s="73"/>
      <c r="J339" s="87"/>
      <c r="K339" s="73"/>
      <c r="L339" s="67"/>
      <c r="M339" s="64"/>
      <c r="N339" s="64"/>
      <c r="O339" s="67"/>
      <c r="P339" s="64"/>
    </row>
    <row r="340" spans="1:16" s="239" customFormat="1">
      <c r="A340" s="76" t="s">
        <v>21</v>
      </c>
      <c r="B340" s="72"/>
      <c r="C340" s="132" t="s">
        <v>388</v>
      </c>
      <c r="D340" s="73"/>
      <c r="E340" s="73"/>
      <c r="F340" s="73"/>
      <c r="G340" s="73"/>
      <c r="H340" s="73"/>
      <c r="I340" s="73"/>
      <c r="J340" s="87"/>
      <c r="K340" s="73"/>
      <c r="L340" s="67"/>
      <c r="M340" s="64"/>
      <c r="N340" s="64"/>
      <c r="O340" s="67"/>
      <c r="P340" s="64"/>
    </row>
    <row r="341" spans="1:16" s="239" customFormat="1">
      <c r="A341" s="76" t="s">
        <v>22</v>
      </c>
      <c r="B341" s="72"/>
      <c r="C341" s="73" t="s">
        <v>315</v>
      </c>
      <c r="D341" s="73"/>
      <c r="E341" s="73"/>
      <c r="F341" s="73"/>
      <c r="G341" s="73"/>
      <c r="H341" s="73"/>
      <c r="I341" s="73"/>
      <c r="J341" s="73"/>
      <c r="K341" s="73"/>
      <c r="L341" s="67"/>
      <c r="M341" s="64"/>
      <c r="N341" s="64"/>
      <c r="O341" s="67"/>
      <c r="P341" s="64"/>
    </row>
    <row r="342" spans="1:16" s="239" customFormat="1">
      <c r="A342" s="76" t="s">
        <v>23</v>
      </c>
      <c r="B342" s="72"/>
      <c r="C342" s="73" t="s">
        <v>316</v>
      </c>
      <c r="D342" s="73"/>
      <c r="E342" s="73"/>
      <c r="F342" s="73"/>
      <c r="G342" s="73"/>
      <c r="H342" s="73"/>
      <c r="I342" s="73"/>
      <c r="J342" s="73"/>
      <c r="K342" s="73"/>
      <c r="L342" s="67"/>
      <c r="M342" s="64"/>
      <c r="N342" s="64"/>
      <c r="O342" s="67"/>
      <c r="P342" s="64"/>
    </row>
    <row r="343" spans="1:16" s="239" customFormat="1">
      <c r="A343" s="76"/>
      <c r="B343" s="72"/>
      <c r="C343" s="73" t="s">
        <v>317</v>
      </c>
      <c r="D343" s="73"/>
      <c r="E343" s="73"/>
      <c r="F343" s="73"/>
      <c r="G343" s="73"/>
      <c r="H343" s="73"/>
      <c r="I343" s="73"/>
      <c r="J343" s="73"/>
      <c r="K343" s="73"/>
      <c r="L343" s="67"/>
      <c r="M343" s="64"/>
      <c r="N343" s="64"/>
      <c r="O343" s="67"/>
      <c r="P343" s="64"/>
    </row>
    <row r="344" spans="1:16" s="239" customFormat="1">
      <c r="A344" s="76"/>
      <c r="B344" s="72"/>
      <c r="C344" s="73" t="s">
        <v>318</v>
      </c>
      <c r="D344" s="73"/>
      <c r="E344" s="73"/>
      <c r="F344" s="73"/>
      <c r="G344" s="73"/>
      <c r="H344" s="73"/>
      <c r="I344" s="73"/>
      <c r="J344" s="73"/>
      <c r="K344" s="73"/>
      <c r="L344" s="67"/>
      <c r="M344" s="64"/>
      <c r="N344" s="64"/>
      <c r="O344" s="67"/>
      <c r="P344" s="64"/>
    </row>
    <row r="345" spans="1:16" s="239" customFormat="1">
      <c r="A345" s="76"/>
      <c r="B345" s="72"/>
      <c r="C345" s="73" t="s">
        <v>459</v>
      </c>
      <c r="D345" s="73"/>
      <c r="E345" s="73"/>
      <c r="F345" s="73"/>
      <c r="G345" s="73"/>
      <c r="H345" s="73"/>
      <c r="I345" s="73"/>
      <c r="J345" s="73"/>
      <c r="K345" s="73"/>
      <c r="L345" s="67"/>
      <c r="M345" s="64"/>
      <c r="N345" s="64"/>
      <c r="O345" s="67"/>
      <c r="P345" s="64"/>
    </row>
    <row r="346" spans="1:16" s="239" customFormat="1">
      <c r="A346" s="76"/>
      <c r="B346" s="72"/>
      <c r="C346" s="73" t="s">
        <v>460</v>
      </c>
      <c r="D346" s="73"/>
      <c r="E346" s="73"/>
      <c r="F346" s="73"/>
      <c r="G346" s="73"/>
      <c r="H346" s="73"/>
      <c r="I346" s="73"/>
      <c r="J346" s="73"/>
      <c r="K346" s="73"/>
      <c r="L346" s="67"/>
      <c r="M346" s="64"/>
      <c r="N346" s="64"/>
      <c r="O346" s="67"/>
      <c r="P346" s="64"/>
    </row>
    <row r="347" spans="1:16" s="239" customFormat="1">
      <c r="A347" s="76"/>
      <c r="B347" s="72"/>
      <c r="C347" s="73" t="s">
        <v>461</v>
      </c>
      <c r="D347" s="73"/>
      <c r="E347" s="73"/>
      <c r="F347" s="73"/>
      <c r="G347" s="73"/>
      <c r="H347" s="73"/>
      <c r="I347" s="73"/>
      <c r="J347" s="73"/>
      <c r="K347" s="73"/>
      <c r="L347" s="67"/>
      <c r="M347" s="64"/>
      <c r="N347" s="64"/>
      <c r="O347" s="67"/>
      <c r="P347" s="64"/>
    </row>
    <row r="348" spans="1:16" s="239" customFormat="1">
      <c r="A348" s="76"/>
      <c r="B348" s="72"/>
      <c r="C348" s="73" t="s">
        <v>462</v>
      </c>
      <c r="D348" s="73"/>
      <c r="E348" s="73"/>
      <c r="F348" s="73"/>
      <c r="G348" s="73"/>
      <c r="H348" s="73"/>
      <c r="I348" s="73"/>
      <c r="J348" s="73"/>
      <c r="K348" s="73"/>
      <c r="L348" s="67"/>
      <c r="M348" s="64"/>
      <c r="N348" s="64"/>
      <c r="O348" s="67"/>
      <c r="P348" s="64"/>
    </row>
    <row r="349" spans="1:16" s="239" customFormat="1">
      <c r="A349" s="76" t="s">
        <v>24</v>
      </c>
      <c r="B349" s="72"/>
      <c r="C349" s="73" t="s">
        <v>319</v>
      </c>
      <c r="D349" s="73"/>
      <c r="E349" s="73"/>
      <c r="F349" s="73"/>
      <c r="G349" s="73"/>
      <c r="H349" s="73"/>
      <c r="I349" s="73"/>
      <c r="J349" s="73"/>
      <c r="K349" s="73"/>
      <c r="L349" s="67"/>
      <c r="M349" s="64"/>
      <c r="N349" s="64"/>
      <c r="O349" s="67"/>
      <c r="P349" s="64"/>
    </row>
    <row r="350" spans="1:16" s="239" customFormat="1">
      <c r="A350" s="76" t="s">
        <v>320</v>
      </c>
      <c r="B350" s="72"/>
      <c r="C350" s="73" t="s">
        <v>321</v>
      </c>
      <c r="D350" s="73"/>
      <c r="E350" s="73"/>
      <c r="F350" s="73"/>
      <c r="G350" s="73"/>
      <c r="H350" s="73"/>
      <c r="I350" s="73"/>
      <c r="J350" s="73"/>
      <c r="K350" s="73"/>
      <c r="L350" s="67"/>
      <c r="M350" s="64"/>
      <c r="N350" s="64"/>
      <c r="O350" s="67"/>
      <c r="P350" s="64"/>
    </row>
    <row r="351" spans="1:16" s="239" customFormat="1">
      <c r="A351" s="76"/>
      <c r="B351" s="72"/>
      <c r="C351" s="73" t="s">
        <v>322</v>
      </c>
      <c r="D351" s="73"/>
      <c r="E351" s="73"/>
      <c r="F351" s="73"/>
      <c r="G351" s="73"/>
      <c r="H351" s="73"/>
      <c r="I351" s="73"/>
      <c r="J351" s="73"/>
      <c r="K351" s="73"/>
      <c r="L351" s="67"/>
      <c r="M351" s="64"/>
      <c r="N351" s="64"/>
      <c r="O351" s="67"/>
      <c r="P351" s="64"/>
    </row>
    <row r="352" spans="1:16" s="239" customFormat="1">
      <c r="A352" s="76" t="s">
        <v>323</v>
      </c>
      <c r="B352" s="72"/>
      <c r="C352" s="73" t="s">
        <v>324</v>
      </c>
      <c r="D352" s="73"/>
      <c r="E352" s="73"/>
      <c r="F352" s="73"/>
      <c r="G352" s="73"/>
      <c r="H352" s="73"/>
      <c r="I352" s="73"/>
      <c r="J352" s="73"/>
      <c r="K352" s="73"/>
      <c r="L352" s="67"/>
      <c r="M352" s="64"/>
      <c r="N352" s="64"/>
      <c r="O352" s="67"/>
      <c r="P352" s="64"/>
    </row>
    <row r="353" spans="1:18" s="239" customFormat="1">
      <c r="A353" s="76"/>
      <c r="B353" s="72"/>
      <c r="C353" s="105" t="s">
        <v>325</v>
      </c>
      <c r="D353" s="73"/>
      <c r="E353" s="73"/>
      <c r="F353" s="73"/>
      <c r="G353" s="73"/>
      <c r="H353" s="73"/>
      <c r="I353" s="73"/>
      <c r="J353" s="73"/>
      <c r="K353" s="73"/>
      <c r="L353" s="67"/>
      <c r="M353" s="64"/>
      <c r="N353" s="64"/>
      <c r="O353" s="67"/>
      <c r="P353" s="64"/>
    </row>
    <row r="354" spans="1:18" s="239" customFormat="1">
      <c r="A354" s="76"/>
      <c r="B354" s="72"/>
      <c r="C354" s="73" t="s">
        <v>326</v>
      </c>
      <c r="D354" s="73"/>
      <c r="E354" s="73"/>
      <c r="F354" s="73"/>
      <c r="G354" s="73"/>
      <c r="H354" s="73"/>
      <c r="I354" s="73"/>
      <c r="J354" s="73"/>
      <c r="K354" s="73"/>
      <c r="L354" s="67"/>
      <c r="M354" s="64"/>
      <c r="N354" s="64"/>
      <c r="O354" s="67"/>
      <c r="P354" s="64"/>
    </row>
    <row r="355" spans="1:18" s="239" customFormat="1">
      <c r="A355" s="76" t="s">
        <v>327</v>
      </c>
      <c r="B355" s="72"/>
      <c r="C355" s="73" t="s">
        <v>328</v>
      </c>
      <c r="D355" s="73"/>
      <c r="E355" s="73"/>
      <c r="F355" s="73"/>
      <c r="G355" s="73"/>
      <c r="H355" s="73"/>
      <c r="I355" s="73"/>
      <c r="J355" s="73"/>
      <c r="K355" s="73"/>
      <c r="L355" s="67"/>
      <c r="M355" s="64"/>
      <c r="N355" s="64"/>
      <c r="O355" s="67"/>
      <c r="P355" s="64"/>
    </row>
    <row r="356" spans="1:18" s="239" customFormat="1">
      <c r="A356" s="76"/>
      <c r="B356" s="72"/>
      <c r="C356" s="73" t="s">
        <v>329</v>
      </c>
      <c r="D356" s="73"/>
      <c r="E356" s="73"/>
      <c r="F356" s="73"/>
      <c r="G356" s="73"/>
      <c r="H356" s="73"/>
      <c r="I356" s="73"/>
      <c r="J356" s="73"/>
      <c r="K356" s="73"/>
      <c r="L356" s="67"/>
      <c r="M356" s="64"/>
      <c r="N356" s="64"/>
      <c r="O356" s="67"/>
      <c r="P356" s="64"/>
    </row>
    <row r="357" spans="1:18" s="239" customFormat="1">
      <c r="A357" s="76"/>
      <c r="B357" s="72"/>
      <c r="C357" s="73" t="s">
        <v>330</v>
      </c>
      <c r="D357" s="73"/>
      <c r="E357" s="73"/>
      <c r="F357" s="73"/>
      <c r="G357" s="73"/>
      <c r="H357" s="73"/>
      <c r="I357" s="73"/>
      <c r="J357" s="73"/>
      <c r="K357" s="73"/>
      <c r="L357" s="67"/>
      <c r="M357" s="64"/>
      <c r="N357" s="64"/>
      <c r="O357" s="67"/>
      <c r="P357" s="64"/>
    </row>
    <row r="358" spans="1:18" s="239" customFormat="1">
      <c r="A358" s="76" t="s">
        <v>331</v>
      </c>
      <c r="B358" s="72"/>
      <c r="C358" s="73" t="s">
        <v>332</v>
      </c>
      <c r="D358" s="73"/>
      <c r="E358" s="73"/>
      <c r="F358" s="73"/>
      <c r="G358" s="73"/>
      <c r="H358" s="73"/>
      <c r="I358" s="73"/>
      <c r="J358" s="73"/>
      <c r="K358" s="73"/>
      <c r="L358" s="67"/>
      <c r="M358" s="64"/>
      <c r="N358" s="64"/>
      <c r="O358" s="67"/>
      <c r="P358" s="64"/>
    </row>
    <row r="359" spans="1:18" s="239" customFormat="1">
      <c r="A359" s="76"/>
      <c r="B359" s="72"/>
      <c r="C359" s="73" t="s">
        <v>333</v>
      </c>
      <c r="D359" s="73"/>
      <c r="E359" s="73"/>
      <c r="F359" s="73"/>
      <c r="G359" s="73"/>
      <c r="H359" s="73"/>
      <c r="I359" s="73"/>
      <c r="J359" s="73"/>
      <c r="K359" s="73"/>
      <c r="L359" s="67"/>
      <c r="M359" s="64"/>
      <c r="N359" s="64"/>
      <c r="O359" s="67"/>
      <c r="P359" s="64"/>
    </row>
    <row r="360" spans="1:18" s="239" customFormat="1">
      <c r="A360" s="76"/>
      <c r="B360" s="72"/>
      <c r="C360" s="73" t="s">
        <v>334</v>
      </c>
      <c r="D360" s="73"/>
      <c r="E360" s="73"/>
      <c r="F360" s="73"/>
      <c r="G360" s="73"/>
      <c r="H360" s="73"/>
      <c r="I360" s="73"/>
      <c r="J360" s="73"/>
      <c r="K360" s="73"/>
      <c r="L360" s="67"/>
      <c r="M360" s="64"/>
      <c r="N360" s="64"/>
      <c r="O360" s="67"/>
      <c r="P360" s="64"/>
    </row>
    <row r="361" spans="1:18" s="239" customFormat="1">
      <c r="A361" s="76"/>
      <c r="B361" s="72"/>
      <c r="C361" s="73" t="s">
        <v>335</v>
      </c>
      <c r="D361" s="73"/>
      <c r="E361" s="73"/>
      <c r="F361" s="73"/>
      <c r="G361" s="73"/>
      <c r="H361" s="73"/>
      <c r="I361" s="73"/>
      <c r="J361" s="73"/>
      <c r="K361" s="73"/>
      <c r="L361" s="67"/>
      <c r="M361" s="64"/>
      <c r="N361" s="240"/>
      <c r="O361" s="241"/>
      <c r="P361" s="64"/>
    </row>
    <row r="362" spans="1:18" s="239" customFormat="1">
      <c r="A362" s="76"/>
      <c r="B362" s="72"/>
      <c r="C362" s="73" t="s">
        <v>336</v>
      </c>
      <c r="D362" s="73"/>
      <c r="E362" s="73"/>
      <c r="F362" s="73"/>
      <c r="G362" s="73"/>
      <c r="H362" s="73"/>
      <c r="I362" s="73"/>
      <c r="J362" s="73"/>
      <c r="K362" s="73"/>
      <c r="L362" s="67"/>
      <c r="M362" s="64"/>
      <c r="N362" s="64"/>
      <c r="O362" s="67"/>
      <c r="P362" s="64"/>
    </row>
    <row r="363" spans="1:18" s="239" customFormat="1">
      <c r="A363" s="76"/>
      <c r="B363" s="72"/>
      <c r="C363" s="73" t="s">
        <v>337</v>
      </c>
      <c r="D363" s="73" t="s">
        <v>338</v>
      </c>
      <c r="E363" s="65">
        <v>0.35</v>
      </c>
      <c r="F363" s="73"/>
      <c r="G363" s="73"/>
      <c r="H363" s="73"/>
      <c r="I363" s="73"/>
      <c r="J363" s="73"/>
      <c r="K363" s="242"/>
      <c r="L363" s="67"/>
      <c r="M363" s="64"/>
      <c r="N363" s="64"/>
      <c r="O363" s="67"/>
      <c r="P363" s="64"/>
    </row>
    <row r="364" spans="1:18" s="239" customFormat="1">
      <c r="A364" s="76" t="s">
        <v>3</v>
      </c>
      <c r="B364" s="72"/>
      <c r="C364" s="73" t="s">
        <v>339</v>
      </c>
      <c r="D364" s="73" t="s">
        <v>340</v>
      </c>
      <c r="E364" s="65">
        <v>9.8000000000000004E-2</v>
      </c>
      <c r="F364" s="73" t="s">
        <v>341</v>
      </c>
      <c r="G364" s="73"/>
      <c r="H364" s="73"/>
      <c r="I364" s="73"/>
      <c r="J364" s="73"/>
      <c r="K364" s="73"/>
      <c r="L364" s="67"/>
      <c r="M364" s="64"/>
      <c r="N364" s="64"/>
      <c r="O364" s="67"/>
      <c r="P364" s="64"/>
      <c r="R364" s="243"/>
    </row>
    <row r="365" spans="1:18" s="239" customFormat="1">
      <c r="A365" s="76"/>
      <c r="B365" s="72"/>
      <c r="C365" s="73"/>
      <c r="D365" s="73" t="s">
        <v>342</v>
      </c>
      <c r="E365" s="65">
        <v>0</v>
      </c>
      <c r="F365" s="73" t="s">
        <v>343</v>
      </c>
      <c r="G365" s="73"/>
      <c r="H365" s="73"/>
      <c r="I365" s="73"/>
      <c r="J365" s="73"/>
      <c r="K365" s="73"/>
      <c r="L365" s="67"/>
      <c r="M365" s="64"/>
      <c r="N365" s="64"/>
      <c r="O365" s="67"/>
      <c r="P365" s="64"/>
    </row>
    <row r="366" spans="1:18" s="239" customFormat="1">
      <c r="A366" s="76" t="s">
        <v>344</v>
      </c>
      <c r="B366" s="72"/>
      <c r="C366" s="73" t="s">
        <v>422</v>
      </c>
      <c r="D366" s="73"/>
      <c r="E366" s="73"/>
      <c r="F366" s="73"/>
      <c r="G366" s="73"/>
      <c r="H366" s="73"/>
      <c r="I366" s="73"/>
      <c r="J366" s="242"/>
      <c r="K366" s="73"/>
      <c r="L366" s="67"/>
      <c r="M366" s="64"/>
      <c r="N366" s="64"/>
      <c r="O366" s="67"/>
      <c r="P366" s="64"/>
    </row>
    <row r="367" spans="1:18" s="239" customFormat="1">
      <c r="A367" s="76" t="s">
        <v>345</v>
      </c>
      <c r="B367" s="72"/>
      <c r="C367" s="73" t="s">
        <v>346</v>
      </c>
      <c r="D367" s="73"/>
      <c r="E367" s="73"/>
      <c r="F367" s="73"/>
      <c r="G367" s="73"/>
      <c r="H367" s="73"/>
      <c r="I367" s="73"/>
      <c r="J367" s="73"/>
      <c r="K367" s="73"/>
      <c r="L367" s="67"/>
      <c r="M367" s="64"/>
      <c r="N367" s="64"/>
      <c r="O367" s="67"/>
      <c r="P367" s="64"/>
    </row>
    <row r="368" spans="1:18" s="239" customFormat="1">
      <c r="A368" s="76"/>
      <c r="B368" s="72"/>
      <c r="C368" s="73" t="s">
        <v>347</v>
      </c>
      <c r="D368" s="73"/>
      <c r="E368" s="73"/>
      <c r="F368" s="73"/>
      <c r="G368" s="73"/>
      <c r="H368" s="73"/>
      <c r="I368" s="73"/>
      <c r="J368" s="73"/>
      <c r="K368" s="73"/>
      <c r="L368" s="67"/>
      <c r="M368" s="64"/>
      <c r="N368" s="64"/>
      <c r="O368" s="67"/>
      <c r="P368" s="64"/>
    </row>
    <row r="369" spans="1:16" s="239" customFormat="1">
      <c r="A369" s="76" t="s">
        <v>348</v>
      </c>
      <c r="B369" s="72"/>
      <c r="C369" s="73" t="s">
        <v>349</v>
      </c>
      <c r="D369" s="73"/>
      <c r="E369" s="73"/>
      <c r="F369" s="73"/>
      <c r="G369" s="73"/>
      <c r="H369" s="73"/>
      <c r="I369" s="73"/>
      <c r="J369" s="73"/>
      <c r="K369" s="73"/>
      <c r="L369" s="67"/>
      <c r="M369" s="64"/>
      <c r="N369" s="64"/>
      <c r="O369" s="67"/>
      <c r="P369" s="64"/>
    </row>
    <row r="370" spans="1:16" s="239" customFormat="1">
      <c r="A370" s="76"/>
      <c r="B370" s="72"/>
      <c r="C370" s="73" t="s">
        <v>350</v>
      </c>
      <c r="D370" s="73"/>
      <c r="E370" s="73"/>
      <c r="F370" s="73"/>
      <c r="G370" s="73"/>
      <c r="H370" s="73"/>
      <c r="I370" s="73"/>
      <c r="J370" s="73"/>
      <c r="K370" s="73"/>
      <c r="L370" s="67"/>
      <c r="M370" s="64"/>
      <c r="N370" s="64"/>
      <c r="O370" s="67"/>
      <c r="P370" s="64"/>
    </row>
    <row r="371" spans="1:16" s="239" customFormat="1">
      <c r="A371" s="76"/>
      <c r="B371" s="72"/>
      <c r="C371" s="73" t="s">
        <v>351</v>
      </c>
      <c r="D371" s="73"/>
      <c r="E371" s="73"/>
      <c r="F371" s="73"/>
      <c r="G371" s="73"/>
      <c r="H371" s="73"/>
      <c r="I371" s="73"/>
      <c r="J371" s="73"/>
      <c r="K371" s="73"/>
      <c r="L371" s="67"/>
      <c r="M371" s="64"/>
      <c r="N371" s="64"/>
      <c r="O371" s="67"/>
      <c r="P371" s="64"/>
    </row>
    <row r="372" spans="1:16" s="239" customFormat="1">
      <c r="A372" s="76" t="s">
        <v>352</v>
      </c>
      <c r="B372" s="72"/>
      <c r="C372" s="73" t="s">
        <v>353</v>
      </c>
      <c r="D372" s="73"/>
      <c r="E372" s="73"/>
      <c r="F372" s="73"/>
      <c r="G372" s="73"/>
      <c r="H372" s="73"/>
      <c r="I372" s="73"/>
      <c r="J372" s="73"/>
      <c r="K372" s="73"/>
      <c r="L372" s="67"/>
      <c r="M372" s="64"/>
      <c r="N372" s="64"/>
      <c r="O372" s="67"/>
      <c r="P372" s="64"/>
    </row>
    <row r="373" spans="1:16" s="239" customFormat="1">
      <c r="A373" s="76" t="s">
        <v>354</v>
      </c>
      <c r="B373" s="72"/>
      <c r="C373" s="73" t="s">
        <v>355</v>
      </c>
      <c r="D373" s="73"/>
      <c r="E373" s="73"/>
      <c r="F373" s="73"/>
      <c r="G373" s="73"/>
      <c r="H373" s="73"/>
      <c r="I373" s="73"/>
      <c r="J373" s="73"/>
      <c r="K373" s="73"/>
      <c r="L373" s="67"/>
      <c r="M373" s="64"/>
      <c r="N373" s="64"/>
      <c r="O373" s="67"/>
      <c r="P373" s="64"/>
    </row>
    <row r="374" spans="1:16" s="239" customFormat="1">
      <c r="A374" s="76"/>
      <c r="B374" s="72"/>
      <c r="C374" s="73" t="s">
        <v>356</v>
      </c>
      <c r="D374" s="73"/>
      <c r="E374" s="73"/>
      <c r="F374" s="73"/>
      <c r="G374" s="73"/>
      <c r="H374" s="73"/>
      <c r="I374" s="73"/>
      <c r="J374" s="73"/>
      <c r="K374" s="73"/>
      <c r="L374" s="67"/>
      <c r="M374" s="64"/>
      <c r="N374" s="64"/>
      <c r="O374" s="67"/>
      <c r="P374" s="64"/>
    </row>
    <row r="375" spans="1:16" s="239" customFormat="1">
      <c r="A375" s="76"/>
      <c r="B375" s="72"/>
      <c r="C375" s="73" t="s">
        <v>468</v>
      </c>
      <c r="D375" s="73"/>
      <c r="E375" s="73"/>
      <c r="F375" s="73"/>
      <c r="G375" s="73"/>
      <c r="H375" s="73"/>
      <c r="I375" s="73"/>
      <c r="J375" s="73"/>
      <c r="K375" s="73"/>
      <c r="L375" s="67"/>
      <c r="M375" s="64"/>
      <c r="N375" s="64"/>
      <c r="O375" s="67"/>
      <c r="P375" s="64"/>
    </row>
    <row r="376" spans="1:16" s="239" customFormat="1">
      <c r="A376" s="76" t="s">
        <v>357</v>
      </c>
      <c r="B376" s="72"/>
      <c r="C376" s="73" t="s">
        <v>358</v>
      </c>
      <c r="D376" s="73"/>
      <c r="E376" s="73"/>
      <c r="F376" s="73"/>
      <c r="G376" s="73"/>
      <c r="H376" s="73"/>
      <c r="I376" s="73"/>
      <c r="J376" s="73"/>
      <c r="K376" s="73"/>
      <c r="L376" s="67"/>
      <c r="M376" s="64"/>
      <c r="N376" s="64"/>
      <c r="O376" s="67"/>
      <c r="P376" s="64"/>
    </row>
    <row r="377" spans="1:16" s="239" customFormat="1">
      <c r="A377" s="76"/>
      <c r="B377" s="72"/>
      <c r="C377" s="73" t="s">
        <v>359</v>
      </c>
      <c r="D377" s="73"/>
      <c r="E377" s="73"/>
      <c r="F377" s="73"/>
      <c r="G377" s="73"/>
      <c r="H377" s="73"/>
      <c r="I377" s="73"/>
      <c r="J377" s="73"/>
      <c r="K377" s="73"/>
      <c r="L377" s="67"/>
      <c r="M377" s="64"/>
      <c r="N377" s="64"/>
      <c r="O377" s="67"/>
      <c r="P377" s="64"/>
    </row>
    <row r="378" spans="1:16" s="239" customFormat="1">
      <c r="A378" s="76" t="s">
        <v>360</v>
      </c>
      <c r="B378" s="72"/>
      <c r="C378" s="73" t="s">
        <v>361</v>
      </c>
      <c r="D378" s="73"/>
      <c r="E378" s="73"/>
      <c r="F378" s="73"/>
      <c r="G378" s="73"/>
      <c r="H378" s="73"/>
      <c r="I378" s="73"/>
      <c r="J378" s="73"/>
      <c r="K378" s="73"/>
      <c r="L378" s="67"/>
      <c r="M378" s="64"/>
      <c r="N378" s="64"/>
      <c r="O378" s="67"/>
      <c r="P378" s="64"/>
    </row>
    <row r="379" spans="1:16" s="239" customFormat="1">
      <c r="A379" s="76" t="s">
        <v>362</v>
      </c>
      <c r="B379" s="72"/>
      <c r="C379" s="73" t="s">
        <v>363</v>
      </c>
      <c r="D379" s="73"/>
      <c r="E379" s="73"/>
      <c r="F379" s="73"/>
      <c r="G379" s="73"/>
      <c r="H379" s="73"/>
      <c r="I379" s="73"/>
      <c r="J379" s="73"/>
      <c r="K379" s="73"/>
      <c r="L379" s="67"/>
      <c r="M379" s="64"/>
      <c r="N379" s="64"/>
      <c r="O379" s="67"/>
      <c r="P379" s="64"/>
    </row>
    <row r="380" spans="1:16" s="239" customFormat="1">
      <c r="A380" s="64"/>
      <c r="B380" s="72"/>
      <c r="C380" s="73" t="s">
        <v>423</v>
      </c>
      <c r="D380" s="73"/>
      <c r="E380" s="73"/>
      <c r="F380" s="73"/>
      <c r="G380" s="73"/>
      <c r="H380" s="73"/>
      <c r="I380" s="73"/>
      <c r="J380" s="73"/>
      <c r="K380" s="73"/>
      <c r="L380" s="67"/>
      <c r="M380" s="64"/>
      <c r="N380" s="64"/>
      <c r="O380" s="67"/>
      <c r="P380" s="64"/>
    </row>
    <row r="381" spans="1:16" s="239" customFormat="1">
      <c r="A381" s="64"/>
      <c r="B381" s="64"/>
      <c r="C381" s="73" t="s">
        <v>364</v>
      </c>
      <c r="D381" s="73"/>
      <c r="E381" s="73"/>
      <c r="F381" s="73"/>
      <c r="G381" s="73"/>
      <c r="H381" s="73"/>
      <c r="I381" s="73"/>
      <c r="J381" s="73"/>
      <c r="K381" s="73"/>
      <c r="L381" s="67"/>
      <c r="M381" s="64"/>
      <c r="N381" s="64"/>
      <c r="O381" s="67"/>
      <c r="P381" s="64"/>
    </row>
    <row r="382" spans="1:16" s="239" customFormat="1">
      <c r="A382" s="67" t="s">
        <v>365</v>
      </c>
      <c r="B382" s="64"/>
      <c r="C382" s="73" t="s">
        <v>366</v>
      </c>
      <c r="D382" s="244"/>
      <c r="E382" s="73"/>
      <c r="F382" s="73"/>
      <c r="G382" s="73"/>
      <c r="H382" s="73"/>
      <c r="I382" s="73"/>
      <c r="J382" s="73"/>
      <c r="K382" s="73"/>
      <c r="L382" s="67"/>
      <c r="M382" s="64"/>
      <c r="N382" s="64"/>
      <c r="O382" s="67"/>
      <c r="P382" s="64"/>
    </row>
    <row r="383" spans="1:16" s="245" customFormat="1">
      <c r="A383" s="64"/>
      <c r="B383" s="64"/>
      <c r="C383" s="73" t="s">
        <v>367</v>
      </c>
      <c r="D383" s="73"/>
      <c r="E383" s="73"/>
      <c r="F383" s="73"/>
      <c r="G383" s="73"/>
      <c r="H383" s="73"/>
      <c r="I383" s="73"/>
      <c r="J383" s="73"/>
      <c r="K383" s="73"/>
      <c r="L383" s="74"/>
      <c r="M383" s="105"/>
      <c r="N383" s="105"/>
      <c r="O383" s="74"/>
      <c r="P383" s="105"/>
    </row>
    <row r="384" spans="1:16" s="245" customFormat="1">
      <c r="A384" s="64"/>
      <c r="B384" s="64"/>
      <c r="C384" s="73" t="s">
        <v>368</v>
      </c>
      <c r="D384" s="73"/>
      <c r="E384" s="244"/>
      <c r="F384" s="73"/>
      <c r="G384" s="73"/>
      <c r="H384" s="73"/>
      <c r="I384" s="73"/>
      <c r="J384" s="73"/>
      <c r="K384" s="73"/>
      <c r="L384" s="74"/>
      <c r="M384" s="105"/>
      <c r="N384" s="105"/>
      <c r="O384" s="74"/>
      <c r="P384" s="105"/>
    </row>
    <row r="385" spans="1:16" s="239" customFormat="1">
      <c r="A385" s="64"/>
      <c r="B385" s="64"/>
      <c r="C385" s="73" t="s">
        <v>369</v>
      </c>
      <c r="D385" s="72"/>
      <c r="E385" s="72"/>
      <c r="F385" s="72"/>
      <c r="G385" s="72"/>
      <c r="H385" s="72"/>
      <c r="I385" s="72"/>
      <c r="J385" s="73"/>
      <c r="K385" s="73"/>
      <c r="L385" s="67"/>
      <c r="M385" s="64"/>
      <c r="N385" s="64"/>
      <c r="O385" s="67"/>
      <c r="P385" s="64"/>
    </row>
    <row r="386" spans="1:16" s="239" customFormat="1">
      <c r="A386" s="64"/>
      <c r="B386" s="64"/>
      <c r="C386" s="73" t="s">
        <v>370</v>
      </c>
      <c r="D386" s="72"/>
      <c r="E386" s="72"/>
      <c r="F386" s="72"/>
      <c r="G386" s="72"/>
      <c r="H386" s="72"/>
      <c r="I386" s="72"/>
      <c r="J386" s="73"/>
      <c r="K386" s="73"/>
      <c r="L386" s="67"/>
      <c r="M386" s="64"/>
      <c r="N386" s="64"/>
      <c r="O386" s="67"/>
      <c r="P386" s="64"/>
    </row>
    <row r="387" spans="1:16" s="239" customFormat="1">
      <c r="A387" s="67" t="s">
        <v>371</v>
      </c>
      <c r="B387" s="64"/>
      <c r="C387" s="73" t="s">
        <v>372</v>
      </c>
      <c r="D387" s="73"/>
      <c r="E387" s="73"/>
      <c r="F387" s="73"/>
      <c r="G387" s="73"/>
      <c r="H387" s="73"/>
      <c r="I387" s="73"/>
      <c r="J387" s="73"/>
      <c r="K387" s="73"/>
      <c r="L387" s="67"/>
      <c r="M387" s="64"/>
      <c r="N387" s="64"/>
      <c r="O387" s="67"/>
      <c r="P387" s="64"/>
    </row>
    <row r="388" spans="1:16">
      <c r="A388" s="74" t="s">
        <v>373</v>
      </c>
      <c r="B388" s="105"/>
      <c r="C388" s="73" t="s">
        <v>415</v>
      </c>
      <c r="D388" s="73"/>
      <c r="E388" s="73"/>
      <c r="F388" s="73"/>
      <c r="G388" s="73"/>
      <c r="H388" s="73"/>
      <c r="I388" s="73"/>
      <c r="J388" s="73"/>
      <c r="K388" s="73"/>
    </row>
    <row r="389" spans="1:16">
      <c r="A389" s="74"/>
      <c r="B389" s="105"/>
      <c r="C389" s="73" t="s">
        <v>374</v>
      </c>
      <c r="D389" s="72"/>
      <c r="E389" s="72"/>
      <c r="F389" s="72"/>
      <c r="G389" s="72"/>
      <c r="H389" s="72"/>
      <c r="I389" s="72"/>
      <c r="J389" s="73"/>
      <c r="K389" s="73"/>
    </row>
    <row r="390" spans="1:16" ht="16.5" customHeight="1">
      <c r="A390" s="246" t="s">
        <v>375</v>
      </c>
      <c r="B390" s="247"/>
      <c r="C390" s="454" t="s">
        <v>428</v>
      </c>
      <c r="D390" s="454"/>
      <c r="E390" s="454"/>
      <c r="F390" s="454"/>
      <c r="G390" s="454"/>
      <c r="H390" s="454"/>
      <c r="I390" s="454"/>
      <c r="J390" s="454"/>
      <c r="K390" s="454"/>
      <c r="L390" s="454"/>
      <c r="M390" s="454"/>
      <c r="N390" s="105"/>
      <c r="O390" s="74"/>
      <c r="P390" s="105"/>
    </row>
    <row r="391" spans="1:16" s="105" customFormat="1" ht="33.75" customHeight="1">
      <c r="A391" s="248" t="s">
        <v>376</v>
      </c>
      <c r="B391" s="247"/>
      <c r="C391" s="453" t="s">
        <v>434</v>
      </c>
      <c r="D391" s="453"/>
      <c r="E391" s="453"/>
      <c r="F391" s="453"/>
      <c r="G391" s="453"/>
      <c r="H391" s="453"/>
      <c r="I391" s="453"/>
      <c r="J391" s="453"/>
      <c r="K391" s="453"/>
      <c r="L391" s="453"/>
      <c r="M391" s="453"/>
      <c r="O391" s="74"/>
    </row>
    <row r="392" spans="1:16">
      <c r="A392" s="67" t="s">
        <v>377</v>
      </c>
      <c r="C392" s="73" t="s">
        <v>425</v>
      </c>
      <c r="D392" s="73"/>
      <c r="E392" s="73"/>
      <c r="F392" s="73"/>
      <c r="G392" s="73"/>
      <c r="H392" s="73"/>
      <c r="I392" s="73"/>
      <c r="J392" s="73"/>
      <c r="K392" s="73"/>
      <c r="L392" s="74"/>
      <c r="M392" s="105"/>
      <c r="N392" s="105"/>
      <c r="O392" s="74"/>
      <c r="P392" s="105"/>
    </row>
    <row r="393" spans="1:16">
      <c r="A393" s="67" t="s">
        <v>378</v>
      </c>
      <c r="C393" s="73" t="s">
        <v>424</v>
      </c>
      <c r="D393" s="73"/>
      <c r="E393" s="73"/>
      <c r="F393" s="73"/>
      <c r="G393" s="73"/>
      <c r="H393" s="73"/>
      <c r="I393" s="73"/>
      <c r="J393" s="73"/>
      <c r="K393" s="73"/>
      <c r="L393" s="74"/>
      <c r="M393" s="105"/>
      <c r="N393" s="105"/>
      <c r="O393" s="74"/>
      <c r="P393" s="105"/>
    </row>
    <row r="394" spans="1:16">
      <c r="A394" s="67" t="s">
        <v>379</v>
      </c>
      <c r="C394" s="249" t="s">
        <v>380</v>
      </c>
      <c r="D394" s="73"/>
      <c r="E394" s="73"/>
      <c r="F394" s="73"/>
      <c r="G394" s="73"/>
      <c r="H394" s="73"/>
      <c r="I394" s="73"/>
      <c r="J394" s="73"/>
      <c r="K394" s="73"/>
      <c r="L394" s="74"/>
      <c r="M394" s="105"/>
      <c r="N394" s="105"/>
      <c r="O394" s="74"/>
      <c r="P394" s="105"/>
    </row>
    <row r="395" spans="1:16">
      <c r="A395" s="67" t="s">
        <v>381</v>
      </c>
      <c r="C395" s="249" t="s">
        <v>467</v>
      </c>
      <c r="D395" s="73"/>
      <c r="E395" s="73"/>
      <c r="F395" s="250"/>
      <c r="G395" s="250"/>
      <c r="H395" s="250"/>
      <c r="I395" s="250"/>
      <c r="J395" s="250"/>
      <c r="K395" s="250"/>
      <c r="L395" s="251"/>
      <c r="M395" s="252"/>
      <c r="N395" s="105"/>
      <c r="O395" s="74"/>
      <c r="P395" s="105"/>
    </row>
    <row r="396" spans="1:16" s="254" customFormat="1">
      <c r="A396" s="253"/>
      <c r="C396" s="249" t="s">
        <v>463</v>
      </c>
      <c r="D396" s="73"/>
      <c r="E396" s="73"/>
      <c r="F396" s="250"/>
      <c r="G396" s="250"/>
      <c r="H396" s="250"/>
      <c r="I396" s="250"/>
      <c r="J396" s="250"/>
      <c r="K396" s="250"/>
      <c r="L396" s="251"/>
      <c r="M396" s="252"/>
      <c r="N396" s="255"/>
      <c r="O396" s="256"/>
      <c r="P396" s="255"/>
    </row>
    <row r="397" spans="1:16" s="105" customFormat="1">
      <c r="A397" s="67" t="s">
        <v>114</v>
      </c>
      <c r="B397" s="64"/>
      <c r="C397" s="249" t="s">
        <v>391</v>
      </c>
      <c r="D397" s="73"/>
      <c r="E397" s="119"/>
      <c r="F397" s="119"/>
      <c r="G397" s="119"/>
      <c r="H397" s="119"/>
      <c r="I397" s="119"/>
      <c r="J397" s="119"/>
      <c r="K397" s="119"/>
      <c r="L397" s="74"/>
      <c r="O397" s="74"/>
    </row>
    <row r="398" spans="1:16" ht="53.25" customHeight="1">
      <c r="A398" s="257" t="s">
        <v>390</v>
      </c>
      <c r="B398" s="105"/>
      <c r="C398" s="455" t="s">
        <v>466</v>
      </c>
      <c r="D398" s="455"/>
      <c r="E398" s="455"/>
      <c r="F398" s="455"/>
      <c r="G398" s="455"/>
      <c r="H398" s="455"/>
      <c r="I398" s="455"/>
      <c r="J398" s="455"/>
      <c r="K398" s="455"/>
      <c r="L398" s="455"/>
      <c r="M398" s="455"/>
      <c r="N398" s="455"/>
      <c r="O398" s="455"/>
      <c r="P398" s="105"/>
    </row>
    <row r="399" spans="1:16" ht="19.5" customHeight="1">
      <c r="A399" s="248" t="s">
        <v>406</v>
      </c>
      <c r="B399" s="247"/>
      <c r="C399" s="453" t="s">
        <v>429</v>
      </c>
      <c r="D399" s="453"/>
      <c r="E399" s="453"/>
      <c r="F399" s="453"/>
      <c r="G399" s="453"/>
      <c r="H399" s="453"/>
      <c r="I399" s="453"/>
      <c r="J399" s="453"/>
      <c r="K399" s="453"/>
      <c r="L399" s="453"/>
      <c r="M399" s="453"/>
      <c r="N399" s="453"/>
      <c r="O399" s="453"/>
      <c r="P399" s="453"/>
    </row>
    <row r="400" spans="1:16" ht="36" customHeight="1">
      <c r="A400" s="248" t="s">
        <v>407</v>
      </c>
      <c r="B400" s="247"/>
      <c r="C400" s="453" t="s">
        <v>435</v>
      </c>
      <c r="D400" s="453"/>
      <c r="E400" s="453"/>
      <c r="F400" s="453"/>
      <c r="G400" s="453"/>
      <c r="H400" s="453"/>
      <c r="I400" s="453"/>
      <c r="J400" s="453"/>
      <c r="K400" s="453"/>
      <c r="L400" s="453"/>
      <c r="M400" s="453"/>
      <c r="N400" s="453"/>
      <c r="O400" s="453"/>
      <c r="P400" s="453"/>
    </row>
    <row r="401" spans="1:16">
      <c r="A401" s="67" t="s">
        <v>416</v>
      </c>
      <c r="C401" s="73" t="s">
        <v>421</v>
      </c>
      <c r="D401" s="73"/>
      <c r="E401" s="73"/>
      <c r="F401" s="73"/>
      <c r="G401" s="73"/>
      <c r="H401" s="73"/>
      <c r="I401" s="73"/>
      <c r="J401" s="73"/>
      <c r="K401" s="73"/>
      <c r="L401" s="74"/>
      <c r="M401" s="105"/>
      <c r="N401" s="105"/>
      <c r="O401" s="74"/>
      <c r="P401" s="105"/>
    </row>
    <row r="402" spans="1:16">
      <c r="A402" s="67" t="s">
        <v>417</v>
      </c>
      <c r="C402" s="73" t="s">
        <v>426</v>
      </c>
      <c r="D402" s="73"/>
      <c r="E402" s="73"/>
      <c r="F402" s="73"/>
      <c r="G402" s="73"/>
      <c r="H402" s="73"/>
      <c r="I402" s="73"/>
      <c r="J402" s="73"/>
      <c r="K402" s="73"/>
      <c r="L402" s="74"/>
      <c r="M402" s="105"/>
      <c r="N402" s="105"/>
      <c r="O402" s="74"/>
      <c r="P402" s="105"/>
    </row>
    <row r="403" spans="1:16">
      <c r="A403" s="67" t="s">
        <v>418</v>
      </c>
      <c r="C403" s="73" t="s">
        <v>427</v>
      </c>
      <c r="D403" s="72"/>
      <c r="E403" s="72"/>
      <c r="F403" s="72"/>
      <c r="G403" s="72"/>
      <c r="H403" s="72"/>
      <c r="I403" s="72"/>
      <c r="J403" s="73"/>
      <c r="K403" s="75"/>
    </row>
    <row r="404" spans="1:16">
      <c r="A404" s="67"/>
      <c r="C404" s="73" t="s">
        <v>419</v>
      </c>
      <c r="D404" s="72"/>
      <c r="E404" s="72"/>
      <c r="F404" s="72"/>
      <c r="G404" s="72"/>
      <c r="H404" s="72"/>
      <c r="I404" s="72"/>
      <c r="J404" s="73"/>
      <c r="K404" s="75"/>
    </row>
    <row r="405" spans="1:16">
      <c r="A405" s="248" t="s">
        <v>445</v>
      </c>
      <c r="B405" s="247"/>
      <c r="C405" s="453" t="s">
        <v>443</v>
      </c>
      <c r="D405" s="453"/>
      <c r="E405" s="453"/>
      <c r="F405" s="453"/>
      <c r="G405" s="453"/>
      <c r="H405" s="453"/>
      <c r="I405" s="453"/>
      <c r="J405" s="453"/>
      <c r="K405" s="453"/>
      <c r="L405" s="453"/>
      <c r="M405" s="453"/>
      <c r="N405" s="453"/>
      <c r="O405" s="453"/>
      <c r="P405" s="453"/>
    </row>
    <row r="406" spans="1:16" ht="33" customHeight="1">
      <c r="A406" s="248" t="s">
        <v>446</v>
      </c>
      <c r="B406" s="247"/>
      <c r="C406" s="453" t="s">
        <v>444</v>
      </c>
      <c r="D406" s="453"/>
      <c r="E406" s="453"/>
      <c r="F406" s="453"/>
      <c r="G406" s="453"/>
      <c r="H406" s="453"/>
      <c r="I406" s="453"/>
      <c r="J406" s="453"/>
      <c r="K406" s="453"/>
      <c r="L406" s="453"/>
      <c r="M406" s="453"/>
      <c r="N406" s="453"/>
      <c r="O406" s="453"/>
      <c r="P406" s="453"/>
    </row>
    <row r="407" spans="1:16">
      <c r="A407" s="67"/>
      <c r="C407" s="73"/>
      <c r="D407" s="75"/>
      <c r="E407" s="94"/>
      <c r="F407" s="75"/>
      <c r="G407" s="75"/>
      <c r="H407" s="137"/>
      <c r="I407" s="75"/>
      <c r="J407" s="94"/>
      <c r="K407" s="72"/>
    </row>
    <row r="408" spans="1:16">
      <c r="A408" s="67"/>
      <c r="C408" s="73"/>
      <c r="D408" s="72"/>
      <c r="E408" s="72"/>
      <c r="F408" s="72"/>
      <c r="G408" s="72"/>
      <c r="H408" s="72"/>
      <c r="I408" s="72"/>
      <c r="J408" s="94"/>
    </row>
    <row r="409" spans="1:16">
      <c r="A409" s="70"/>
      <c r="C409" s="70"/>
      <c r="D409" s="72"/>
      <c r="E409" s="72"/>
      <c r="F409" s="72"/>
      <c r="G409" s="72"/>
      <c r="H409" s="72"/>
      <c r="I409" s="72"/>
      <c r="J409" s="72"/>
    </row>
    <row r="410" spans="1:16">
      <c r="A410" s="70"/>
      <c r="C410" s="70"/>
      <c r="D410" s="72"/>
      <c r="E410" s="72"/>
      <c r="F410" s="72"/>
      <c r="G410" s="72"/>
      <c r="H410" s="72"/>
      <c r="I410" s="72"/>
      <c r="J410" s="72"/>
    </row>
    <row r="411" spans="1:16">
      <c r="C411" s="72"/>
      <c r="J411" s="72"/>
    </row>
    <row r="412" spans="1:16">
      <c r="C412" s="72"/>
    </row>
    <row r="413" spans="1:16">
      <c r="C413" s="72"/>
    </row>
    <row r="414" spans="1:16">
      <c r="C414" s="105"/>
    </row>
  </sheetData>
  <sheetProtection algorithmName="SHA-512" hashValue="gTEFDgkS+3EiLAYoJsQPXIKCxgwHHHschfi2a//obdhqAGOaIo0eNc6b0u5QKg2OjgB60+s7rI83L0CElMlOWQ==" saltValue="yf9kcDRFsQADAy3CgksDSA==" spinCount="100000" sheet="1" objects="1" scenarios="1" formatCells="0" formatColumns="0"/>
  <mergeCells count="7">
    <mergeCell ref="C405:P405"/>
    <mergeCell ref="C406:P406"/>
    <mergeCell ref="C399:P399"/>
    <mergeCell ref="C400:P400"/>
    <mergeCell ref="C390:M390"/>
    <mergeCell ref="C391:M391"/>
    <mergeCell ref="C398:O398"/>
  </mergeCells>
  <phoneticPr fontId="27" type="noConversion"/>
  <pageMargins left="0.5" right="0.5" top="0.78" bottom="0.75" header="0.5" footer="0.5"/>
  <pageSetup scale="42" fitToHeight="0" orientation="landscape" r:id="rId1"/>
  <headerFooter alignWithMargins="0">
    <oddHeader xml:space="preserve">&amp;C&amp;"Arial,Bold"&amp;14 </oddHeader>
    <oddFooter>&amp;RV35
EFF 01.01.16</oddFooter>
  </headerFooter>
  <rowBreaks count="5" manualBreakCount="5">
    <brk id="65" max="15" man="1"/>
    <brk id="130" max="15" man="1"/>
    <brk id="202" max="15" man="1"/>
    <brk id="264" max="15" man="1"/>
    <brk id="32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tabSelected="1" topLeftCell="D58" zoomScale="70" zoomScaleNormal="70" workbookViewId="0">
      <selection activeCell="P65" sqref="P65"/>
    </sheetView>
  </sheetViews>
  <sheetFormatPr defaultColWidth="8.90625" defaultRowHeight="15"/>
  <cols>
    <col min="1" max="1" width="7.36328125" style="261" customWidth="1"/>
    <col min="2" max="2" width="1.453125" style="261" customWidth="1"/>
    <col min="3" max="3" width="39.08984375" style="261" customWidth="1"/>
    <col min="4" max="4" width="50.36328125" style="261" customWidth="1"/>
    <col min="5" max="5" width="14.81640625" style="261" customWidth="1"/>
    <col min="6" max="6" width="14" style="261" customWidth="1"/>
    <col min="7" max="7" width="14.08984375" style="261" customWidth="1"/>
    <col min="8" max="8" width="13.90625" style="261" customWidth="1"/>
    <col min="9" max="9" width="13.08984375" style="261" customWidth="1"/>
    <col min="10" max="10" width="14.54296875" style="261" customWidth="1"/>
    <col min="11" max="11" width="13.54296875" style="261" customWidth="1"/>
    <col min="12" max="12" width="15.6328125" style="261" customWidth="1"/>
    <col min="13" max="13" width="12.81640625" style="261" customWidth="1"/>
    <col min="14" max="14" width="15.26953125" style="261" customWidth="1"/>
    <col min="15" max="15" width="1.90625" style="261" customWidth="1"/>
    <col min="16" max="16" width="13" style="261" customWidth="1"/>
    <col min="17" max="16384" width="8.90625" style="261"/>
  </cols>
  <sheetData>
    <row r="1" spans="1:18" ht="15.6">
      <c r="A1" s="333"/>
      <c r="B1" s="333"/>
      <c r="C1" s="333"/>
      <c r="D1" s="333"/>
      <c r="E1" s="333"/>
      <c r="F1" s="364"/>
      <c r="G1" s="333"/>
      <c r="H1" s="333"/>
      <c r="I1" s="333"/>
      <c r="J1" s="333"/>
      <c r="K1" s="333"/>
      <c r="L1" s="333"/>
      <c r="M1" s="333"/>
      <c r="N1" s="333"/>
      <c r="O1" s="377"/>
      <c r="P1" s="377"/>
    </row>
    <row r="2" spans="1:18" ht="15.6">
      <c r="A2" s="333"/>
      <c r="B2" s="333"/>
      <c r="C2" s="333"/>
      <c r="D2" s="333"/>
      <c r="E2" s="333"/>
      <c r="F2" s="333"/>
      <c r="G2" s="333"/>
      <c r="H2" s="333"/>
      <c r="I2" s="333"/>
      <c r="J2" s="333"/>
      <c r="K2" s="333"/>
      <c r="L2" s="333"/>
      <c r="M2" s="333"/>
      <c r="N2" s="333"/>
      <c r="O2" s="377"/>
      <c r="P2" s="377"/>
    </row>
    <row r="3" spans="1:18" ht="15.6">
      <c r="A3" s="333"/>
      <c r="B3" s="333"/>
      <c r="C3" s="333"/>
      <c r="D3" s="333"/>
      <c r="E3" s="333"/>
      <c r="F3" s="333"/>
      <c r="G3" s="333"/>
      <c r="H3" s="333"/>
      <c r="I3" s="333"/>
      <c r="J3" s="333"/>
      <c r="K3" s="333"/>
      <c r="L3" s="333"/>
      <c r="M3" s="333"/>
      <c r="N3" s="377" t="s">
        <v>512</v>
      </c>
      <c r="O3" s="377"/>
      <c r="P3" s="377"/>
      <c r="R3" s="378"/>
    </row>
    <row r="4" spans="1:18" ht="15.6">
      <c r="A4" s="333"/>
      <c r="B4" s="333"/>
      <c r="C4" s="333" t="s">
        <v>563</v>
      </c>
      <c r="D4" s="333"/>
      <c r="E4" s="333"/>
      <c r="F4" s="382" t="s">
        <v>0</v>
      </c>
      <c r="G4" s="333"/>
      <c r="H4" s="333"/>
      <c r="I4" s="333"/>
      <c r="J4" s="374"/>
      <c r="K4" s="374"/>
      <c r="L4" s="374"/>
      <c r="M4" s="381"/>
      <c r="N4" s="380" t="s">
        <v>582</v>
      </c>
      <c r="O4" s="377"/>
      <c r="P4" s="379"/>
      <c r="R4" s="378"/>
    </row>
    <row r="5" spans="1:18" ht="15.6">
      <c r="A5" s="333"/>
      <c r="B5" s="333"/>
      <c r="C5" s="333"/>
      <c r="D5" s="331" t="s">
        <v>3</v>
      </c>
      <c r="E5" s="331"/>
      <c r="F5" s="331" t="s">
        <v>562</v>
      </c>
      <c r="G5" s="331"/>
      <c r="H5" s="331"/>
      <c r="I5" s="331"/>
      <c r="J5" s="374"/>
      <c r="K5" s="374"/>
      <c r="L5" s="374"/>
      <c r="M5" s="374"/>
      <c r="N5" s="374"/>
      <c r="O5" s="377"/>
      <c r="P5" s="374"/>
    </row>
    <row r="6" spans="1:18" ht="15.6">
      <c r="A6" s="333"/>
      <c r="B6" s="333"/>
      <c r="C6" s="374"/>
      <c r="D6" s="374"/>
      <c r="E6" s="374"/>
      <c r="F6" s="374"/>
      <c r="G6" s="374"/>
      <c r="H6" s="374"/>
      <c r="I6" s="374"/>
      <c r="J6" s="374"/>
      <c r="L6" s="374"/>
      <c r="M6" s="374"/>
      <c r="N6" s="374" t="s">
        <v>561</v>
      </c>
      <c r="O6" s="377"/>
      <c r="P6" s="374"/>
    </row>
    <row r="7" spans="1:18" ht="15.6">
      <c r="A7" s="334"/>
      <c r="B7" s="333"/>
      <c r="C7" s="374"/>
      <c r="D7" s="374"/>
      <c r="E7" s="374"/>
      <c r="F7" s="376" t="s">
        <v>28</v>
      </c>
      <c r="G7" s="374"/>
      <c r="H7" s="374"/>
      <c r="I7" s="374"/>
      <c r="J7" s="374"/>
      <c r="K7" s="374"/>
      <c r="L7" s="374"/>
      <c r="M7" s="374"/>
      <c r="N7" s="374"/>
      <c r="O7" s="374"/>
      <c r="P7" s="374"/>
    </row>
    <row r="8" spans="1:18" ht="15.6">
      <c r="A8" s="334"/>
      <c r="B8" s="333"/>
      <c r="C8" s="374"/>
      <c r="D8" s="374"/>
      <c r="E8" s="374"/>
      <c r="F8" s="375"/>
      <c r="G8" s="374"/>
      <c r="H8" s="374"/>
      <c r="I8" s="374"/>
      <c r="J8" s="374"/>
      <c r="K8" s="374"/>
      <c r="L8" s="374"/>
      <c r="M8" s="374"/>
      <c r="N8" s="374"/>
      <c r="O8" s="374"/>
      <c r="P8" s="374"/>
    </row>
    <row r="9" spans="1:18" ht="15.6">
      <c r="A9" s="334"/>
      <c r="B9" s="333"/>
      <c r="C9" s="374" t="s">
        <v>560</v>
      </c>
      <c r="D9" s="374"/>
      <c r="E9" s="374"/>
      <c r="F9" s="375"/>
      <c r="G9" s="374"/>
      <c r="H9" s="374"/>
      <c r="I9" s="374"/>
      <c r="J9" s="374"/>
      <c r="K9" s="374"/>
      <c r="L9" s="374"/>
      <c r="M9" s="374"/>
      <c r="N9" s="374"/>
      <c r="O9" s="374"/>
      <c r="P9" s="374"/>
    </row>
    <row r="10" spans="1:18" ht="15.6">
      <c r="A10" s="329"/>
      <c r="B10" s="328"/>
      <c r="C10" s="374" t="s">
        <v>3</v>
      </c>
      <c r="D10" s="371"/>
      <c r="E10" s="371"/>
      <c r="F10" s="373"/>
      <c r="G10" s="371"/>
      <c r="H10" s="371"/>
      <c r="I10" s="371"/>
      <c r="J10" s="371"/>
      <c r="K10" s="371"/>
      <c r="L10" s="371"/>
      <c r="M10" s="371"/>
      <c r="N10" s="371"/>
      <c r="O10" s="371"/>
      <c r="P10" s="371"/>
    </row>
    <row r="11" spans="1:18">
      <c r="A11" s="329"/>
      <c r="B11" s="328"/>
      <c r="C11" s="371"/>
      <c r="D11" s="371"/>
      <c r="E11" s="371"/>
      <c r="F11" s="371"/>
      <c r="G11" s="371"/>
      <c r="H11" s="371"/>
      <c r="I11" s="371"/>
      <c r="J11" s="371"/>
      <c r="K11" s="372"/>
      <c r="L11" s="372"/>
      <c r="M11" s="372"/>
      <c r="N11" s="371"/>
      <c r="O11" s="371"/>
      <c r="P11" s="371"/>
    </row>
    <row r="12" spans="1:18" ht="15.6">
      <c r="A12" s="328"/>
      <c r="B12" s="328"/>
      <c r="C12" s="334" t="s">
        <v>7</v>
      </c>
      <c r="D12" s="334" t="s">
        <v>8</v>
      </c>
      <c r="E12" s="370" t="s">
        <v>9</v>
      </c>
      <c r="F12" s="334" t="s">
        <v>10</v>
      </c>
      <c r="G12" s="334"/>
      <c r="H12" s="334" t="s">
        <v>108</v>
      </c>
      <c r="I12" s="325"/>
      <c r="J12" s="335" t="s">
        <v>109</v>
      </c>
      <c r="K12" s="325"/>
      <c r="L12" s="369" t="s">
        <v>110</v>
      </c>
      <c r="M12" s="369"/>
      <c r="N12" s="369" t="s">
        <v>111</v>
      </c>
      <c r="O12" s="369"/>
      <c r="P12" s="369"/>
    </row>
    <row r="13" spans="1:18" ht="15.6">
      <c r="A13" s="328"/>
      <c r="B13" s="328"/>
      <c r="C13" s="326"/>
      <c r="D13" s="367" t="s">
        <v>559</v>
      </c>
      <c r="E13" s="367"/>
      <c r="F13" s="331"/>
      <c r="G13" s="331"/>
      <c r="H13" s="327"/>
      <c r="I13" s="325"/>
      <c r="J13" s="367" t="s">
        <v>30</v>
      </c>
      <c r="K13" s="331"/>
      <c r="L13" s="327"/>
      <c r="M13" s="331"/>
      <c r="N13" s="364" t="s">
        <v>32</v>
      </c>
      <c r="O13" s="362"/>
      <c r="P13" s="362"/>
    </row>
    <row r="14" spans="1:18" ht="15.6">
      <c r="A14" s="329" t="s">
        <v>1</v>
      </c>
      <c r="B14" s="328"/>
      <c r="C14" s="326"/>
      <c r="D14" s="364" t="s">
        <v>12</v>
      </c>
      <c r="E14" s="364"/>
      <c r="F14" s="364" t="s">
        <v>11</v>
      </c>
      <c r="G14" s="368"/>
      <c r="H14" s="367" t="s">
        <v>30</v>
      </c>
      <c r="I14" s="366"/>
      <c r="J14" s="365" t="s">
        <v>4</v>
      </c>
      <c r="K14" s="331"/>
      <c r="L14" s="364" t="s">
        <v>32</v>
      </c>
      <c r="M14" s="331"/>
      <c r="N14" s="363" t="s">
        <v>4</v>
      </c>
      <c r="O14" s="362"/>
      <c r="P14" s="362"/>
    </row>
    <row r="15" spans="1:18" ht="16.2" thickBot="1">
      <c r="A15" s="361" t="s">
        <v>2</v>
      </c>
      <c r="B15" s="328"/>
      <c r="C15" s="360"/>
      <c r="D15" s="325"/>
      <c r="E15" s="325"/>
      <c r="F15" s="325"/>
      <c r="G15" s="325"/>
      <c r="H15" s="325"/>
      <c r="I15" s="325"/>
      <c r="J15" s="325"/>
      <c r="K15" s="325"/>
      <c r="L15" s="325"/>
      <c r="M15" s="325"/>
      <c r="N15" s="325"/>
      <c r="O15" s="325"/>
      <c r="P15" s="325"/>
    </row>
    <row r="16" spans="1:18">
      <c r="A16" s="329"/>
      <c r="B16" s="328"/>
      <c r="C16" s="326"/>
      <c r="D16" s="325"/>
      <c r="E16" s="325"/>
      <c r="F16" s="325"/>
      <c r="G16" s="325"/>
      <c r="H16" s="325"/>
      <c r="I16" s="325"/>
      <c r="J16" s="340"/>
      <c r="K16" s="325"/>
      <c r="L16" s="325"/>
      <c r="M16" s="325"/>
      <c r="N16" s="325"/>
      <c r="O16" s="325"/>
      <c r="P16" s="325"/>
    </row>
    <row r="17" spans="1:16" ht="15.6">
      <c r="A17" s="356">
        <v>1</v>
      </c>
      <c r="B17" s="328"/>
      <c r="C17" s="333" t="s">
        <v>558</v>
      </c>
      <c r="D17" s="346" t="s">
        <v>557</v>
      </c>
      <c r="E17" s="346"/>
      <c r="F17" s="349">
        <f>'MP Attach O'!J78+'MP Attach O'!J101+'MP Attach O'!J103-11994799-1655468</f>
        <v>611974418</v>
      </c>
      <c r="G17" s="325"/>
      <c r="H17" s="349">
        <f>'MP Attach O'!M78+'MP Attach O'!M101+'MP Attach O'!M103-11994799-1655468</f>
        <v>475288993</v>
      </c>
      <c r="I17" s="359"/>
      <c r="J17" s="340"/>
      <c r="K17" s="325"/>
      <c r="L17" s="349">
        <f>'MP Attach O'!P78+'MP Attach O'!P101+'MP Attach O'!P103-0-0</f>
        <v>136685425</v>
      </c>
      <c r="M17" s="325"/>
      <c r="N17" s="325"/>
      <c r="O17" s="325"/>
      <c r="P17" s="325"/>
    </row>
    <row r="18" spans="1:16" ht="15.6">
      <c r="A18" s="356">
        <v>2</v>
      </c>
      <c r="B18" s="328"/>
      <c r="C18" s="333" t="s">
        <v>556</v>
      </c>
      <c r="D18" s="346" t="s">
        <v>555</v>
      </c>
      <c r="E18" s="346"/>
      <c r="F18" s="349">
        <f>'MP Attach O'!J94+'MP Attach O'!J101+'MP Attach O'!J103+'MP Attach O'!J111+'MP Attach O'!J113</f>
        <v>433232078.83114779</v>
      </c>
      <c r="G18" s="325"/>
      <c r="H18" s="349">
        <f>'MP Attach O'!M94+'MP Attach O'!M101+'MP Attach O'!M103+'MP Attach O'!M111+'MP Attach O'!M113</f>
        <v>354213657.83114779</v>
      </c>
      <c r="I18" s="328"/>
      <c r="J18" s="340"/>
      <c r="K18" s="328"/>
      <c r="L18" s="349">
        <f>'MP Attach O'!P94+'MP Attach O'!P101+'MP Attach O'!P103+'MP Attach O'!P111+'MP Attach O'!P113</f>
        <v>79018421</v>
      </c>
      <c r="M18" s="328"/>
      <c r="N18" s="325"/>
      <c r="O18" s="325"/>
      <c r="P18" s="325"/>
    </row>
    <row r="19" spans="1:16" ht="15.6">
      <c r="A19" s="356"/>
      <c r="B19" s="328"/>
      <c r="C19" s="333"/>
      <c r="D19" s="346"/>
      <c r="E19" s="346"/>
      <c r="F19" s="358"/>
      <c r="G19" s="325"/>
      <c r="H19" s="325"/>
      <c r="I19" s="325"/>
      <c r="J19" s="340"/>
      <c r="K19" s="358"/>
      <c r="L19" s="325"/>
      <c r="M19" s="358"/>
      <c r="N19" s="325"/>
      <c r="O19" s="325"/>
      <c r="P19" s="325"/>
    </row>
    <row r="20" spans="1:16" ht="15.6">
      <c r="A20" s="356"/>
      <c r="B20" s="328"/>
      <c r="C20" s="333"/>
      <c r="D20" s="346"/>
      <c r="E20" s="346"/>
      <c r="F20" s="325"/>
      <c r="G20" s="325"/>
      <c r="H20" s="325"/>
      <c r="I20" s="325"/>
      <c r="J20" s="340"/>
      <c r="K20" s="325"/>
      <c r="L20" s="325"/>
      <c r="M20" s="325"/>
      <c r="N20" s="325"/>
      <c r="O20" s="325"/>
      <c r="P20" s="325"/>
    </row>
    <row r="21" spans="1:16" ht="15.6">
      <c r="A21" s="356"/>
      <c r="B21" s="328"/>
      <c r="C21" s="333" t="s">
        <v>554</v>
      </c>
      <c r="D21" s="346"/>
      <c r="E21" s="346"/>
      <c r="F21" s="325"/>
      <c r="G21" s="325"/>
      <c r="H21" s="325"/>
      <c r="I21" s="325"/>
      <c r="J21" s="340"/>
      <c r="K21" s="325"/>
      <c r="L21" s="325"/>
      <c r="M21" s="325"/>
      <c r="N21" s="325"/>
      <c r="O21" s="325"/>
      <c r="P21" s="325"/>
    </row>
    <row r="22" spans="1:16" ht="15.6">
      <c r="A22" s="356">
        <v>3</v>
      </c>
      <c r="B22" s="328"/>
      <c r="C22" s="333" t="s">
        <v>553</v>
      </c>
      <c r="D22" s="346" t="s">
        <v>552</v>
      </c>
      <c r="E22" s="346"/>
      <c r="F22" s="349">
        <f>'MP Attach O'!J151</f>
        <v>24801348.63326871</v>
      </c>
      <c r="G22" s="325"/>
      <c r="H22" s="349">
        <f>'MP Attach O'!M151</f>
        <v>21832185.422017131</v>
      </c>
      <c r="I22" s="325"/>
      <c r="J22" s="340"/>
      <c r="K22" s="328"/>
      <c r="L22" s="349">
        <f>'MP Attach O'!P151</f>
        <v>2969163.2112515816</v>
      </c>
      <c r="M22" s="328"/>
      <c r="N22" s="325"/>
      <c r="O22" s="325"/>
      <c r="P22" s="325"/>
    </row>
    <row r="23" spans="1:16" ht="15.6">
      <c r="A23" s="356">
        <v>4</v>
      </c>
      <c r="B23" s="328"/>
      <c r="C23" s="333" t="s">
        <v>551</v>
      </c>
      <c r="D23" s="346" t="s">
        <v>550</v>
      </c>
      <c r="E23" s="346"/>
      <c r="F23" s="340">
        <f>IF(F22=0,0,F22/F18)</f>
        <v>5.7247258098205224E-2</v>
      </c>
      <c r="G23" s="325"/>
      <c r="H23" s="340">
        <f>IF(H22=0,0,H22/H17)</f>
        <v>4.5934548755723302E-2</v>
      </c>
      <c r="I23" s="325"/>
      <c r="J23" s="340">
        <f>H23</f>
        <v>4.5934548755723302E-2</v>
      </c>
      <c r="K23" s="328"/>
      <c r="L23" s="340">
        <f>IF(L22=0,0,L22/L17)</f>
        <v>2.1722602912867862E-2</v>
      </c>
      <c r="M23" s="328"/>
      <c r="N23" s="340">
        <f>L23</f>
        <v>2.1722602912867862E-2</v>
      </c>
      <c r="O23" s="339"/>
      <c r="P23" s="339"/>
    </row>
    <row r="24" spans="1:16" ht="15.6">
      <c r="A24" s="356"/>
      <c r="B24" s="328"/>
      <c r="C24" s="333"/>
      <c r="D24" s="346" t="s">
        <v>549</v>
      </c>
      <c r="E24" s="346"/>
      <c r="F24" s="325"/>
      <c r="G24" s="325"/>
      <c r="H24" s="325"/>
      <c r="I24" s="340"/>
      <c r="J24" s="340"/>
      <c r="K24" s="325"/>
      <c r="L24" s="325"/>
      <c r="M24" s="325"/>
      <c r="N24" s="340"/>
      <c r="O24" s="328"/>
      <c r="P24" s="328"/>
    </row>
    <row r="25" spans="1:16" ht="15.6">
      <c r="A25" s="356"/>
      <c r="B25" s="328"/>
      <c r="C25" s="333"/>
      <c r="D25" s="346"/>
      <c r="E25" s="346"/>
      <c r="F25" s="325"/>
      <c r="G25" s="325"/>
      <c r="H25" s="325"/>
      <c r="I25" s="340"/>
      <c r="J25" s="340"/>
      <c r="K25" s="325"/>
      <c r="L25" s="325"/>
      <c r="M25" s="325"/>
      <c r="N25" s="340"/>
      <c r="O25" s="328"/>
      <c r="P25" s="328"/>
    </row>
    <row r="26" spans="1:16" ht="15.6">
      <c r="A26" s="356"/>
      <c r="B26" s="328"/>
      <c r="C26" s="271" t="s">
        <v>548</v>
      </c>
      <c r="D26" s="346"/>
      <c r="E26" s="346"/>
      <c r="F26" s="325"/>
      <c r="G26" s="325"/>
      <c r="H26" s="325"/>
      <c r="I26" s="340"/>
      <c r="J26" s="340"/>
      <c r="K26" s="325"/>
      <c r="L26" s="325"/>
      <c r="M26" s="325"/>
      <c r="N26" s="340"/>
      <c r="O26" s="328"/>
      <c r="P26" s="328"/>
    </row>
    <row r="27" spans="1:16" ht="15.6">
      <c r="A27" s="356">
        <v>5</v>
      </c>
      <c r="B27" s="328"/>
      <c r="C27" s="333" t="s">
        <v>547</v>
      </c>
      <c r="D27" s="346" t="s">
        <v>546</v>
      </c>
      <c r="E27" s="346"/>
      <c r="F27" s="349">
        <f>'MP Attach O'!J159+'MP Attach O'!J160</f>
        <v>2147213.3404488685</v>
      </c>
      <c r="G27" s="325"/>
      <c r="H27" s="349">
        <f>'MP Attach O'!M159+'MP Attach O'!M160</f>
        <v>1666979.3134749928</v>
      </c>
      <c r="I27" s="325"/>
      <c r="J27" s="340"/>
      <c r="K27" s="328"/>
      <c r="L27" s="349">
        <f>'MP Attach O'!P159+'MP Attach O'!P160</f>
        <v>480234.02697387559</v>
      </c>
      <c r="M27" s="328"/>
      <c r="N27" s="325"/>
      <c r="O27" s="325"/>
      <c r="P27" s="328"/>
    </row>
    <row r="28" spans="1:16" ht="15.6">
      <c r="A28" s="356">
        <v>6</v>
      </c>
      <c r="B28" s="328"/>
      <c r="C28" s="357" t="s">
        <v>545</v>
      </c>
      <c r="D28" s="346" t="s">
        <v>544</v>
      </c>
      <c r="E28" s="346"/>
      <c r="F28" s="340">
        <f>IF(F27=0,0,F27/F18)</f>
        <v>4.9562658107913217E-3</v>
      </c>
      <c r="G28" s="325"/>
      <c r="H28" s="340">
        <f>IF(H27=0,0,H27/H17)</f>
        <v>3.5072962724280736E-3</v>
      </c>
      <c r="I28" s="325"/>
      <c r="J28" s="340">
        <f>H28</f>
        <v>3.5072962724280736E-3</v>
      </c>
      <c r="K28" s="328"/>
      <c r="L28" s="340">
        <f>IF(L27=0,0,L27/L17)</f>
        <v>3.5134252754006187E-3</v>
      </c>
      <c r="M28" s="328"/>
      <c r="N28" s="340">
        <f>L28</f>
        <v>3.5134252754006187E-3</v>
      </c>
      <c r="O28" s="339"/>
      <c r="P28" s="328"/>
    </row>
    <row r="29" spans="1:16" ht="15.6">
      <c r="A29" s="356"/>
      <c r="B29" s="328"/>
      <c r="C29" s="357" t="s">
        <v>543</v>
      </c>
      <c r="D29" s="346" t="s">
        <v>542</v>
      </c>
      <c r="E29" s="346"/>
      <c r="F29" s="325"/>
      <c r="G29" s="325"/>
      <c r="H29" s="325"/>
      <c r="I29" s="340"/>
      <c r="J29" s="340"/>
      <c r="K29" s="325"/>
      <c r="L29" s="325"/>
      <c r="M29" s="325"/>
      <c r="N29" s="340"/>
      <c r="O29" s="328"/>
      <c r="P29" s="328"/>
    </row>
    <row r="30" spans="1:16" ht="15.6">
      <c r="A30" s="356"/>
      <c r="B30" s="328"/>
      <c r="C30" s="333"/>
      <c r="D30" s="346"/>
      <c r="E30" s="346"/>
      <c r="F30" s="325"/>
      <c r="G30" s="325"/>
      <c r="H30" s="325"/>
      <c r="I30" s="340"/>
      <c r="J30" s="340"/>
      <c r="K30" s="325"/>
      <c r="L30" s="325"/>
      <c r="M30" s="325"/>
      <c r="N30" s="340"/>
      <c r="O30" s="328"/>
      <c r="P30" s="328"/>
    </row>
    <row r="31" spans="1:16" ht="15.6">
      <c r="A31" s="348"/>
      <c r="B31" s="328"/>
      <c r="C31" s="333" t="s">
        <v>541</v>
      </c>
      <c r="D31" s="334"/>
      <c r="E31" s="334"/>
      <c r="F31" s="325"/>
      <c r="G31" s="325"/>
      <c r="H31" s="325"/>
      <c r="I31" s="325"/>
      <c r="J31" s="340"/>
      <c r="K31" s="325"/>
      <c r="L31" s="325"/>
      <c r="M31" s="325"/>
      <c r="N31" s="340"/>
      <c r="O31" s="325"/>
      <c r="P31" s="325"/>
    </row>
    <row r="32" spans="1:16" ht="15.6">
      <c r="A32" s="348" t="s">
        <v>540</v>
      </c>
      <c r="B32" s="328"/>
      <c r="C32" s="333" t="s">
        <v>539</v>
      </c>
      <c r="D32" s="346" t="s">
        <v>538</v>
      </c>
      <c r="E32" s="346"/>
      <c r="F32" s="355">
        <f>'MP Attach O'!J172</f>
        <v>6836930.7931036931</v>
      </c>
      <c r="G32" s="325"/>
      <c r="H32" s="355">
        <f>'MP Attach O'!M172</f>
        <v>5557546.5902681928</v>
      </c>
      <c r="I32" s="353"/>
      <c r="J32" s="340"/>
      <c r="K32" s="328"/>
      <c r="L32" s="355">
        <f>'MP Attach O'!P172</f>
        <v>1279384.2028354991</v>
      </c>
      <c r="M32" s="328"/>
      <c r="N32" s="340"/>
      <c r="O32" s="354"/>
      <c r="P32" s="354"/>
    </row>
    <row r="33" spans="1:16" ht="15.6">
      <c r="A33" s="348" t="s">
        <v>537</v>
      </c>
      <c r="B33" s="328"/>
      <c r="C33" s="333" t="s">
        <v>536</v>
      </c>
      <c r="D33" s="346" t="s">
        <v>535</v>
      </c>
      <c r="E33" s="346"/>
      <c r="F33" s="340">
        <f>IF(F32=0,0,F32/F18)</f>
        <v>1.5781220106206372E-2</v>
      </c>
      <c r="G33" s="325"/>
      <c r="H33" s="340">
        <f>IF(H32=0,0,H32/H17)</f>
        <v>1.1692983999459446E-2</v>
      </c>
      <c r="I33" s="325"/>
      <c r="J33" s="340">
        <f>H33</f>
        <v>1.1692983999459446E-2</v>
      </c>
      <c r="K33" s="328"/>
      <c r="L33" s="340">
        <f>IF(L32=0,0,L32/L17)</f>
        <v>9.3600630998915881E-3</v>
      </c>
      <c r="M33" s="328"/>
      <c r="N33" s="340">
        <f>L33</f>
        <v>9.3600630998915881E-3</v>
      </c>
      <c r="O33" s="339"/>
      <c r="P33" s="339"/>
    </row>
    <row r="34" spans="1:16" ht="15.6">
      <c r="A34" s="348"/>
      <c r="B34" s="328"/>
      <c r="C34" s="333"/>
      <c r="D34" s="346" t="s">
        <v>534</v>
      </c>
      <c r="E34" s="346"/>
      <c r="F34" s="340"/>
      <c r="G34" s="325"/>
      <c r="H34" s="340"/>
      <c r="I34" s="325"/>
      <c r="J34" s="340"/>
      <c r="K34" s="328"/>
      <c r="L34" s="340"/>
      <c r="M34" s="328"/>
      <c r="N34" s="340"/>
      <c r="O34" s="339"/>
      <c r="P34" s="339"/>
    </row>
    <row r="35" spans="1:16" ht="15.6">
      <c r="A35" s="348"/>
      <c r="B35" s="328"/>
      <c r="C35" s="333"/>
      <c r="D35" s="346"/>
      <c r="E35" s="346"/>
      <c r="F35" s="340"/>
      <c r="G35" s="325"/>
      <c r="H35" s="325"/>
      <c r="I35" s="325"/>
      <c r="J35" s="340"/>
      <c r="K35" s="328"/>
      <c r="L35" s="325"/>
      <c r="M35" s="328"/>
      <c r="N35" s="340"/>
      <c r="O35" s="339"/>
      <c r="P35" s="339"/>
    </row>
    <row r="36" spans="1:16" ht="15.6">
      <c r="A36" s="348" t="s">
        <v>533</v>
      </c>
      <c r="B36" s="328"/>
      <c r="C36" s="333" t="s">
        <v>532</v>
      </c>
      <c r="D36" s="346" t="s">
        <v>531</v>
      </c>
      <c r="E36" s="346"/>
      <c r="F36" s="340">
        <f>F23+F28+F33</f>
        <v>7.7984744015202917E-2</v>
      </c>
      <c r="G36" s="325"/>
      <c r="H36" s="340">
        <f>H23+H28+H33</f>
        <v>6.1134829027610818E-2</v>
      </c>
      <c r="I36" s="325"/>
      <c r="J36" s="340">
        <f>H36</f>
        <v>6.1134829027610818E-2</v>
      </c>
      <c r="K36" s="328"/>
      <c r="L36" s="340">
        <f>L23+L28+L33</f>
        <v>3.4596091288160068E-2</v>
      </c>
      <c r="M36" s="328"/>
      <c r="N36" s="340">
        <f>L36</f>
        <v>3.4596091288160068E-2</v>
      </c>
      <c r="O36" s="339"/>
      <c r="P36" s="339"/>
    </row>
    <row r="37" spans="1:16" ht="15.6">
      <c r="A37" s="348"/>
      <c r="B37" s="328"/>
      <c r="C37" s="333"/>
      <c r="D37" s="346" t="s">
        <v>530</v>
      </c>
      <c r="E37" s="346"/>
      <c r="F37" s="340"/>
      <c r="G37" s="325"/>
      <c r="H37" s="340"/>
      <c r="I37" s="325"/>
      <c r="J37" s="340"/>
      <c r="K37" s="328"/>
      <c r="L37" s="340"/>
      <c r="M37" s="328"/>
      <c r="N37" s="340"/>
      <c r="O37" s="339"/>
      <c r="P37" s="339"/>
    </row>
    <row r="38" spans="1:16" ht="15.6">
      <c r="A38" s="348"/>
      <c r="B38" s="328"/>
      <c r="C38" s="333"/>
      <c r="D38" s="346"/>
      <c r="E38" s="346"/>
      <c r="F38" s="325"/>
      <c r="G38" s="325"/>
      <c r="H38" s="325"/>
      <c r="I38" s="353"/>
      <c r="J38" s="340"/>
      <c r="K38" s="325"/>
      <c r="L38" s="325"/>
      <c r="M38" s="325"/>
      <c r="N38" s="340"/>
      <c r="O38" s="325"/>
      <c r="P38" s="325"/>
    </row>
    <row r="39" spans="1:16" ht="15.6">
      <c r="A39" s="342"/>
      <c r="B39" s="338"/>
      <c r="C39" s="331" t="s">
        <v>529</v>
      </c>
      <c r="D39" s="346"/>
      <c r="E39" s="346"/>
      <c r="F39" s="325"/>
      <c r="G39" s="352"/>
      <c r="H39" s="325"/>
      <c r="I39" s="340"/>
      <c r="J39" s="340"/>
      <c r="K39" s="325"/>
      <c r="L39" s="351"/>
      <c r="M39" s="325"/>
      <c r="N39" s="340"/>
      <c r="O39" s="338"/>
      <c r="P39" s="338"/>
    </row>
    <row r="40" spans="1:16" ht="15.6">
      <c r="A40" s="348" t="s">
        <v>528</v>
      </c>
      <c r="B40" s="338"/>
      <c r="C40" s="331" t="s">
        <v>14</v>
      </c>
      <c r="D40" s="346" t="s">
        <v>527</v>
      </c>
      <c r="E40" s="346"/>
      <c r="F40" s="349">
        <f>'MP Attach O'!J185</f>
        <v>16771386.879546983</v>
      </c>
      <c r="G40" s="352"/>
      <c r="H40" s="349">
        <f>'MP Attach O'!M185</f>
        <v>13653146.023006199</v>
      </c>
      <c r="I40" s="340"/>
      <c r="J40" s="340"/>
      <c r="K40" s="325"/>
      <c r="L40" s="349">
        <f>'MP Attach O'!P185</f>
        <v>3118240.8565407828</v>
      </c>
      <c r="M40" s="325"/>
      <c r="N40" s="340"/>
      <c r="O40" s="338"/>
      <c r="P40" s="338"/>
    </row>
    <row r="41" spans="1:16" ht="15.6">
      <c r="A41" s="348" t="s">
        <v>526</v>
      </c>
      <c r="B41" s="338"/>
      <c r="C41" s="331" t="s">
        <v>525</v>
      </c>
      <c r="D41" s="346" t="s">
        <v>524</v>
      </c>
      <c r="E41" s="346"/>
      <c r="F41" s="340">
        <f>IF(F40=0,0,F40/F18)</f>
        <v>3.8712246158677535E-2</v>
      </c>
      <c r="G41" s="352"/>
      <c r="H41" s="340">
        <f>IF(H40=0,0,H40/H18)</f>
        <v>3.8544945179710147E-2</v>
      </c>
      <c r="I41" s="340"/>
      <c r="J41" s="340">
        <f>H41</f>
        <v>3.8544945179710147E-2</v>
      </c>
      <c r="K41" s="325"/>
      <c r="L41" s="340">
        <f>IF(L40=0,0,L40/L18)</f>
        <v>3.9462201561086409E-2</v>
      </c>
      <c r="M41" s="325"/>
      <c r="N41" s="340">
        <f>L41</f>
        <v>3.9462201561086409E-2</v>
      </c>
      <c r="O41" s="338"/>
      <c r="P41" s="338"/>
    </row>
    <row r="42" spans="1:16" ht="15.6">
      <c r="A42" s="348"/>
      <c r="B42" s="338"/>
      <c r="C42" s="331"/>
      <c r="D42" s="346" t="s">
        <v>523</v>
      </c>
      <c r="E42" s="346"/>
      <c r="F42" s="340"/>
      <c r="G42" s="352"/>
      <c r="H42" s="340"/>
      <c r="I42" s="340"/>
      <c r="J42" s="340"/>
      <c r="K42" s="325"/>
      <c r="L42" s="340"/>
      <c r="M42" s="325"/>
      <c r="N42" s="340"/>
      <c r="O42" s="338"/>
      <c r="P42" s="338"/>
    </row>
    <row r="43" spans="1:16" ht="15.6">
      <c r="A43" s="342"/>
      <c r="B43" s="338"/>
      <c r="C43" s="331"/>
      <c r="D43" s="346"/>
      <c r="E43" s="346"/>
      <c r="F43" s="340"/>
      <c r="G43" s="352"/>
      <c r="H43" s="325"/>
      <c r="I43" s="340"/>
      <c r="J43" s="340"/>
      <c r="K43" s="325"/>
      <c r="L43" s="351"/>
      <c r="M43" s="325"/>
      <c r="N43" s="340"/>
      <c r="O43" s="338"/>
      <c r="P43" s="338"/>
    </row>
    <row r="44" spans="1:16" ht="15.6">
      <c r="A44" s="348"/>
      <c r="B44" s="328"/>
      <c r="C44" s="333" t="s">
        <v>15</v>
      </c>
      <c r="D44" s="345"/>
      <c r="E44" s="345"/>
      <c r="F44" s="328"/>
      <c r="G44" s="325"/>
      <c r="H44" s="325"/>
      <c r="I44" s="328"/>
      <c r="J44" s="340"/>
      <c r="K44" s="328"/>
      <c r="L44" s="325"/>
      <c r="M44" s="328"/>
      <c r="N44" s="340"/>
      <c r="O44" s="328"/>
      <c r="P44" s="328"/>
    </row>
    <row r="45" spans="1:16" ht="15.6">
      <c r="A45" s="348" t="s">
        <v>522</v>
      </c>
      <c r="B45" s="328"/>
      <c r="C45" s="333" t="s">
        <v>521</v>
      </c>
      <c r="D45" s="334" t="s">
        <v>520</v>
      </c>
      <c r="E45" s="334"/>
      <c r="F45" s="349">
        <f>'MP Attach O'!J187</f>
        <v>31520836.028390776</v>
      </c>
      <c r="G45" s="350"/>
      <c r="H45" s="349">
        <f>'MP Attach O'!M187</f>
        <v>25727697.848422647</v>
      </c>
      <c r="I45" s="350"/>
      <c r="J45" s="340"/>
      <c r="K45" s="328"/>
      <c r="L45" s="349">
        <f>'MP Attach O'!P187</f>
        <v>5793138.1799681289</v>
      </c>
      <c r="M45" s="328"/>
      <c r="N45" s="340"/>
      <c r="O45" s="339"/>
      <c r="P45" s="339"/>
    </row>
    <row r="46" spans="1:16" ht="15.6">
      <c r="A46" s="348" t="s">
        <v>519</v>
      </c>
      <c r="B46" s="328"/>
      <c r="C46" s="333" t="s">
        <v>518</v>
      </c>
      <c r="D46" s="346" t="s">
        <v>517</v>
      </c>
      <c r="E46" s="345"/>
      <c r="F46" s="340">
        <f>IF(F45=0,0,F45/F18)</f>
        <v>7.2757391635064089E-2</v>
      </c>
      <c r="G46" s="325"/>
      <c r="H46" s="340">
        <f>IF(H45=0,0,H45/H18)</f>
        <v>7.2633274521240895E-2</v>
      </c>
      <c r="I46" s="344"/>
      <c r="J46" s="340">
        <f>H46</f>
        <v>7.2633274521240895E-2</v>
      </c>
      <c r="K46" s="343"/>
      <c r="L46" s="340">
        <f>IF(L45=0,0,L45/L18)</f>
        <v>7.331376793732855E-2</v>
      </c>
      <c r="M46" s="343"/>
      <c r="N46" s="340">
        <f>L46</f>
        <v>7.331376793732855E-2</v>
      </c>
      <c r="O46" s="328"/>
      <c r="P46" s="328"/>
    </row>
    <row r="47" spans="1:16" ht="15.6">
      <c r="A47" s="348"/>
      <c r="B47" s="328"/>
      <c r="C47" s="333"/>
      <c r="D47" s="346" t="s">
        <v>516</v>
      </c>
      <c r="E47" s="345"/>
      <c r="F47" s="340"/>
      <c r="G47" s="325"/>
      <c r="H47" s="340"/>
      <c r="I47" s="344"/>
      <c r="J47" s="340"/>
      <c r="K47" s="343"/>
      <c r="L47" s="340"/>
      <c r="M47" s="343"/>
      <c r="N47" s="340"/>
      <c r="O47" s="328"/>
      <c r="P47" s="328"/>
    </row>
    <row r="48" spans="1:16" ht="15.6">
      <c r="A48" s="342"/>
      <c r="B48" s="338"/>
      <c r="C48" s="333"/>
      <c r="D48" s="345"/>
      <c r="E48" s="345"/>
      <c r="F48" s="325"/>
      <c r="G48" s="325"/>
      <c r="H48" s="343"/>
      <c r="I48" s="344"/>
      <c r="J48" s="340"/>
      <c r="K48" s="343"/>
      <c r="L48" s="325"/>
      <c r="M48" s="343"/>
      <c r="N48" s="340"/>
      <c r="O48" s="328"/>
      <c r="P48" s="328"/>
    </row>
    <row r="49" spans="1:24" ht="15.6">
      <c r="A49" s="348" t="s">
        <v>515</v>
      </c>
      <c r="B49" s="338"/>
      <c r="C49" s="333" t="s">
        <v>502</v>
      </c>
      <c r="D49" s="346" t="s">
        <v>514</v>
      </c>
      <c r="E49" s="345"/>
      <c r="F49" s="347"/>
      <c r="G49" s="325"/>
      <c r="H49" s="344">
        <f>H41+H46</f>
        <v>0.11117821970095104</v>
      </c>
      <c r="I49" s="344"/>
      <c r="J49" s="340"/>
      <c r="K49" s="343"/>
      <c r="L49" s="344">
        <f>L41+L46</f>
        <v>0.11277596949841495</v>
      </c>
      <c r="M49" s="343"/>
      <c r="N49" s="340"/>
      <c r="O49" s="328"/>
      <c r="P49" s="328"/>
    </row>
    <row r="50" spans="1:24" ht="15.6">
      <c r="A50" s="342"/>
      <c r="B50" s="338"/>
      <c r="C50" s="333"/>
      <c r="D50" s="346" t="s">
        <v>513</v>
      </c>
      <c r="E50" s="345"/>
      <c r="F50" s="325" t="s">
        <v>3</v>
      </c>
      <c r="G50" s="325"/>
      <c r="H50" s="325"/>
      <c r="I50" s="344"/>
      <c r="J50" s="325"/>
      <c r="K50" s="343"/>
      <c r="L50" s="343"/>
      <c r="M50" s="343"/>
      <c r="N50" s="325" t="s">
        <v>3</v>
      </c>
      <c r="O50" s="328"/>
      <c r="P50" s="328"/>
    </row>
    <row r="51" spans="1:24" ht="15.6">
      <c r="A51" s="342"/>
      <c r="B51" s="338"/>
      <c r="C51" s="333"/>
      <c r="D51" s="345"/>
      <c r="E51" s="345"/>
      <c r="F51" s="325"/>
      <c r="G51" s="325"/>
      <c r="H51" s="325"/>
      <c r="I51" s="344"/>
      <c r="J51" s="325"/>
      <c r="K51" s="343"/>
      <c r="L51" s="343"/>
      <c r="M51" s="343"/>
      <c r="N51" s="325"/>
      <c r="O51" s="328"/>
      <c r="P51" s="328"/>
    </row>
    <row r="52" spans="1:24" ht="15.6">
      <c r="A52" s="342"/>
      <c r="B52" s="338"/>
      <c r="C52" s="326"/>
      <c r="D52" s="341"/>
      <c r="E52" s="341"/>
      <c r="F52" s="325"/>
      <c r="G52" s="326"/>
      <c r="H52" s="326"/>
      <c r="I52" s="340"/>
      <c r="J52" s="325"/>
      <c r="K52" s="325"/>
      <c r="L52" s="325"/>
      <c r="M52" s="325"/>
      <c r="N52" s="325"/>
      <c r="O52" s="339"/>
      <c r="P52" s="339"/>
      <c r="X52" s="261" t="s">
        <v>3</v>
      </c>
    </row>
    <row r="53" spans="1:24" ht="15.6">
      <c r="A53" s="272"/>
      <c r="B53" s="338"/>
      <c r="C53" s="335"/>
      <c r="D53" s="334"/>
      <c r="E53" s="334"/>
      <c r="F53" s="331"/>
      <c r="G53" s="333"/>
      <c r="H53" s="333"/>
      <c r="I53" s="332"/>
      <c r="J53" s="325"/>
      <c r="K53" s="331"/>
      <c r="M53" s="331"/>
      <c r="N53" s="325"/>
      <c r="O53" s="273"/>
      <c r="P53" s="337"/>
    </row>
    <row r="54" spans="1:24" ht="15.6">
      <c r="A54" s="272"/>
      <c r="B54" s="336"/>
      <c r="C54" s="335"/>
      <c r="D54" s="334"/>
      <c r="E54" s="334"/>
      <c r="F54" s="331"/>
      <c r="G54" s="333"/>
      <c r="H54" s="333"/>
      <c r="I54" s="332"/>
      <c r="J54" s="325"/>
      <c r="K54" s="331"/>
      <c r="L54" s="331"/>
      <c r="M54" s="331"/>
      <c r="N54" s="325"/>
      <c r="O54" s="330"/>
      <c r="P54" s="330"/>
    </row>
    <row r="55" spans="1:24">
      <c r="A55" s="329"/>
      <c r="B55" s="328"/>
      <c r="C55" s="326"/>
      <c r="D55" s="326"/>
      <c r="E55" s="326"/>
      <c r="F55" s="325"/>
      <c r="G55" s="326"/>
      <c r="H55" s="326"/>
      <c r="I55" s="326"/>
      <c r="J55" s="327"/>
      <c r="K55" s="326"/>
      <c r="L55" s="326"/>
      <c r="M55" s="326"/>
      <c r="N55" s="325"/>
      <c r="O55" s="325"/>
      <c r="P55" s="325"/>
    </row>
    <row r="58" spans="1:24">
      <c r="A58" s="263"/>
      <c r="B58" s="263"/>
      <c r="C58" s="263"/>
      <c r="D58" s="263"/>
      <c r="E58" s="263"/>
      <c r="F58" s="263"/>
      <c r="G58" s="263"/>
      <c r="H58" s="263"/>
      <c r="I58" s="263"/>
      <c r="J58" s="263"/>
      <c r="K58" s="263"/>
      <c r="L58" s="263"/>
      <c r="M58" s="263"/>
      <c r="N58" s="324"/>
      <c r="O58" s="263"/>
    </row>
    <row r="59" spans="1:24">
      <c r="A59" s="263"/>
      <c r="B59" s="263"/>
      <c r="C59" s="263"/>
      <c r="D59" s="263"/>
      <c r="E59" s="263"/>
      <c r="F59" s="263"/>
      <c r="G59" s="263"/>
      <c r="H59" s="263"/>
      <c r="I59" s="263"/>
      <c r="J59" s="263"/>
      <c r="K59" s="263"/>
      <c r="L59" s="263"/>
      <c r="M59" s="263"/>
      <c r="N59" s="324"/>
      <c r="O59" s="263"/>
    </row>
    <row r="60" spans="1:24">
      <c r="A60" s="263"/>
      <c r="B60" s="263"/>
      <c r="C60" s="263"/>
      <c r="D60" s="263"/>
      <c r="E60" s="263"/>
      <c r="F60" s="263"/>
      <c r="G60" s="263"/>
      <c r="H60" s="263"/>
      <c r="I60" s="263"/>
      <c r="J60" s="263"/>
      <c r="K60" s="263"/>
      <c r="L60" s="263"/>
      <c r="M60" s="263"/>
      <c r="N60" s="263"/>
      <c r="O60" s="263"/>
    </row>
    <row r="61" spans="1:24">
      <c r="A61" s="320"/>
      <c r="B61" s="263"/>
      <c r="C61" s="266"/>
      <c r="D61" s="266"/>
      <c r="E61" s="266"/>
      <c r="F61" s="266"/>
      <c r="G61" s="265"/>
      <c r="H61" s="266"/>
      <c r="I61" s="266"/>
      <c r="J61" s="266"/>
      <c r="K61" s="266"/>
      <c r="L61" s="263"/>
      <c r="M61" s="265"/>
      <c r="N61" s="323" t="s">
        <v>512</v>
      </c>
      <c r="O61" s="310"/>
    </row>
    <row r="62" spans="1:24">
      <c r="A62" s="320"/>
      <c r="B62" s="263"/>
      <c r="C62" s="266" t="str">
        <f>+C4</f>
        <v>Formula Rate calculation</v>
      </c>
      <c r="D62" s="266"/>
      <c r="E62" s="266"/>
      <c r="F62" s="266"/>
      <c r="G62" s="322" t="str">
        <f>+F4</f>
        <v xml:space="preserve">     Rate Formula Template</v>
      </c>
      <c r="H62" s="266"/>
      <c r="I62" s="266"/>
      <c r="J62" s="266"/>
      <c r="K62" s="266"/>
      <c r="L62" s="263"/>
      <c r="M62" s="265"/>
      <c r="N62" s="323" t="str">
        <f>+N4</f>
        <v>For the 12 months ended 12/31/16</v>
      </c>
      <c r="O62" s="310"/>
    </row>
    <row r="63" spans="1:24">
      <c r="A63" s="320"/>
      <c r="B63" s="263"/>
      <c r="C63" s="266"/>
      <c r="D63" s="266"/>
      <c r="E63" s="266"/>
      <c r="F63" s="266"/>
      <c r="G63" s="322" t="str">
        <f>+F5</f>
        <v xml:space="preserve"> Utilizing Attachment O - Allete Data</v>
      </c>
      <c r="H63" s="266"/>
      <c r="I63" s="266"/>
      <c r="J63" s="266"/>
      <c r="K63" s="266"/>
      <c r="L63" s="265"/>
      <c r="M63" s="265"/>
      <c r="N63" s="263"/>
      <c r="O63" s="310"/>
    </row>
    <row r="64" spans="1:24">
      <c r="A64" s="320"/>
      <c r="B64" s="263"/>
      <c r="C64" s="266"/>
      <c r="D64" s="266"/>
      <c r="E64" s="266"/>
      <c r="F64" s="266"/>
      <c r="G64" s="266"/>
      <c r="H64" s="266"/>
      <c r="I64" s="266"/>
      <c r="J64" s="266"/>
      <c r="K64" s="266"/>
      <c r="L64" s="263"/>
      <c r="M64" s="265"/>
      <c r="N64" s="266" t="s">
        <v>511</v>
      </c>
      <c r="O64" s="310"/>
    </row>
    <row r="65" spans="1:16">
      <c r="A65" s="320"/>
      <c r="B65" s="263"/>
      <c r="C65" s="263"/>
      <c r="D65" s="263"/>
      <c r="E65" s="266"/>
      <c r="F65" s="266"/>
      <c r="G65" s="322" t="str">
        <f>+F7</f>
        <v>Allete, Inc. dba Minnesota Power</v>
      </c>
      <c r="H65" s="266"/>
      <c r="I65" s="266"/>
      <c r="J65" s="266"/>
      <c r="K65" s="266"/>
      <c r="L65" s="266"/>
      <c r="M65" s="265"/>
      <c r="N65" s="265"/>
      <c r="O65" s="310"/>
    </row>
    <row r="66" spans="1:16">
      <c r="A66" s="320"/>
      <c r="B66" s="263"/>
      <c r="C66" s="263"/>
      <c r="D66" s="263"/>
      <c r="E66" s="266"/>
      <c r="F66" s="266"/>
      <c r="G66" s="266"/>
      <c r="H66" s="266"/>
      <c r="I66" s="266"/>
      <c r="J66" s="266"/>
      <c r="K66" s="266"/>
      <c r="L66" s="266"/>
      <c r="M66" s="266"/>
      <c r="N66" s="266"/>
      <c r="O66" s="310"/>
    </row>
    <row r="67" spans="1:16" ht="15.6">
      <c r="A67" s="320"/>
      <c r="B67" s="263"/>
      <c r="C67" s="266"/>
      <c r="D67" s="266"/>
      <c r="E67" s="321" t="s">
        <v>510</v>
      </c>
      <c r="F67" s="321"/>
      <c r="G67" s="263"/>
      <c r="H67" s="301"/>
      <c r="I67" s="301"/>
      <c r="J67" s="301"/>
      <c r="K67" s="301"/>
      <c r="L67" s="301"/>
      <c r="M67" s="265"/>
      <c r="N67" s="265"/>
      <c r="O67" s="310"/>
    </row>
    <row r="68" spans="1:16" ht="15.6">
      <c r="A68" s="320"/>
      <c r="B68" s="263"/>
      <c r="C68" s="266"/>
      <c r="D68" s="266"/>
      <c r="E68" s="321"/>
      <c r="F68" s="321"/>
      <c r="G68" s="263"/>
      <c r="H68" s="301"/>
      <c r="I68" s="301"/>
      <c r="J68" s="301"/>
      <c r="K68" s="301"/>
      <c r="L68" s="301"/>
      <c r="M68" s="265"/>
      <c r="N68" s="265"/>
      <c r="O68" s="310"/>
    </row>
    <row r="69" spans="1:16" ht="14.25" customHeight="1">
      <c r="A69" s="320"/>
      <c r="B69" s="263"/>
      <c r="C69" s="319">
        <v>-1</v>
      </c>
      <c r="D69" s="319">
        <v>-2</v>
      </c>
      <c r="E69" s="319">
        <v>-3</v>
      </c>
      <c r="F69" s="319">
        <v>-4</v>
      </c>
      <c r="G69" s="319">
        <v>-5</v>
      </c>
      <c r="H69" s="319">
        <v>-6</v>
      </c>
      <c r="I69" s="319">
        <v>-7</v>
      </c>
      <c r="J69" s="319">
        <v>-8</v>
      </c>
      <c r="K69" s="319">
        <v>-9</v>
      </c>
      <c r="L69" s="319">
        <v>-10</v>
      </c>
      <c r="M69" s="319">
        <v>-11</v>
      </c>
      <c r="N69" s="319">
        <v>-12</v>
      </c>
      <c r="O69" s="310"/>
    </row>
    <row r="70" spans="1:16" ht="62.4">
      <c r="A70" s="318" t="s">
        <v>509</v>
      </c>
      <c r="B70" s="317"/>
      <c r="C70" s="317" t="s">
        <v>508</v>
      </c>
      <c r="D70" s="316" t="s">
        <v>507</v>
      </c>
      <c r="E70" s="314" t="s">
        <v>506</v>
      </c>
      <c r="F70" s="314" t="s">
        <v>505</v>
      </c>
      <c r="G70" s="315" t="s">
        <v>504</v>
      </c>
      <c r="H70" s="314" t="s">
        <v>503</v>
      </c>
      <c r="I70" s="314" t="s">
        <v>502</v>
      </c>
      <c r="J70" s="315" t="s">
        <v>501</v>
      </c>
      <c r="K70" s="314" t="s">
        <v>500</v>
      </c>
      <c r="L70" s="312" t="s">
        <v>499</v>
      </c>
      <c r="M70" s="313" t="s">
        <v>498</v>
      </c>
      <c r="N70" s="312" t="s">
        <v>497</v>
      </c>
      <c r="O70" s="311"/>
    </row>
    <row r="71" spans="1:16" ht="48.75" customHeight="1">
      <c r="A71" s="309" t="s">
        <v>496</v>
      </c>
      <c r="B71" s="308"/>
      <c r="C71" s="308"/>
      <c r="D71" s="308"/>
      <c r="E71" s="306" t="s">
        <v>5</v>
      </c>
      <c r="F71" s="307" t="s">
        <v>495</v>
      </c>
      <c r="G71" s="305" t="s">
        <v>487</v>
      </c>
      <c r="H71" s="306" t="s">
        <v>6</v>
      </c>
      <c r="I71" s="307" t="s">
        <v>494</v>
      </c>
      <c r="J71" s="305" t="s">
        <v>485</v>
      </c>
      <c r="K71" s="306" t="s">
        <v>484</v>
      </c>
      <c r="L71" s="305" t="s">
        <v>483</v>
      </c>
      <c r="M71" s="304" t="s">
        <v>482</v>
      </c>
      <c r="N71" s="303" t="s">
        <v>481</v>
      </c>
      <c r="O71" s="310"/>
    </row>
    <row r="72" spans="1:16">
      <c r="A72" s="302"/>
      <c r="B72" s="301"/>
      <c r="C72" s="301"/>
      <c r="D72" s="301"/>
      <c r="E72" s="301"/>
      <c r="F72" s="301"/>
      <c r="G72" s="300"/>
      <c r="H72" s="301"/>
      <c r="I72" s="301"/>
      <c r="J72" s="300"/>
      <c r="K72" s="301"/>
      <c r="L72" s="300"/>
      <c r="M72" s="265"/>
      <c r="N72" s="299"/>
      <c r="O72" s="310"/>
    </row>
    <row r="73" spans="1:16">
      <c r="A73" s="291" t="s">
        <v>13</v>
      </c>
      <c r="B73" s="263"/>
      <c r="C73" s="266" t="s">
        <v>584</v>
      </c>
      <c r="D73" s="323">
        <v>277</v>
      </c>
      <c r="E73" s="384">
        <v>20307146</v>
      </c>
      <c r="F73" s="295">
        <f>+$H$36</f>
        <v>6.1134829027610818E-2</v>
      </c>
      <c r="G73" s="449">
        <f>E73*F73</f>
        <v>1241473.898748731</v>
      </c>
      <c r="H73" s="384">
        <v>17747599.53846154</v>
      </c>
      <c r="I73" s="295">
        <f>+$H$49</f>
        <v>0.11117821970095104</v>
      </c>
      <c r="J73" s="449">
        <f>H73*I73</f>
        <v>1973146.5206515745</v>
      </c>
      <c r="K73" s="384">
        <v>507679</v>
      </c>
      <c r="L73" s="449">
        <f>G73+J73+K73</f>
        <v>3722299.4194003055</v>
      </c>
      <c r="M73" s="384">
        <v>-156382.07087862864</v>
      </c>
      <c r="N73" s="450">
        <f>L73+M73</f>
        <v>3565917.3485216768</v>
      </c>
      <c r="O73" s="262"/>
    </row>
    <row r="74" spans="1:16">
      <c r="A74" s="291" t="s">
        <v>493</v>
      </c>
      <c r="B74" s="263"/>
      <c r="C74" s="266" t="s">
        <v>585</v>
      </c>
      <c r="D74" s="323">
        <v>279</v>
      </c>
      <c r="E74" s="384">
        <v>10498905</v>
      </c>
      <c r="F74" s="295">
        <f>+$H$36</f>
        <v>6.1134829027610818E-2</v>
      </c>
      <c r="G74" s="449">
        <f>E74*F74</f>
        <v>641848.76215212839</v>
      </c>
      <c r="H74" s="384">
        <v>9502631.7692307699</v>
      </c>
      <c r="I74" s="295">
        <f>+$H$49</f>
        <v>0.11117821970095104</v>
      </c>
      <c r="J74" s="449">
        <f>H74*I74</f>
        <v>1056485.6825767756</v>
      </c>
      <c r="K74" s="384">
        <v>262473</v>
      </c>
      <c r="L74" s="449">
        <f>G74+J74+K74</f>
        <v>1960807.4447289039</v>
      </c>
      <c r="M74" s="384">
        <v>-29038.35267510335</v>
      </c>
      <c r="N74" s="450">
        <f>L74+M74</f>
        <v>1931769.0920538006</v>
      </c>
      <c r="O74" s="262"/>
    </row>
    <row r="75" spans="1:16">
      <c r="A75" s="291" t="s">
        <v>492</v>
      </c>
      <c r="B75" s="263"/>
      <c r="C75" s="266" t="s">
        <v>586</v>
      </c>
      <c r="D75" s="323">
        <v>286</v>
      </c>
      <c r="E75" s="384">
        <v>90255399.769999996</v>
      </c>
      <c r="F75" s="295">
        <f>+$H$36</f>
        <v>6.1134829027610818E-2</v>
      </c>
      <c r="G75" s="449">
        <f>E75*F75</f>
        <v>5517748.4337576143</v>
      </c>
      <c r="H75" s="384">
        <v>85617000.379999995</v>
      </c>
      <c r="I75" s="295">
        <f>+$H$49</f>
        <v>0.11117821970095104</v>
      </c>
      <c r="J75" s="449">
        <f>H75*I75</f>
        <v>9518745.6783840489</v>
      </c>
      <c r="K75" s="384">
        <v>2256923</v>
      </c>
      <c r="L75" s="449">
        <f>G75+J75+K75</f>
        <v>17293417.112141661</v>
      </c>
      <c r="M75" s="384">
        <v>362726.95172237977</v>
      </c>
      <c r="N75" s="450">
        <f>L75+M75</f>
        <v>17656144.063864041</v>
      </c>
      <c r="O75" s="262"/>
      <c r="P75" s="261" t="s">
        <v>3</v>
      </c>
    </row>
    <row r="76" spans="1:16">
      <c r="A76" s="418" t="s">
        <v>596</v>
      </c>
      <c r="B76" s="274"/>
      <c r="C76" s="266" t="s">
        <v>587</v>
      </c>
      <c r="D76" s="323">
        <v>2634</v>
      </c>
      <c r="E76" s="384">
        <v>3753213.6923076925</v>
      </c>
      <c r="F76" s="295">
        <f t="shared" ref="F76:F77" si="0">+$H$36</f>
        <v>6.1134829027610818E-2</v>
      </c>
      <c r="G76" s="449">
        <f t="shared" ref="G76" si="1">E76*F76</f>
        <v>229452.07738331868</v>
      </c>
      <c r="H76" s="384">
        <v>3714036.846153846</v>
      </c>
      <c r="I76" s="295">
        <f t="shared" ref="I76:I77" si="2">+$H$49</f>
        <v>0.11117821970095104</v>
      </c>
      <c r="J76" s="449">
        <f t="shared" ref="J76" si="3">H76*I76</f>
        <v>412920.00445911958</v>
      </c>
      <c r="K76" s="384">
        <v>96801</v>
      </c>
      <c r="L76" s="449">
        <f t="shared" ref="L76" si="4">G76+J76+K76</f>
        <v>739173.08184243832</v>
      </c>
      <c r="M76" s="384">
        <v>0</v>
      </c>
      <c r="N76" s="450">
        <f t="shared" ref="N76" si="5">L76+M76</f>
        <v>739173.08184243832</v>
      </c>
      <c r="O76" s="262"/>
    </row>
    <row r="77" spans="1:16">
      <c r="A77" s="291" t="s">
        <v>595</v>
      </c>
      <c r="B77" s="263"/>
      <c r="C77" s="274" t="s">
        <v>588</v>
      </c>
      <c r="D77" s="266">
        <v>3373</v>
      </c>
      <c r="E77" s="384">
        <v>5389132.538461538</v>
      </c>
      <c r="F77" s="295">
        <f t="shared" si="0"/>
        <v>6.1134829027610818E-2</v>
      </c>
      <c r="G77" s="449">
        <f>E77*F77</f>
        <v>329463.6963459804</v>
      </c>
      <c r="H77" s="384">
        <v>5208550.692307692</v>
      </c>
      <c r="I77" s="295">
        <f t="shared" si="2"/>
        <v>0.11117821970095104</v>
      </c>
      <c r="J77" s="449">
        <f>H77*I77</f>
        <v>579077.39319292526</v>
      </c>
      <c r="K77" s="384">
        <v>134682</v>
      </c>
      <c r="L77" s="449">
        <f>G77+J77+K77</f>
        <v>1043223.0895389057</v>
      </c>
      <c r="M77" s="384">
        <v>0</v>
      </c>
      <c r="N77" s="450">
        <f>L77+M77</f>
        <v>1043223.0895389057</v>
      </c>
      <c r="O77" s="262"/>
    </row>
    <row r="78" spans="1:16">
      <c r="A78" s="288"/>
      <c r="B78" s="287"/>
      <c r="C78" s="286"/>
      <c r="D78" s="286"/>
      <c r="E78" s="286"/>
      <c r="F78" s="286"/>
      <c r="G78" s="285"/>
      <c r="H78" s="286"/>
      <c r="I78" s="286"/>
      <c r="J78" s="285"/>
      <c r="K78" s="286"/>
      <c r="L78" s="285"/>
      <c r="M78" s="286"/>
      <c r="N78" s="285"/>
      <c r="O78" s="262"/>
    </row>
    <row r="79" spans="1:16">
      <c r="A79" s="284" t="s">
        <v>491</v>
      </c>
      <c r="B79" s="283"/>
      <c r="C79" s="266" t="s">
        <v>490</v>
      </c>
      <c r="D79" s="266"/>
      <c r="E79" s="452"/>
      <c r="F79" s="452"/>
      <c r="G79" s="265"/>
      <c r="H79" s="265"/>
      <c r="I79" s="265"/>
      <c r="J79" s="265"/>
      <c r="K79" s="265"/>
      <c r="L79" s="281">
        <f>SUM(L73:L78)</f>
        <v>24758920.147652213</v>
      </c>
      <c r="M79" s="281">
        <f>SUM(M73:M78)</f>
        <v>177306.52816864778</v>
      </c>
      <c r="N79" s="281">
        <f>SUM(N73:N78)</f>
        <v>24936226.675820861</v>
      </c>
      <c r="O79" s="262"/>
    </row>
    <row r="80" spans="1:16">
      <c r="A80" s="284"/>
      <c r="B80" s="283"/>
      <c r="C80" s="266"/>
      <c r="D80" s="266"/>
      <c r="E80" s="268"/>
      <c r="F80" s="268"/>
      <c r="G80" s="265"/>
      <c r="H80" s="265"/>
      <c r="I80" s="265"/>
      <c r="J80" s="265"/>
      <c r="K80" s="265"/>
      <c r="L80" s="281"/>
      <c r="M80" s="281"/>
      <c r="N80" s="281"/>
      <c r="O80" s="262"/>
    </row>
    <row r="81" spans="1:15">
      <c r="A81" s="284"/>
      <c r="B81" s="283"/>
      <c r="C81" s="266"/>
      <c r="D81" s="266"/>
      <c r="E81" s="268"/>
      <c r="F81" s="268"/>
      <c r="G81" s="265"/>
      <c r="H81" s="265"/>
      <c r="I81" s="265"/>
      <c r="J81" s="265"/>
      <c r="K81" s="265"/>
      <c r="L81" s="281"/>
      <c r="M81" s="281"/>
      <c r="N81" s="281"/>
      <c r="O81" s="262"/>
    </row>
    <row r="82" spans="1:15" ht="45">
      <c r="A82" s="309" t="s">
        <v>489</v>
      </c>
      <c r="B82" s="308"/>
      <c r="C82" s="308"/>
      <c r="D82" s="308"/>
      <c r="E82" s="306" t="s">
        <v>5</v>
      </c>
      <c r="F82" s="307" t="s">
        <v>488</v>
      </c>
      <c r="G82" s="305" t="s">
        <v>487</v>
      </c>
      <c r="H82" s="306" t="s">
        <v>6</v>
      </c>
      <c r="I82" s="307" t="s">
        <v>486</v>
      </c>
      <c r="J82" s="305" t="s">
        <v>485</v>
      </c>
      <c r="K82" s="306" t="s">
        <v>484</v>
      </c>
      <c r="L82" s="305" t="s">
        <v>483</v>
      </c>
      <c r="M82" s="304" t="s">
        <v>482</v>
      </c>
      <c r="N82" s="303" t="s">
        <v>481</v>
      </c>
      <c r="O82" s="262"/>
    </row>
    <row r="83" spans="1:15">
      <c r="A83" s="302"/>
      <c r="B83" s="301"/>
      <c r="C83" s="301"/>
      <c r="D83" s="301"/>
      <c r="E83" s="301"/>
      <c r="F83" s="301"/>
      <c r="G83" s="300"/>
      <c r="H83" s="301"/>
      <c r="I83" s="301"/>
      <c r="J83" s="300"/>
      <c r="K83" s="301"/>
      <c r="L83" s="300"/>
      <c r="M83" s="265"/>
      <c r="N83" s="299"/>
      <c r="O83" s="262"/>
    </row>
    <row r="84" spans="1:15">
      <c r="A84" s="297" t="s">
        <v>480</v>
      </c>
      <c r="B84" s="263"/>
      <c r="C84" s="298" t="s">
        <v>589</v>
      </c>
      <c r="D84" s="296"/>
      <c r="E84" s="293">
        <v>0</v>
      </c>
      <c r="F84" s="295">
        <f>+$L$36</f>
        <v>3.4596091288160068E-2</v>
      </c>
      <c r="G84" s="294">
        <f>E84*F84</f>
        <v>0</v>
      </c>
      <c r="H84" s="293">
        <v>0</v>
      </c>
      <c r="I84" s="295">
        <f>+$L$49</f>
        <v>0.11277596949841495</v>
      </c>
      <c r="J84" s="294">
        <f>H84*I84</f>
        <v>0</v>
      </c>
      <c r="K84" s="293">
        <v>0</v>
      </c>
      <c r="L84" s="294">
        <f>G84+J84+K84</f>
        <v>0</v>
      </c>
      <c r="M84" s="293">
        <v>0</v>
      </c>
      <c r="N84" s="292">
        <f>L84+M84</f>
        <v>0</v>
      </c>
      <c r="O84" s="262"/>
    </row>
    <row r="85" spans="1:15">
      <c r="A85" s="291"/>
      <c r="B85" s="263"/>
      <c r="C85" s="262"/>
      <c r="D85" s="290"/>
      <c r="E85" s="262"/>
      <c r="F85" s="262"/>
      <c r="G85" s="289"/>
      <c r="H85" s="262"/>
      <c r="I85" s="262"/>
      <c r="J85" s="289"/>
      <c r="K85" s="262"/>
      <c r="L85" s="289"/>
      <c r="M85" s="262"/>
      <c r="N85" s="289"/>
      <c r="O85" s="262"/>
    </row>
    <row r="86" spans="1:15">
      <c r="A86" s="288"/>
      <c r="B86" s="287"/>
      <c r="C86" s="286"/>
      <c r="D86" s="286"/>
      <c r="E86" s="286"/>
      <c r="F86" s="286"/>
      <c r="G86" s="285"/>
      <c r="H86" s="286"/>
      <c r="I86" s="286"/>
      <c r="J86" s="285"/>
      <c r="K86" s="286"/>
      <c r="L86" s="285"/>
      <c r="M86" s="286"/>
      <c r="N86" s="285"/>
      <c r="O86" s="262"/>
    </row>
    <row r="87" spans="1:15">
      <c r="A87" s="284" t="s">
        <v>479</v>
      </c>
      <c r="B87" s="283"/>
      <c r="C87" s="266" t="s">
        <v>478</v>
      </c>
      <c r="D87" s="266"/>
      <c r="E87" s="268"/>
      <c r="F87" s="268"/>
      <c r="G87" s="265"/>
      <c r="H87" s="265"/>
      <c r="I87" s="265"/>
      <c r="J87" s="265"/>
      <c r="K87" s="265"/>
      <c r="L87" s="281">
        <f>SUM(L84:L86)</f>
        <v>0</v>
      </c>
      <c r="M87" s="281">
        <f>SUM(M84:M86)</f>
        <v>0</v>
      </c>
      <c r="N87" s="281">
        <f>SUM(N84:N86)</f>
        <v>0</v>
      </c>
      <c r="O87" s="262"/>
    </row>
    <row r="88" spans="1:15">
      <c r="A88" s="284"/>
      <c r="B88" s="283"/>
      <c r="C88" s="266"/>
      <c r="D88" s="266"/>
      <c r="E88" s="268"/>
      <c r="F88" s="268"/>
      <c r="G88" s="265"/>
      <c r="H88" s="265"/>
      <c r="I88" s="265"/>
      <c r="J88" s="265"/>
      <c r="K88" s="265"/>
      <c r="L88" s="281"/>
      <c r="M88" s="281"/>
      <c r="N88" s="281"/>
      <c r="O88" s="262"/>
    </row>
    <row r="89" spans="1:15">
      <c r="A89" s="282">
        <v>5</v>
      </c>
      <c r="B89" s="262"/>
      <c r="C89" s="266" t="s">
        <v>477</v>
      </c>
      <c r="D89" s="262"/>
      <c r="E89" s="262"/>
      <c r="F89" s="262"/>
      <c r="G89" s="262"/>
      <c r="H89" s="262"/>
      <c r="I89" s="262"/>
      <c r="J89" s="262"/>
      <c r="K89" s="262"/>
      <c r="L89" s="281">
        <f>+L79+L87</f>
        <v>24758920.147652213</v>
      </c>
      <c r="M89" s="262"/>
      <c r="N89" s="281">
        <f>+N79+N87</f>
        <v>24936226.675820861</v>
      </c>
      <c r="O89" s="262"/>
    </row>
    <row r="90" spans="1:15" ht="409.6">
      <c r="A90" s="262"/>
      <c r="B90" s="262"/>
      <c r="C90" s="262"/>
      <c r="D90" s="262"/>
      <c r="E90" s="262"/>
      <c r="F90" s="262"/>
      <c r="G90" s="262"/>
      <c r="H90" s="262"/>
      <c r="I90" s="262"/>
      <c r="J90" s="262"/>
      <c r="K90" s="262"/>
      <c r="L90" s="262"/>
      <c r="M90" s="262"/>
      <c r="N90" s="262"/>
      <c r="O90" s="262"/>
    </row>
    <row r="91" spans="1:15">
      <c r="A91" s="262"/>
      <c r="B91" s="262"/>
      <c r="C91" s="262"/>
      <c r="D91" s="262"/>
      <c r="E91" s="262"/>
      <c r="F91" s="262"/>
      <c r="G91" s="262"/>
      <c r="H91" s="262"/>
      <c r="I91" s="262"/>
      <c r="J91" s="262"/>
      <c r="K91" s="262"/>
      <c r="L91" s="262"/>
      <c r="M91" s="262"/>
      <c r="N91" s="262"/>
      <c r="O91" s="262"/>
    </row>
    <row r="92" spans="1:15">
      <c r="A92" s="266" t="s">
        <v>16</v>
      </c>
      <c r="B92" s="262"/>
      <c r="C92" s="262"/>
      <c r="D92" s="262"/>
      <c r="E92" s="262"/>
      <c r="F92" s="262"/>
      <c r="G92" s="262"/>
      <c r="H92" s="262"/>
      <c r="I92" s="262"/>
      <c r="J92" s="262"/>
      <c r="K92" s="262"/>
      <c r="L92" s="262"/>
      <c r="M92" s="262"/>
      <c r="N92" s="262"/>
      <c r="O92" s="262"/>
    </row>
    <row r="93" spans="1:15" ht="15.6" thickBot="1">
      <c r="A93" s="280" t="s">
        <v>17</v>
      </c>
      <c r="B93" s="262"/>
      <c r="C93" s="262"/>
      <c r="D93" s="262"/>
      <c r="E93" s="262"/>
      <c r="F93" s="262"/>
      <c r="G93" s="262"/>
      <c r="H93" s="262"/>
      <c r="I93" s="262"/>
      <c r="J93" s="262"/>
      <c r="K93" s="262"/>
      <c r="L93" s="262"/>
      <c r="M93" s="262"/>
      <c r="N93" s="262"/>
      <c r="O93" s="262"/>
    </row>
    <row r="94" spans="1:15">
      <c r="A94" s="277" t="s">
        <v>18</v>
      </c>
      <c r="B94" s="278"/>
      <c r="C94" s="456" t="s">
        <v>476</v>
      </c>
      <c r="D94" s="456"/>
      <c r="E94" s="456"/>
      <c r="F94" s="456"/>
      <c r="G94" s="456"/>
      <c r="H94" s="456"/>
      <c r="I94" s="456"/>
      <c r="J94" s="456"/>
      <c r="K94" s="456"/>
      <c r="L94" s="456"/>
      <c r="M94" s="456"/>
      <c r="N94" s="456"/>
      <c r="O94" s="262"/>
    </row>
    <row r="95" spans="1:15">
      <c r="A95" s="277" t="s">
        <v>19</v>
      </c>
      <c r="B95" s="278"/>
      <c r="C95" s="456" t="s">
        <v>475</v>
      </c>
      <c r="D95" s="456"/>
      <c r="E95" s="456"/>
      <c r="F95" s="456"/>
      <c r="G95" s="456"/>
      <c r="H95" s="456"/>
      <c r="I95" s="456"/>
      <c r="J95" s="456"/>
      <c r="K95" s="456"/>
      <c r="L95" s="456"/>
      <c r="M95" s="456"/>
      <c r="N95" s="456"/>
      <c r="O95" s="262"/>
    </row>
    <row r="96" spans="1:15" ht="31.5" customHeight="1">
      <c r="A96" s="279" t="s">
        <v>20</v>
      </c>
      <c r="B96" s="278"/>
      <c r="C96" s="457" t="s">
        <v>474</v>
      </c>
      <c r="D96" s="457"/>
      <c r="E96" s="457"/>
      <c r="F96" s="457"/>
      <c r="G96" s="457"/>
      <c r="H96" s="457"/>
      <c r="I96" s="457"/>
      <c r="J96" s="457"/>
      <c r="K96" s="457"/>
      <c r="L96" s="457"/>
      <c r="M96" s="457"/>
      <c r="N96" s="457"/>
      <c r="O96" s="262"/>
    </row>
    <row r="97" spans="1:15" ht="18" customHeight="1">
      <c r="A97" s="277" t="s">
        <v>21</v>
      </c>
      <c r="B97" s="278"/>
      <c r="C97" s="457" t="s">
        <v>473</v>
      </c>
      <c r="D97" s="457"/>
      <c r="E97" s="457"/>
      <c r="F97" s="457"/>
      <c r="G97" s="457"/>
      <c r="H97" s="457"/>
      <c r="I97" s="457"/>
      <c r="J97" s="457"/>
      <c r="K97" s="457"/>
      <c r="L97" s="457"/>
      <c r="M97" s="457"/>
      <c r="N97" s="457"/>
      <c r="O97" s="262"/>
    </row>
    <row r="98" spans="1:15">
      <c r="A98" s="277" t="s">
        <v>22</v>
      </c>
      <c r="B98" s="276"/>
      <c r="C98" s="456" t="s">
        <v>472</v>
      </c>
      <c r="D98" s="456"/>
      <c r="E98" s="456"/>
      <c r="F98" s="456"/>
      <c r="G98" s="456"/>
      <c r="H98" s="456"/>
      <c r="I98" s="456"/>
      <c r="J98" s="456"/>
      <c r="K98" s="456"/>
      <c r="L98" s="456"/>
      <c r="M98" s="456"/>
      <c r="N98" s="456"/>
      <c r="O98" s="262"/>
    </row>
    <row r="99" spans="1:15">
      <c r="A99" s="277" t="s">
        <v>23</v>
      </c>
      <c r="B99" s="276"/>
      <c r="C99" s="456" t="s">
        <v>471</v>
      </c>
      <c r="D99" s="456"/>
      <c r="E99" s="456"/>
      <c r="F99" s="456"/>
      <c r="G99" s="456"/>
      <c r="H99" s="456"/>
      <c r="I99" s="456"/>
      <c r="J99" s="456"/>
      <c r="K99" s="456"/>
      <c r="L99" s="456"/>
      <c r="M99" s="456"/>
      <c r="N99" s="456"/>
      <c r="O99" s="262"/>
    </row>
    <row r="100" spans="1:15">
      <c r="A100" s="277" t="s">
        <v>24</v>
      </c>
      <c r="B100" s="276"/>
      <c r="C100" s="456" t="s">
        <v>470</v>
      </c>
      <c r="D100" s="456"/>
      <c r="E100" s="456"/>
      <c r="F100" s="456"/>
      <c r="G100" s="456"/>
      <c r="H100" s="456"/>
      <c r="I100" s="456"/>
      <c r="J100" s="456"/>
      <c r="K100" s="456"/>
      <c r="L100" s="456"/>
      <c r="M100" s="456"/>
      <c r="N100" s="456"/>
      <c r="O100" s="262"/>
    </row>
    <row r="101" spans="1:15" ht="17.25" customHeight="1">
      <c r="A101" s="275" t="s">
        <v>320</v>
      </c>
      <c r="B101" s="262"/>
      <c r="C101" s="456" t="s">
        <v>469</v>
      </c>
      <c r="D101" s="456"/>
      <c r="E101" s="456"/>
      <c r="F101" s="456"/>
      <c r="G101" s="456"/>
      <c r="H101" s="456"/>
      <c r="I101" s="456"/>
      <c r="J101" s="456"/>
      <c r="K101" s="456"/>
      <c r="L101" s="456"/>
      <c r="M101" s="456"/>
      <c r="N101" s="456"/>
      <c r="O101" s="262"/>
    </row>
    <row r="102" spans="1:15" ht="15.6">
      <c r="A102" s="272"/>
      <c r="B102" s="271"/>
      <c r="C102" s="270"/>
      <c r="D102" s="269"/>
      <c r="E102" s="268"/>
      <c r="F102" s="268"/>
      <c r="G102" s="265"/>
      <c r="H102" s="266"/>
      <c r="I102" s="266"/>
      <c r="J102" s="267"/>
      <c r="K102" s="266"/>
      <c r="L102" s="274"/>
      <c r="M102" s="265"/>
      <c r="N102" s="273"/>
      <c r="O102" s="262"/>
    </row>
    <row r="103" spans="1:15" ht="15.6">
      <c r="A103" s="272"/>
      <c r="B103" s="271"/>
      <c r="C103" s="270"/>
      <c r="D103" s="269"/>
      <c r="E103" s="268"/>
      <c r="F103" s="268"/>
      <c r="G103" s="265"/>
      <c r="H103" s="266"/>
      <c r="I103" s="266"/>
      <c r="J103" s="267"/>
      <c r="K103" s="266"/>
      <c r="L103" s="263"/>
      <c r="M103" s="265"/>
      <c r="N103" s="264"/>
      <c r="O103" s="262"/>
    </row>
    <row r="104" spans="1:15">
      <c r="A104" s="263"/>
      <c r="B104" s="263"/>
      <c r="C104" s="262"/>
      <c r="D104" s="262"/>
      <c r="E104" s="262"/>
      <c r="F104" s="262"/>
      <c r="G104" s="262"/>
      <c r="H104" s="262"/>
      <c r="I104" s="262"/>
      <c r="J104" s="262"/>
      <c r="K104" s="262"/>
      <c r="L104" s="262"/>
      <c r="M104" s="262"/>
      <c r="N104" s="262"/>
      <c r="O104" s="262"/>
    </row>
  </sheetData>
  <mergeCells count="8">
    <mergeCell ref="C100:N100"/>
    <mergeCell ref="C101:N101"/>
    <mergeCell ref="C94:N94"/>
    <mergeCell ref="C95:N95"/>
    <mergeCell ref="C96:N96"/>
    <mergeCell ref="C97:N97"/>
    <mergeCell ref="C98:N98"/>
    <mergeCell ref="C99:N99"/>
  </mergeCells>
  <pageMargins left="0.5" right="0.45" top="0.75" bottom="0.75" header="0.3" footer="0.3"/>
  <pageSetup scale="48" orientation="landscape" r:id="rId1"/>
  <headerFooter>
    <oddFooter>&amp;RV31
EFF 10.18.14</oddFooter>
  </headerFooter>
  <rowBreaks count="1" manualBreakCount="1">
    <brk id="55" max="16383" man="1"/>
  </rowBreaks>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
  <sheetViews>
    <sheetView topLeftCell="D61" zoomScale="70" zoomScaleNormal="70" workbookViewId="0">
      <selection activeCell="E88" sqref="E88"/>
    </sheetView>
  </sheetViews>
  <sheetFormatPr defaultColWidth="8.90625" defaultRowHeight="15"/>
  <cols>
    <col min="1" max="1" width="7.36328125" style="261" customWidth="1"/>
    <col min="2" max="2" width="1.453125" style="261" customWidth="1"/>
    <col min="3" max="3" width="42" style="261" customWidth="1"/>
    <col min="4" max="4" width="50.36328125" style="261" customWidth="1"/>
    <col min="5" max="5" width="12.90625" style="261" customWidth="1"/>
    <col min="6" max="6" width="14" style="261" customWidth="1"/>
    <col min="7" max="7" width="13.08984375" style="261" customWidth="1"/>
    <col min="8" max="8" width="13.90625" style="261" customWidth="1"/>
    <col min="9" max="9" width="11.81640625" style="261" customWidth="1"/>
    <col min="10" max="10" width="14.54296875" style="261" customWidth="1"/>
    <col min="11" max="11" width="13.54296875" style="261" customWidth="1"/>
    <col min="12" max="12" width="16.6328125" style="261" customWidth="1"/>
    <col min="13" max="13" width="12.81640625" style="261" customWidth="1"/>
    <col min="14" max="14" width="13.90625" style="261" customWidth="1"/>
    <col min="15" max="15" width="1.90625" style="261" customWidth="1"/>
    <col min="16" max="16" width="13" style="261" customWidth="1"/>
    <col min="17" max="18" width="8.90625" style="261"/>
    <col min="19" max="19" width="18" style="261" customWidth="1"/>
    <col min="20" max="20" width="12.36328125" style="261" customWidth="1"/>
    <col min="21" max="16384" width="8.90625" style="261"/>
  </cols>
  <sheetData>
    <row r="1" spans="1:24" ht="15.6">
      <c r="A1" s="333"/>
      <c r="B1" s="333"/>
      <c r="C1" s="333"/>
      <c r="D1" s="333"/>
      <c r="E1" s="333"/>
      <c r="F1" s="364"/>
      <c r="G1" s="333"/>
      <c r="H1" s="333"/>
      <c r="I1" s="333"/>
      <c r="J1" s="333"/>
      <c r="K1" s="333"/>
      <c r="L1" s="333"/>
      <c r="M1" s="333"/>
      <c r="N1" s="333"/>
      <c r="O1" s="377"/>
      <c r="P1" s="377"/>
      <c r="S1"/>
      <c r="T1"/>
      <c r="U1"/>
      <c r="V1"/>
      <c r="W1"/>
      <c r="X1"/>
    </row>
    <row r="2" spans="1:24" ht="15.6">
      <c r="A2" s="333"/>
      <c r="B2" s="333"/>
      <c r="C2" s="333"/>
      <c r="D2" s="333"/>
      <c r="E2" s="333"/>
      <c r="F2" s="333"/>
      <c r="G2" s="333"/>
      <c r="H2" s="333"/>
      <c r="I2" s="333"/>
      <c r="J2" s="333"/>
      <c r="K2" s="333"/>
      <c r="L2" s="333"/>
      <c r="M2" s="333"/>
      <c r="N2" s="333"/>
      <c r="O2" s="377"/>
      <c r="P2" s="377"/>
      <c r="S2"/>
      <c r="T2"/>
      <c r="U2"/>
      <c r="V2"/>
      <c r="W2"/>
      <c r="X2"/>
    </row>
    <row r="3" spans="1:24" ht="15.6">
      <c r="A3" s="333"/>
      <c r="B3" s="333"/>
      <c r="C3" s="333"/>
      <c r="D3" s="333"/>
      <c r="E3" s="333"/>
      <c r="F3" s="333"/>
      <c r="G3" s="333"/>
      <c r="H3" s="333"/>
      <c r="I3" s="333"/>
      <c r="J3" s="333"/>
      <c r="K3" s="333"/>
      <c r="L3" s="333"/>
      <c r="M3" s="333"/>
      <c r="N3" s="377" t="s">
        <v>577</v>
      </c>
      <c r="O3" s="377"/>
      <c r="P3" s="377"/>
      <c r="R3" s="378"/>
      <c r="S3"/>
      <c r="T3"/>
      <c r="U3"/>
      <c r="V3"/>
      <c r="W3"/>
      <c r="X3"/>
    </row>
    <row r="4" spans="1:24" ht="15.6">
      <c r="A4" s="333"/>
      <c r="B4" s="333"/>
      <c r="C4" s="333" t="s">
        <v>563</v>
      </c>
      <c r="D4" s="333"/>
      <c r="E4" s="333"/>
      <c r="F4" s="382" t="s">
        <v>0</v>
      </c>
      <c r="G4" s="333"/>
      <c r="H4" s="333"/>
      <c r="I4" s="333"/>
      <c r="J4" s="374"/>
      <c r="K4" s="374"/>
      <c r="L4" s="374"/>
      <c r="M4" s="396"/>
      <c r="N4" s="395" t="s">
        <v>583</v>
      </c>
      <c r="O4" s="377"/>
      <c r="P4" s="379"/>
      <c r="R4" s="378"/>
      <c r="S4"/>
      <c r="T4"/>
      <c r="U4"/>
      <c r="V4"/>
      <c r="W4"/>
      <c r="X4"/>
    </row>
    <row r="5" spans="1:24" ht="15.6">
      <c r="A5" s="333"/>
      <c r="B5" s="333"/>
      <c r="C5" s="333"/>
      <c r="D5" s="331" t="s">
        <v>3</v>
      </c>
      <c r="E5" s="331"/>
      <c r="F5" s="331" t="s">
        <v>576</v>
      </c>
      <c r="G5" s="331"/>
      <c r="H5" s="331"/>
      <c r="I5" s="331"/>
      <c r="J5" s="374"/>
      <c r="K5" s="374"/>
      <c r="L5" s="374"/>
      <c r="M5" s="374"/>
      <c r="N5" s="374"/>
      <c r="O5" s="377"/>
      <c r="P5" s="374"/>
      <c r="S5"/>
      <c r="T5"/>
      <c r="U5"/>
      <c r="V5"/>
      <c r="W5"/>
      <c r="X5"/>
    </row>
    <row r="6" spans="1:24" ht="15.6">
      <c r="A6" s="333"/>
      <c r="B6" s="333"/>
      <c r="C6" s="374"/>
      <c r="D6" s="374"/>
      <c r="E6" s="374"/>
      <c r="F6" s="374"/>
      <c r="G6" s="374"/>
      <c r="H6" s="374"/>
      <c r="I6" s="374"/>
      <c r="J6" s="374"/>
      <c r="L6" s="374"/>
      <c r="M6" s="374"/>
      <c r="N6" s="374" t="s">
        <v>561</v>
      </c>
      <c r="O6" s="377"/>
      <c r="P6" s="374"/>
      <c r="S6"/>
      <c r="T6"/>
      <c r="U6"/>
      <c r="V6"/>
      <c r="W6"/>
      <c r="X6"/>
    </row>
    <row r="7" spans="1:24" ht="15.6">
      <c r="A7" s="334"/>
      <c r="B7" s="333"/>
      <c r="C7" s="374"/>
      <c r="D7" s="374"/>
      <c r="E7" s="374"/>
      <c r="F7" s="376" t="s">
        <v>28</v>
      </c>
      <c r="G7" s="394"/>
      <c r="H7" s="374"/>
      <c r="I7" s="374"/>
      <c r="J7" s="374"/>
      <c r="K7" s="374"/>
      <c r="L7" s="374"/>
      <c r="M7" s="374"/>
      <c r="N7" s="374"/>
      <c r="O7" s="374"/>
      <c r="P7" s="374"/>
      <c r="S7"/>
      <c r="T7"/>
      <c r="U7"/>
      <c r="V7"/>
      <c r="W7"/>
      <c r="X7"/>
    </row>
    <row r="8" spans="1:24" ht="15.6">
      <c r="A8" s="334"/>
      <c r="B8" s="333"/>
      <c r="C8" s="374"/>
      <c r="D8" s="374"/>
      <c r="E8" s="374"/>
      <c r="F8" s="375"/>
      <c r="G8" s="374"/>
      <c r="H8" s="374"/>
      <c r="I8" s="374"/>
      <c r="J8" s="374"/>
      <c r="K8" s="374"/>
      <c r="L8" s="374"/>
      <c r="M8" s="374"/>
      <c r="N8" s="374"/>
      <c r="O8" s="374"/>
      <c r="P8" s="374"/>
      <c r="S8"/>
      <c r="T8"/>
      <c r="U8"/>
      <c r="V8"/>
      <c r="W8"/>
      <c r="X8"/>
    </row>
    <row r="9" spans="1:24" ht="15.6">
      <c r="A9" s="334"/>
      <c r="B9" s="333"/>
      <c r="C9" s="374" t="s">
        <v>581</v>
      </c>
      <c r="D9" s="374"/>
      <c r="E9" s="374"/>
      <c r="F9" s="375"/>
      <c r="G9" s="374"/>
      <c r="H9" s="374"/>
      <c r="I9" s="374"/>
      <c r="J9" s="374"/>
      <c r="K9" s="374"/>
      <c r="L9" s="374"/>
      <c r="M9" s="374"/>
      <c r="N9" s="374"/>
      <c r="O9" s="374"/>
      <c r="P9" s="374"/>
      <c r="S9"/>
      <c r="T9"/>
      <c r="U9"/>
      <c r="V9"/>
      <c r="W9"/>
      <c r="X9"/>
    </row>
    <row r="10" spans="1:24" ht="15.6">
      <c r="A10" s="329"/>
      <c r="B10" s="328"/>
      <c r="C10" s="374" t="s">
        <v>580</v>
      </c>
      <c r="D10" s="371"/>
      <c r="E10" s="371"/>
      <c r="F10" s="373"/>
      <c r="G10" s="371"/>
      <c r="H10" s="371"/>
      <c r="I10" s="371"/>
      <c r="J10" s="371"/>
      <c r="K10" s="371"/>
      <c r="L10" s="371"/>
      <c r="M10" s="371"/>
      <c r="N10" s="371"/>
      <c r="O10" s="371"/>
      <c r="P10" s="371"/>
      <c r="S10"/>
      <c r="T10"/>
      <c r="U10"/>
      <c r="V10"/>
      <c r="W10"/>
      <c r="X10"/>
    </row>
    <row r="11" spans="1:24">
      <c r="A11" s="329"/>
      <c r="B11" s="328"/>
      <c r="C11" s="371"/>
      <c r="D11" s="371"/>
      <c r="E11" s="371"/>
      <c r="F11" s="371"/>
      <c r="G11" s="371"/>
      <c r="H11" s="371"/>
      <c r="I11" s="371"/>
      <c r="J11" s="371"/>
      <c r="K11" s="372"/>
      <c r="L11" s="372"/>
      <c r="M11" s="372"/>
      <c r="N11" s="371"/>
      <c r="O11" s="371"/>
      <c r="P11" s="371"/>
      <c r="S11"/>
      <c r="T11"/>
      <c r="U11"/>
      <c r="V11"/>
      <c r="W11"/>
      <c r="X11"/>
    </row>
    <row r="12" spans="1:24" ht="15.6">
      <c r="A12" s="328"/>
      <c r="B12" s="328"/>
      <c r="C12" s="334" t="s">
        <v>7</v>
      </c>
      <c r="D12" s="334" t="s">
        <v>8</v>
      </c>
      <c r="E12" s="370" t="s">
        <v>9</v>
      </c>
      <c r="F12" s="334" t="s">
        <v>10</v>
      </c>
      <c r="G12" s="334"/>
      <c r="H12" s="334" t="s">
        <v>108</v>
      </c>
      <c r="I12" s="325"/>
      <c r="J12" s="335" t="s">
        <v>109</v>
      </c>
      <c r="K12" s="325"/>
      <c r="L12" s="369" t="s">
        <v>110</v>
      </c>
      <c r="M12" s="369"/>
      <c r="N12" s="369" t="s">
        <v>111</v>
      </c>
      <c r="O12" s="369"/>
      <c r="P12" s="369"/>
      <c r="S12"/>
      <c r="T12"/>
      <c r="U12"/>
      <c r="V12"/>
      <c r="W12"/>
      <c r="X12"/>
    </row>
    <row r="13" spans="1:24" ht="15.6">
      <c r="A13" s="328"/>
      <c r="B13" s="328"/>
      <c r="C13" s="326"/>
      <c r="D13" s="367" t="s">
        <v>579</v>
      </c>
      <c r="E13" s="367"/>
      <c r="F13" s="331"/>
      <c r="G13" s="331"/>
      <c r="H13" s="327"/>
      <c r="I13" s="325"/>
      <c r="J13" s="367" t="s">
        <v>30</v>
      </c>
      <c r="K13" s="331"/>
      <c r="L13" s="327"/>
      <c r="M13" s="331"/>
      <c r="N13" s="364" t="s">
        <v>32</v>
      </c>
      <c r="O13" s="362"/>
      <c r="P13" s="362"/>
      <c r="S13"/>
      <c r="T13"/>
      <c r="U13"/>
      <c r="V13"/>
      <c r="W13"/>
      <c r="X13"/>
    </row>
    <row r="14" spans="1:24" ht="15.6">
      <c r="A14" s="329" t="s">
        <v>1</v>
      </c>
      <c r="B14" s="328"/>
      <c r="C14" s="326"/>
      <c r="D14" s="364" t="s">
        <v>12</v>
      </c>
      <c r="E14" s="364"/>
      <c r="F14" s="364" t="s">
        <v>11</v>
      </c>
      <c r="G14" s="368"/>
      <c r="H14" s="367" t="s">
        <v>30</v>
      </c>
      <c r="I14" s="366"/>
      <c r="J14" s="365" t="s">
        <v>4</v>
      </c>
      <c r="K14" s="331"/>
      <c r="L14" s="364" t="s">
        <v>32</v>
      </c>
      <c r="M14" s="331"/>
      <c r="N14" s="363" t="s">
        <v>4</v>
      </c>
      <c r="O14" s="362"/>
      <c r="P14" s="362"/>
      <c r="S14"/>
      <c r="T14"/>
      <c r="U14"/>
      <c r="V14"/>
      <c r="W14"/>
      <c r="X14"/>
    </row>
    <row r="15" spans="1:24" ht="16.2" thickBot="1">
      <c r="A15" s="361" t="s">
        <v>2</v>
      </c>
      <c r="B15" s="328"/>
      <c r="C15" s="360"/>
      <c r="D15" s="325"/>
      <c r="E15" s="325"/>
      <c r="F15" s="325"/>
      <c r="G15" s="325"/>
      <c r="H15" s="325"/>
      <c r="I15" s="325"/>
      <c r="J15" s="325"/>
      <c r="K15" s="325"/>
      <c r="L15" s="325"/>
      <c r="M15" s="325"/>
      <c r="N15" s="325"/>
      <c r="O15" s="325"/>
      <c r="P15" s="325"/>
      <c r="S15"/>
      <c r="T15"/>
      <c r="U15"/>
      <c r="V15"/>
      <c r="W15"/>
      <c r="X15"/>
    </row>
    <row r="16" spans="1:24">
      <c r="A16" s="329"/>
      <c r="B16" s="328"/>
      <c r="C16" s="326"/>
      <c r="D16" s="325"/>
      <c r="E16" s="325"/>
      <c r="F16" s="325"/>
      <c r="G16" s="325"/>
      <c r="H16" s="325"/>
      <c r="I16" s="325"/>
      <c r="J16" s="340"/>
      <c r="K16" s="325"/>
      <c r="L16" s="325"/>
      <c r="M16" s="325"/>
      <c r="N16" s="325"/>
      <c r="O16" s="325"/>
      <c r="P16" s="325"/>
      <c r="S16"/>
      <c r="T16"/>
      <c r="U16"/>
      <c r="V16"/>
      <c r="W16"/>
      <c r="X16"/>
    </row>
    <row r="17" spans="1:24" ht="15.6">
      <c r="A17" s="356">
        <v>1</v>
      </c>
      <c r="B17" s="328"/>
      <c r="C17" s="333" t="s">
        <v>558</v>
      </c>
      <c r="D17" s="346" t="s">
        <v>557</v>
      </c>
      <c r="E17" s="346"/>
      <c r="F17" s="349">
        <f>'MP Attach O'!J78+'MP Attach O'!J101+'MP Attach O'!J103-11994799-1655468</f>
        <v>611974418</v>
      </c>
      <c r="G17" s="325"/>
      <c r="H17" s="349">
        <f>'MP Attach O'!M78+'MP Attach O'!M101+'MP Attach O'!M103-11994799-1655468</f>
        <v>475288993</v>
      </c>
      <c r="I17" s="359"/>
      <c r="J17" s="340"/>
      <c r="K17" s="325"/>
      <c r="L17" s="349">
        <f>'MP Attach O'!P78+'MP Attach O'!P101+'MP Attach O'!P103-0-0</f>
        <v>136685425</v>
      </c>
      <c r="M17" s="325"/>
      <c r="N17" s="325"/>
      <c r="O17" s="325"/>
      <c r="P17" s="325"/>
      <c r="Q17"/>
      <c r="R17"/>
      <c r="S17"/>
      <c r="T17"/>
      <c r="U17"/>
      <c r="V17"/>
      <c r="W17"/>
      <c r="X17"/>
    </row>
    <row r="18" spans="1:24" ht="15.6">
      <c r="A18" s="356">
        <v>2</v>
      </c>
      <c r="B18" s="328"/>
      <c r="C18" s="333" t="s">
        <v>556</v>
      </c>
      <c r="D18" s="346" t="s">
        <v>555</v>
      </c>
      <c r="E18" s="346"/>
      <c r="F18" s="349">
        <f>'MP Attach O'!J94+'MP Attach O'!J101+'MP Attach O'!J103+'MP Attach O'!J111+'MP Attach O'!J113</f>
        <v>433232078.83114779</v>
      </c>
      <c r="G18" s="325"/>
      <c r="H18" s="349">
        <f>'MP Attach O'!M94+'MP Attach O'!M101+'MP Attach O'!M103+'MP Attach O'!M111+'MP Attach O'!M113</f>
        <v>354213657.83114779</v>
      </c>
      <c r="I18" s="328"/>
      <c r="J18" s="340"/>
      <c r="K18" s="328"/>
      <c r="L18" s="349">
        <f>'MP Attach O'!P94+'MP Attach O'!P101+'MP Attach O'!P103+'MP Attach O'!P111+'MP Attach O'!P113</f>
        <v>79018421</v>
      </c>
      <c r="M18" s="328"/>
      <c r="N18" s="325"/>
      <c r="O18" s="325"/>
      <c r="P18" s="325"/>
      <c r="Q18"/>
      <c r="R18"/>
      <c r="S18"/>
      <c r="T18"/>
      <c r="U18"/>
      <c r="V18"/>
      <c r="W18"/>
      <c r="X18"/>
    </row>
    <row r="19" spans="1:24" ht="15.6">
      <c r="A19" s="356"/>
      <c r="B19" s="328"/>
      <c r="C19" s="333"/>
      <c r="D19" s="346"/>
      <c r="E19" s="346"/>
      <c r="F19" s="358"/>
      <c r="G19" s="325"/>
      <c r="H19" s="325"/>
      <c r="I19" s="325"/>
      <c r="J19" s="340"/>
      <c r="K19" s="358"/>
      <c r="L19" s="325"/>
      <c r="M19" s="358"/>
      <c r="N19" s="325"/>
      <c r="O19" s="325"/>
      <c r="P19" s="325"/>
      <c r="Q19"/>
      <c r="R19"/>
      <c r="S19"/>
      <c r="T19"/>
      <c r="U19"/>
      <c r="V19"/>
      <c r="W19"/>
      <c r="X19"/>
    </row>
    <row r="20" spans="1:24" ht="15.6">
      <c r="A20" s="356"/>
      <c r="B20" s="328"/>
      <c r="C20" s="333"/>
      <c r="D20" s="346"/>
      <c r="E20" s="346"/>
      <c r="F20" s="325"/>
      <c r="G20" s="325"/>
      <c r="H20" s="325"/>
      <c r="I20" s="325"/>
      <c r="J20" s="340"/>
      <c r="K20" s="325"/>
      <c r="L20" s="325"/>
      <c r="M20" s="325"/>
      <c r="N20" s="325"/>
      <c r="O20" s="325"/>
      <c r="P20" s="325"/>
      <c r="Q20"/>
      <c r="R20"/>
      <c r="S20"/>
      <c r="T20"/>
      <c r="U20"/>
      <c r="V20"/>
      <c r="W20"/>
      <c r="X20"/>
    </row>
    <row r="21" spans="1:24" ht="15.6">
      <c r="A21" s="356"/>
      <c r="B21" s="328"/>
      <c r="C21" s="333" t="s">
        <v>554</v>
      </c>
      <c r="D21" s="346"/>
      <c r="E21" s="346"/>
      <c r="F21" s="325"/>
      <c r="G21" s="325"/>
      <c r="H21" s="325"/>
      <c r="I21" s="325"/>
      <c r="J21" s="340"/>
      <c r="K21" s="325"/>
      <c r="L21" s="325"/>
      <c r="M21" s="325"/>
      <c r="N21" s="325"/>
      <c r="O21" s="325"/>
      <c r="P21" s="325"/>
      <c r="Q21"/>
      <c r="R21"/>
      <c r="S21"/>
      <c r="T21"/>
      <c r="U21"/>
      <c r="V21"/>
      <c r="W21"/>
      <c r="X21"/>
    </row>
    <row r="22" spans="1:24" ht="15.6">
      <c r="A22" s="356">
        <v>3</v>
      </c>
      <c r="B22" s="328"/>
      <c r="C22" s="333" t="s">
        <v>553</v>
      </c>
      <c r="D22" s="346" t="s">
        <v>552</v>
      </c>
      <c r="E22" s="346"/>
      <c r="F22" s="349">
        <f>'MP Attach O'!J151</f>
        <v>24801348.63326871</v>
      </c>
      <c r="G22" s="325"/>
      <c r="H22" s="349">
        <f>'MP Attach O'!M151</f>
        <v>21832185.422017131</v>
      </c>
      <c r="I22" s="325"/>
      <c r="J22" s="340"/>
      <c r="K22" s="328"/>
      <c r="L22" s="349">
        <f>'MP Attach O'!P151</f>
        <v>2969163.2112515816</v>
      </c>
      <c r="M22" s="328"/>
      <c r="N22" s="325"/>
      <c r="O22" s="325"/>
      <c r="P22" s="325"/>
      <c r="Q22"/>
      <c r="R22"/>
      <c r="S22"/>
      <c r="T22"/>
      <c r="U22"/>
      <c r="V22"/>
      <c r="W22"/>
      <c r="X22"/>
    </row>
    <row r="23" spans="1:24" ht="15.6">
      <c r="A23" s="356">
        <v>4</v>
      </c>
      <c r="B23" s="328"/>
      <c r="C23" s="333" t="s">
        <v>551</v>
      </c>
      <c r="D23" s="346" t="s">
        <v>550</v>
      </c>
      <c r="E23" s="346"/>
      <c r="F23" s="340"/>
      <c r="G23" s="325"/>
      <c r="H23" s="340">
        <f>IF(H22=0,0,H22/H17)</f>
        <v>4.5934548755723302E-2</v>
      </c>
      <c r="I23" s="325"/>
      <c r="J23" s="340"/>
      <c r="K23" s="328"/>
      <c r="L23" s="340">
        <f>IF(L22=0,0,L22/L17)</f>
        <v>2.1722602912867862E-2</v>
      </c>
      <c r="M23" s="328"/>
      <c r="N23" s="340"/>
      <c r="O23" s="339"/>
      <c r="P23" s="339"/>
      <c r="Q23"/>
      <c r="R23"/>
      <c r="S23"/>
      <c r="T23"/>
      <c r="U23"/>
      <c r="V23"/>
      <c r="W23"/>
      <c r="X23"/>
    </row>
    <row r="24" spans="1:24" ht="15.6">
      <c r="A24" s="356"/>
      <c r="B24" s="328"/>
      <c r="C24" s="333"/>
      <c r="D24" s="346" t="s">
        <v>549</v>
      </c>
      <c r="E24" s="346"/>
      <c r="F24" s="325"/>
      <c r="G24" s="325"/>
      <c r="H24" s="325"/>
      <c r="I24" s="340"/>
      <c r="J24" s="340"/>
      <c r="K24" s="325"/>
      <c r="L24" s="325"/>
      <c r="M24" s="325"/>
      <c r="N24" s="340"/>
      <c r="O24" s="328"/>
      <c r="P24" s="328"/>
      <c r="Q24"/>
      <c r="R24"/>
      <c r="S24"/>
      <c r="T24"/>
      <c r="U24"/>
      <c r="V24"/>
      <c r="W24"/>
      <c r="X24"/>
    </row>
    <row r="25" spans="1:24" ht="15.6">
      <c r="A25" s="356"/>
      <c r="B25" s="328"/>
      <c r="C25" s="333"/>
      <c r="D25" s="346"/>
      <c r="E25" s="346"/>
      <c r="F25" s="325"/>
      <c r="G25" s="325"/>
      <c r="H25" s="325"/>
      <c r="I25" s="340"/>
      <c r="J25" s="340"/>
      <c r="K25" s="325"/>
      <c r="L25" s="325"/>
      <c r="M25" s="325"/>
      <c r="N25" s="340"/>
      <c r="O25" s="328"/>
      <c r="P25" s="328"/>
      <c r="Q25"/>
      <c r="R25"/>
      <c r="S25"/>
      <c r="T25"/>
      <c r="U25"/>
      <c r="V25"/>
      <c r="W25"/>
      <c r="X25"/>
    </row>
    <row r="26" spans="1:24" ht="15.6">
      <c r="A26" s="356"/>
      <c r="B26" s="328"/>
      <c r="C26" s="271" t="s">
        <v>548</v>
      </c>
      <c r="D26" s="346"/>
      <c r="E26" s="346"/>
      <c r="F26" s="325"/>
      <c r="G26" s="325"/>
      <c r="H26" s="325"/>
      <c r="I26" s="340"/>
      <c r="J26" s="340"/>
      <c r="K26" s="325"/>
      <c r="L26" s="325"/>
      <c r="M26" s="325"/>
      <c r="N26" s="340"/>
      <c r="O26" s="328"/>
      <c r="P26" s="328"/>
      <c r="Q26"/>
      <c r="R26"/>
      <c r="S26"/>
      <c r="T26"/>
      <c r="U26"/>
      <c r="V26"/>
      <c r="W26"/>
      <c r="X26"/>
    </row>
    <row r="27" spans="1:24" ht="15.6">
      <c r="A27" s="356">
        <v>5</v>
      </c>
      <c r="B27" s="328"/>
      <c r="C27" s="333" t="s">
        <v>547</v>
      </c>
      <c r="D27" s="346" t="s">
        <v>546</v>
      </c>
      <c r="E27" s="346"/>
      <c r="F27" s="349">
        <f>'MP Attach O'!J159+'MP Attach O'!J160</f>
        <v>2147213.3404488685</v>
      </c>
      <c r="G27" s="325"/>
      <c r="H27" s="349">
        <f>'MP Attach O'!M159+'MP Attach O'!M160</f>
        <v>1666979.3134749928</v>
      </c>
      <c r="I27" s="325"/>
      <c r="J27" s="340"/>
      <c r="K27" s="328"/>
      <c r="L27" s="349">
        <f>'MP Attach O'!P159+'MP Attach O'!P160</f>
        <v>480234.02697387559</v>
      </c>
      <c r="M27" s="328"/>
      <c r="N27" s="325"/>
      <c r="O27" s="325"/>
      <c r="P27" s="328"/>
      <c r="Q27"/>
      <c r="R27"/>
      <c r="S27"/>
      <c r="T27"/>
      <c r="U27"/>
      <c r="V27"/>
      <c r="W27"/>
      <c r="X27"/>
    </row>
    <row r="28" spans="1:24" ht="15.6">
      <c r="A28" s="356">
        <v>6</v>
      </c>
      <c r="B28" s="328"/>
      <c r="C28" s="357" t="s">
        <v>578</v>
      </c>
      <c r="D28" s="346" t="s">
        <v>544</v>
      </c>
      <c r="E28" s="346"/>
      <c r="F28" s="393"/>
      <c r="G28" s="325"/>
      <c r="H28" s="340">
        <f>IF(H27=0,0,H27/H17)</f>
        <v>3.5072962724280736E-3</v>
      </c>
      <c r="I28" s="325"/>
      <c r="J28" s="340"/>
      <c r="K28" s="328"/>
      <c r="L28" s="340">
        <f>IF(L27=0,0,L27/L17)</f>
        <v>3.5134252754006187E-3</v>
      </c>
      <c r="M28" s="328"/>
      <c r="N28" s="340"/>
      <c r="O28" s="339"/>
      <c r="P28" s="328"/>
      <c r="Q28"/>
      <c r="R28"/>
      <c r="S28"/>
      <c r="T28"/>
      <c r="U28"/>
      <c r="V28"/>
      <c r="W28"/>
      <c r="X28"/>
    </row>
    <row r="29" spans="1:24" ht="15.6">
      <c r="A29" s="356"/>
      <c r="B29" s="328"/>
      <c r="C29" s="357"/>
      <c r="D29" s="346" t="s">
        <v>542</v>
      </c>
      <c r="E29" s="346"/>
      <c r="F29" s="325"/>
      <c r="G29" s="325"/>
      <c r="H29" s="325"/>
      <c r="I29" s="340"/>
      <c r="J29" s="340"/>
      <c r="K29" s="325"/>
      <c r="L29" s="325"/>
      <c r="M29" s="325"/>
      <c r="N29" s="340"/>
      <c r="O29" s="328"/>
      <c r="P29" s="328"/>
      <c r="Q29"/>
      <c r="R29"/>
      <c r="S29"/>
      <c r="T29"/>
      <c r="U29"/>
      <c r="V29"/>
      <c r="W29"/>
      <c r="X29"/>
    </row>
    <row r="30" spans="1:24" ht="15.6">
      <c r="A30" s="356"/>
      <c r="B30" s="328"/>
      <c r="C30" s="333"/>
      <c r="D30" s="346"/>
      <c r="E30" s="346"/>
      <c r="F30" s="325"/>
      <c r="G30" s="325"/>
      <c r="H30" s="325"/>
      <c r="I30" s="340"/>
      <c r="J30" s="340"/>
      <c r="K30" s="325"/>
      <c r="L30" s="325"/>
      <c r="M30" s="325"/>
      <c r="N30" s="340"/>
      <c r="O30" s="328"/>
      <c r="P30" s="328"/>
      <c r="Q30"/>
      <c r="R30"/>
      <c r="S30"/>
      <c r="T30"/>
      <c r="U30"/>
      <c r="V30"/>
      <c r="W30"/>
      <c r="X30"/>
    </row>
    <row r="31" spans="1:24" ht="15.6">
      <c r="A31" s="348"/>
      <c r="B31" s="328"/>
      <c r="C31" s="333" t="s">
        <v>541</v>
      </c>
      <c r="D31" s="334"/>
      <c r="E31" s="334"/>
      <c r="F31" s="325"/>
      <c r="G31" s="325"/>
      <c r="H31" s="325"/>
      <c r="I31" s="325"/>
      <c r="J31" s="340"/>
      <c r="K31" s="325"/>
      <c r="L31" s="325"/>
      <c r="M31" s="325"/>
      <c r="N31" s="340"/>
      <c r="O31" s="325"/>
      <c r="P31" s="325"/>
      <c r="Q31"/>
      <c r="R31"/>
      <c r="S31"/>
      <c r="T31"/>
      <c r="U31"/>
      <c r="V31"/>
      <c r="W31"/>
      <c r="X31"/>
    </row>
    <row r="32" spans="1:24" ht="15.6">
      <c r="A32" s="348" t="s">
        <v>540</v>
      </c>
      <c r="B32" s="328"/>
      <c r="C32" s="333" t="s">
        <v>539</v>
      </c>
      <c r="D32" s="346" t="s">
        <v>538</v>
      </c>
      <c r="E32" s="346"/>
      <c r="F32" s="355">
        <f>'MP Attach O'!J172</f>
        <v>6836930.7931036931</v>
      </c>
      <c r="G32" s="325"/>
      <c r="H32" s="355">
        <f>'MP Attach O'!M172</f>
        <v>5557546.5902681928</v>
      </c>
      <c r="I32" s="353"/>
      <c r="J32" s="340"/>
      <c r="K32" s="328"/>
      <c r="L32" s="355">
        <f>'MP Attach O'!P172</f>
        <v>1279384.2028354991</v>
      </c>
      <c r="M32" s="328"/>
      <c r="N32" s="340"/>
      <c r="O32" s="354"/>
      <c r="P32" s="354"/>
      <c r="Q32"/>
      <c r="R32"/>
      <c r="S32"/>
      <c r="T32"/>
      <c r="U32"/>
      <c r="V32"/>
      <c r="W32"/>
      <c r="X32"/>
    </row>
    <row r="33" spans="1:24" ht="15.6">
      <c r="A33" s="348" t="s">
        <v>537</v>
      </c>
      <c r="B33" s="328"/>
      <c r="C33" s="333" t="s">
        <v>536</v>
      </c>
      <c r="D33" s="346" t="s">
        <v>535</v>
      </c>
      <c r="E33" s="346"/>
      <c r="F33" s="340"/>
      <c r="G33" s="325"/>
      <c r="H33" s="340">
        <f>IF(H32=0,0,H32/H17)</f>
        <v>1.1692983999459446E-2</v>
      </c>
      <c r="I33" s="325"/>
      <c r="J33" s="340"/>
      <c r="K33" s="328"/>
      <c r="L33" s="340">
        <f>IF(L32=0,0,L32/L17)</f>
        <v>9.3600630998915881E-3</v>
      </c>
      <c r="M33" s="328"/>
      <c r="N33" s="340"/>
      <c r="O33" s="339"/>
      <c r="P33" s="339"/>
      <c r="Q33"/>
      <c r="R33"/>
      <c r="S33"/>
      <c r="T33"/>
      <c r="U33"/>
      <c r="V33"/>
      <c r="W33"/>
      <c r="X33"/>
    </row>
    <row r="34" spans="1:24" ht="15.6">
      <c r="A34" s="348"/>
      <c r="B34" s="328"/>
      <c r="C34" s="333"/>
      <c r="D34" s="346" t="s">
        <v>534</v>
      </c>
      <c r="E34" s="346"/>
      <c r="F34" s="340"/>
      <c r="G34" s="325"/>
      <c r="H34" s="340"/>
      <c r="I34" s="325"/>
      <c r="J34" s="340"/>
      <c r="K34" s="328"/>
      <c r="L34" s="340"/>
      <c r="M34" s="328"/>
      <c r="N34" s="340"/>
      <c r="O34" s="339"/>
      <c r="P34" s="339"/>
      <c r="Q34"/>
      <c r="R34"/>
      <c r="S34"/>
      <c r="T34"/>
      <c r="U34"/>
      <c r="V34"/>
      <c r="W34"/>
      <c r="X34"/>
    </row>
    <row r="35" spans="1:24" ht="15.6">
      <c r="A35" s="348"/>
      <c r="B35" s="328"/>
      <c r="C35" s="333"/>
      <c r="D35" s="346"/>
      <c r="E35" s="346"/>
      <c r="F35" s="340"/>
      <c r="G35" s="325"/>
      <c r="H35" s="325"/>
      <c r="I35" s="325"/>
      <c r="J35" s="340"/>
      <c r="K35" s="328"/>
      <c r="L35" s="325"/>
      <c r="M35" s="328"/>
      <c r="N35" s="340"/>
      <c r="O35" s="339"/>
      <c r="P35" s="339"/>
      <c r="Q35"/>
      <c r="R35"/>
      <c r="S35"/>
      <c r="T35"/>
      <c r="U35"/>
      <c r="V35"/>
      <c r="W35"/>
      <c r="X35"/>
    </row>
    <row r="36" spans="1:24" ht="15.6">
      <c r="A36" s="348" t="s">
        <v>533</v>
      </c>
      <c r="B36" s="328"/>
      <c r="C36" s="333" t="s">
        <v>532</v>
      </c>
      <c r="D36" s="346" t="s">
        <v>531</v>
      </c>
      <c r="E36" s="346"/>
      <c r="F36" s="340"/>
      <c r="G36" s="325"/>
      <c r="I36" s="325"/>
      <c r="J36" s="340">
        <f>H23+H28+H33</f>
        <v>6.1134829027610818E-2</v>
      </c>
      <c r="K36" s="328"/>
      <c r="M36" s="328"/>
      <c r="N36" s="340">
        <f>L23+L28+L33</f>
        <v>3.4596091288160068E-2</v>
      </c>
      <c r="O36" s="339"/>
      <c r="P36" s="339"/>
      <c r="Q36"/>
      <c r="R36"/>
      <c r="S36"/>
      <c r="T36"/>
      <c r="U36"/>
      <c r="V36"/>
      <c r="W36"/>
      <c r="X36"/>
    </row>
    <row r="37" spans="1:24" ht="15.6">
      <c r="A37" s="348"/>
      <c r="B37" s="328"/>
      <c r="C37" s="333"/>
      <c r="D37" s="346" t="s">
        <v>530</v>
      </c>
      <c r="E37" s="346"/>
      <c r="F37" s="340"/>
      <c r="G37" s="325"/>
      <c r="H37" s="340"/>
      <c r="I37" s="325"/>
      <c r="J37" s="340"/>
      <c r="K37" s="328"/>
      <c r="L37" s="340"/>
      <c r="M37" s="328"/>
      <c r="N37" s="340"/>
      <c r="O37" s="339"/>
      <c r="P37" s="339"/>
      <c r="Q37"/>
      <c r="R37"/>
      <c r="S37"/>
      <c r="T37"/>
      <c r="U37"/>
      <c r="V37"/>
      <c r="W37"/>
      <c r="X37"/>
    </row>
    <row r="38" spans="1:24" ht="15.6">
      <c r="A38" s="348"/>
      <c r="B38" s="328"/>
      <c r="C38" s="333"/>
      <c r="D38" s="346"/>
      <c r="E38" s="346"/>
      <c r="F38" s="325"/>
      <c r="G38" s="325"/>
      <c r="H38" s="325"/>
      <c r="I38" s="353"/>
      <c r="J38" s="340"/>
      <c r="K38" s="325"/>
      <c r="L38" s="325"/>
      <c r="M38" s="325"/>
      <c r="N38" s="340"/>
      <c r="O38" s="325"/>
      <c r="P38" s="325"/>
      <c r="Q38"/>
      <c r="R38"/>
      <c r="S38"/>
      <c r="T38"/>
      <c r="U38"/>
      <c r="V38"/>
      <c r="W38"/>
      <c r="X38"/>
    </row>
    <row r="39" spans="1:24" ht="15.6">
      <c r="A39" s="342"/>
      <c r="B39" s="338"/>
      <c r="C39" s="331" t="s">
        <v>529</v>
      </c>
      <c r="D39" s="346"/>
      <c r="E39" s="346"/>
      <c r="F39" s="325"/>
      <c r="G39" s="352"/>
      <c r="H39" s="325"/>
      <c r="I39" s="340"/>
      <c r="J39" s="340"/>
      <c r="K39" s="325"/>
      <c r="L39" s="351"/>
      <c r="M39" s="325"/>
      <c r="N39" s="340"/>
      <c r="O39" s="338"/>
      <c r="P39" s="338"/>
      <c r="Q39"/>
      <c r="R39"/>
      <c r="S39"/>
      <c r="T39"/>
      <c r="U39"/>
      <c r="V39"/>
      <c r="W39"/>
      <c r="X39"/>
    </row>
    <row r="40" spans="1:24" ht="15.6">
      <c r="A40" s="348" t="s">
        <v>528</v>
      </c>
      <c r="B40" s="338"/>
      <c r="C40" s="331" t="s">
        <v>14</v>
      </c>
      <c r="D40" s="346" t="s">
        <v>527</v>
      </c>
      <c r="E40" s="346"/>
      <c r="F40" s="349">
        <f>'MP Attach O'!J185</f>
        <v>16771386.879546983</v>
      </c>
      <c r="G40" s="352"/>
      <c r="H40" s="349">
        <f>'MP Attach O'!M185</f>
        <v>13653146.023006199</v>
      </c>
      <c r="I40" s="340"/>
      <c r="J40" s="340"/>
      <c r="K40" s="325"/>
      <c r="L40" s="349">
        <f>'MP Attach O'!P185</f>
        <v>3118240.8565407828</v>
      </c>
      <c r="M40" s="325"/>
      <c r="N40" s="340"/>
      <c r="O40" s="338"/>
      <c r="P40" s="338"/>
      <c r="Q40"/>
      <c r="R40"/>
      <c r="S40"/>
      <c r="T40"/>
      <c r="U40"/>
      <c r="V40"/>
      <c r="W40"/>
      <c r="X40"/>
    </row>
    <row r="41" spans="1:24" ht="15.6">
      <c r="A41" s="348" t="s">
        <v>526</v>
      </c>
      <c r="B41" s="338"/>
      <c r="C41" s="331" t="s">
        <v>525</v>
      </c>
      <c r="D41" s="346" t="s">
        <v>524</v>
      </c>
      <c r="E41" s="346"/>
      <c r="F41" s="340"/>
      <c r="G41" s="352"/>
      <c r="H41" s="340">
        <f>IF(H40=0,0,H40/H18)</f>
        <v>3.8544945179710147E-2</v>
      </c>
      <c r="I41" s="340"/>
      <c r="J41" s="340"/>
      <c r="K41" s="325"/>
      <c r="L41" s="340">
        <f>IF(L40=0,0,L40/L18)</f>
        <v>3.9462201561086409E-2</v>
      </c>
      <c r="M41" s="325"/>
      <c r="N41" s="340"/>
      <c r="O41" s="338"/>
      <c r="P41" s="338"/>
      <c r="Q41"/>
      <c r="R41"/>
      <c r="S41"/>
      <c r="T41"/>
      <c r="U41"/>
      <c r="V41"/>
      <c r="W41"/>
      <c r="X41"/>
    </row>
    <row r="42" spans="1:24" ht="15.6">
      <c r="A42" s="348"/>
      <c r="B42" s="338"/>
      <c r="C42" s="331"/>
      <c r="D42" s="346" t="s">
        <v>523</v>
      </c>
      <c r="E42" s="346"/>
      <c r="F42" s="340"/>
      <c r="G42" s="352"/>
      <c r="H42" s="340"/>
      <c r="I42" s="340"/>
      <c r="J42" s="340"/>
      <c r="K42" s="325"/>
      <c r="L42" s="340"/>
      <c r="M42" s="325"/>
      <c r="N42" s="340"/>
      <c r="O42" s="338"/>
      <c r="P42" s="338"/>
      <c r="Q42"/>
      <c r="R42"/>
      <c r="S42"/>
      <c r="T42"/>
      <c r="U42"/>
      <c r="V42"/>
      <c r="W42"/>
      <c r="X42"/>
    </row>
    <row r="43" spans="1:24" ht="15.6">
      <c r="A43" s="342"/>
      <c r="B43" s="338"/>
      <c r="C43" s="331"/>
      <c r="D43" s="346"/>
      <c r="E43" s="346"/>
      <c r="F43" s="340"/>
      <c r="G43" s="352"/>
      <c r="H43" s="325"/>
      <c r="I43" s="340"/>
      <c r="J43" s="340"/>
      <c r="K43" s="325"/>
      <c r="L43" s="351"/>
      <c r="M43" s="325"/>
      <c r="N43" s="340"/>
      <c r="O43" s="338"/>
      <c r="P43" s="338"/>
      <c r="Q43"/>
      <c r="R43"/>
      <c r="S43"/>
      <c r="T43"/>
      <c r="U43"/>
      <c r="V43"/>
      <c r="W43"/>
      <c r="X43"/>
    </row>
    <row r="44" spans="1:24" ht="15.6">
      <c r="A44" s="348"/>
      <c r="B44" s="328"/>
      <c r="C44" s="333" t="s">
        <v>15</v>
      </c>
      <c r="D44" s="345"/>
      <c r="E44" s="345"/>
      <c r="F44" s="328"/>
      <c r="G44" s="325"/>
      <c r="H44" s="325"/>
      <c r="I44" s="328"/>
      <c r="J44" s="340"/>
      <c r="K44" s="328"/>
      <c r="L44" s="325"/>
      <c r="M44" s="328"/>
      <c r="N44" s="340"/>
      <c r="O44" s="328"/>
      <c r="P44" s="328"/>
      <c r="Q44"/>
      <c r="R44"/>
      <c r="S44"/>
      <c r="T44"/>
      <c r="U44"/>
      <c r="V44"/>
      <c r="W44"/>
      <c r="X44"/>
    </row>
    <row r="45" spans="1:24" ht="15.6">
      <c r="A45" s="348" t="s">
        <v>522</v>
      </c>
      <c r="B45" s="328"/>
      <c r="C45" s="333" t="s">
        <v>521</v>
      </c>
      <c r="D45" s="334" t="s">
        <v>520</v>
      </c>
      <c r="E45" s="334"/>
      <c r="F45" s="349">
        <f>'MP Attach O'!J187</f>
        <v>31520836.028390776</v>
      </c>
      <c r="G45" s="350"/>
      <c r="H45" s="349">
        <f>'MP Attach O'!M187</f>
        <v>25727697.848422647</v>
      </c>
      <c r="I45" s="350"/>
      <c r="J45" s="340"/>
      <c r="K45" s="328"/>
      <c r="L45" s="349">
        <f>'MP Attach O'!P187</f>
        <v>5793138.1799681289</v>
      </c>
      <c r="M45" s="328"/>
      <c r="N45" s="340"/>
      <c r="O45" s="339"/>
      <c r="P45" s="339"/>
      <c r="Q45"/>
      <c r="R45"/>
      <c r="S45"/>
      <c r="T45"/>
      <c r="U45"/>
      <c r="V45"/>
      <c r="W45"/>
      <c r="X45"/>
    </row>
    <row r="46" spans="1:24" ht="15.6">
      <c r="A46" s="348" t="s">
        <v>519</v>
      </c>
      <c r="B46" s="328"/>
      <c r="C46" s="333" t="s">
        <v>518</v>
      </c>
      <c r="D46" s="346" t="s">
        <v>517</v>
      </c>
      <c r="E46" s="345"/>
      <c r="F46" s="340"/>
      <c r="G46" s="325"/>
      <c r="H46" s="340">
        <f>IF(H45=0,0,H45/H18)</f>
        <v>7.2633274521240895E-2</v>
      </c>
      <c r="I46" s="344"/>
      <c r="J46" s="340"/>
      <c r="K46" s="343"/>
      <c r="L46" s="340">
        <f>IF(L45=0,0,L45/L18)</f>
        <v>7.331376793732855E-2</v>
      </c>
      <c r="M46" s="343"/>
      <c r="N46" s="340"/>
      <c r="O46" s="328"/>
      <c r="P46" s="328"/>
      <c r="Q46"/>
      <c r="R46"/>
      <c r="S46"/>
      <c r="T46"/>
      <c r="U46"/>
      <c r="V46"/>
      <c r="W46"/>
      <c r="X46"/>
    </row>
    <row r="47" spans="1:24" ht="15.6">
      <c r="A47" s="348"/>
      <c r="B47" s="328"/>
      <c r="C47" s="333"/>
      <c r="D47" s="346" t="s">
        <v>516</v>
      </c>
      <c r="E47" s="345"/>
      <c r="F47" s="340"/>
      <c r="G47" s="325"/>
      <c r="H47" s="340"/>
      <c r="I47" s="344"/>
      <c r="J47" s="340"/>
      <c r="K47" s="343"/>
      <c r="L47" s="340"/>
      <c r="M47" s="343"/>
      <c r="N47" s="340"/>
      <c r="O47" s="328"/>
      <c r="P47" s="328"/>
      <c r="Q47"/>
      <c r="R47"/>
      <c r="S47"/>
      <c r="T47"/>
      <c r="U47"/>
      <c r="V47"/>
      <c r="W47"/>
      <c r="X47"/>
    </row>
    <row r="48" spans="1:24" ht="15.6">
      <c r="A48" s="342"/>
      <c r="B48" s="338"/>
      <c r="C48" s="333"/>
      <c r="D48" s="345"/>
      <c r="E48" s="345"/>
      <c r="F48" s="325"/>
      <c r="G48" s="325"/>
      <c r="H48" s="343"/>
      <c r="I48" s="344"/>
      <c r="J48" s="340"/>
      <c r="K48" s="343"/>
      <c r="L48" s="325"/>
      <c r="M48" s="343"/>
      <c r="N48" s="340"/>
      <c r="O48" s="328"/>
      <c r="P48" s="328"/>
      <c r="Q48"/>
      <c r="R48"/>
      <c r="S48"/>
      <c r="T48"/>
      <c r="U48"/>
      <c r="V48"/>
      <c r="W48"/>
      <c r="X48"/>
    </row>
    <row r="49" spans="1:24" ht="15.6">
      <c r="A49" s="348" t="s">
        <v>515</v>
      </c>
      <c r="B49" s="338"/>
      <c r="C49" s="333" t="s">
        <v>502</v>
      </c>
      <c r="D49" s="346" t="s">
        <v>514</v>
      </c>
      <c r="E49" s="345"/>
      <c r="F49" s="347"/>
      <c r="G49" s="325"/>
      <c r="I49" s="344"/>
      <c r="J49" s="344">
        <f>H41 + H46</f>
        <v>0.11117821970095104</v>
      </c>
      <c r="K49" s="343"/>
      <c r="M49" s="343"/>
      <c r="N49" s="344">
        <f>L41+L46</f>
        <v>0.11277596949841495</v>
      </c>
      <c r="O49" s="328"/>
      <c r="P49" s="328"/>
      <c r="Q49"/>
      <c r="R49"/>
      <c r="S49"/>
      <c r="T49"/>
      <c r="U49"/>
      <c r="V49"/>
      <c r="W49"/>
      <c r="X49"/>
    </row>
    <row r="50" spans="1:24" ht="15.6">
      <c r="A50" s="342"/>
      <c r="B50" s="338"/>
      <c r="C50" s="333"/>
      <c r="D50" s="346" t="s">
        <v>513</v>
      </c>
      <c r="E50" s="345"/>
      <c r="F50" s="325" t="s">
        <v>3</v>
      </c>
      <c r="G50" s="325"/>
      <c r="H50" s="325"/>
      <c r="I50" s="344"/>
      <c r="J50" s="325"/>
      <c r="K50" s="343"/>
      <c r="L50" s="343"/>
      <c r="M50" s="343"/>
      <c r="N50" s="325" t="s">
        <v>3</v>
      </c>
      <c r="O50" s="328"/>
      <c r="P50" s="328"/>
      <c r="Q50"/>
      <c r="R50"/>
      <c r="S50"/>
      <c r="T50"/>
      <c r="U50"/>
      <c r="V50"/>
      <c r="W50"/>
      <c r="X50"/>
    </row>
    <row r="51" spans="1:24" ht="15.6">
      <c r="A51" s="342"/>
      <c r="B51" s="338"/>
      <c r="C51" s="333"/>
      <c r="D51" s="345"/>
      <c r="E51" s="345"/>
      <c r="F51" s="325"/>
      <c r="G51" s="325"/>
      <c r="H51" s="325"/>
      <c r="I51" s="344"/>
      <c r="J51" s="325"/>
      <c r="K51" s="343"/>
      <c r="L51" s="343"/>
      <c r="M51" s="343"/>
      <c r="N51" s="325"/>
      <c r="O51" s="328"/>
      <c r="P51" s="328"/>
      <c r="Q51"/>
      <c r="R51"/>
      <c r="S51"/>
      <c r="T51"/>
      <c r="U51"/>
      <c r="V51"/>
      <c r="W51"/>
      <c r="X51"/>
    </row>
    <row r="52" spans="1:24" ht="15.6">
      <c r="A52" s="342"/>
      <c r="B52" s="338"/>
      <c r="C52" s="326"/>
      <c r="D52" s="341"/>
      <c r="E52" s="341"/>
      <c r="F52" s="325"/>
      <c r="G52" s="326"/>
      <c r="H52" s="326"/>
      <c r="I52" s="340"/>
      <c r="J52" s="325"/>
      <c r="K52" s="325"/>
      <c r="L52" s="325"/>
      <c r="M52" s="325"/>
      <c r="N52" s="325"/>
      <c r="O52" s="339"/>
      <c r="P52" s="339"/>
      <c r="Q52"/>
      <c r="R52"/>
      <c r="S52"/>
      <c r="T52"/>
      <c r="U52"/>
      <c r="V52"/>
      <c r="W52"/>
      <c r="X52"/>
    </row>
    <row r="53" spans="1:24" ht="15.6">
      <c r="A53" s="272"/>
      <c r="B53" s="338"/>
      <c r="C53" s="335"/>
      <c r="D53" s="334"/>
      <c r="E53" s="334"/>
      <c r="F53" s="331"/>
      <c r="G53" s="333"/>
      <c r="H53" s="333"/>
      <c r="I53" s="332"/>
      <c r="J53" s="325"/>
      <c r="K53" s="331"/>
      <c r="M53" s="331"/>
      <c r="N53" s="325"/>
      <c r="O53" s="273"/>
      <c r="P53" s="337"/>
      <c r="Q53"/>
      <c r="R53"/>
      <c r="S53"/>
      <c r="T53"/>
      <c r="U53"/>
      <c r="V53"/>
      <c r="W53"/>
      <c r="X53"/>
    </row>
    <row r="54" spans="1:24" ht="15.6">
      <c r="A54" s="272"/>
      <c r="B54" s="336"/>
      <c r="C54" s="335"/>
      <c r="D54" s="334"/>
      <c r="E54" s="334"/>
      <c r="F54" s="331"/>
      <c r="G54" s="333"/>
      <c r="H54" s="333"/>
      <c r="I54" s="332"/>
      <c r="J54" s="325"/>
      <c r="K54" s="331"/>
      <c r="L54" s="331"/>
      <c r="M54" s="331"/>
      <c r="N54" s="325"/>
      <c r="O54" s="330"/>
      <c r="P54" s="330"/>
      <c r="Q54"/>
      <c r="R54"/>
      <c r="S54"/>
      <c r="T54"/>
      <c r="U54"/>
      <c r="V54"/>
      <c r="W54"/>
      <c r="X54"/>
    </row>
    <row r="55" spans="1:24">
      <c r="A55" s="329"/>
      <c r="B55" s="328"/>
      <c r="C55" s="326"/>
      <c r="D55" s="326"/>
      <c r="E55" s="326"/>
      <c r="F55" s="325"/>
      <c r="G55" s="326"/>
      <c r="H55" s="326"/>
      <c r="I55" s="326"/>
      <c r="J55" s="327"/>
      <c r="K55" s="326"/>
      <c r="L55" s="326"/>
      <c r="M55" s="326"/>
      <c r="N55" s="325"/>
      <c r="O55" s="325"/>
      <c r="P55" s="325"/>
      <c r="Q55"/>
      <c r="R55"/>
      <c r="S55"/>
      <c r="T55"/>
      <c r="U55"/>
      <c r="V55"/>
      <c r="W55"/>
      <c r="X55"/>
    </row>
    <row r="56" spans="1:24">
      <c r="A56"/>
      <c r="B56"/>
      <c r="C56"/>
      <c r="D56"/>
      <c r="E56"/>
      <c r="F56"/>
      <c r="G56"/>
      <c r="H56"/>
      <c r="I56"/>
      <c r="J56"/>
      <c r="K56"/>
      <c r="L56"/>
      <c r="M56"/>
      <c r="N56"/>
      <c r="O56"/>
      <c r="P56"/>
      <c r="Q56"/>
      <c r="R56"/>
      <c r="S56"/>
      <c r="T56"/>
      <c r="U56"/>
      <c r="V56"/>
      <c r="W56"/>
      <c r="X56"/>
    </row>
    <row r="57" spans="1:24">
      <c r="A57"/>
      <c r="B57"/>
      <c r="C57"/>
      <c r="D57"/>
      <c r="E57"/>
      <c r="F57"/>
      <c r="G57"/>
      <c r="H57"/>
      <c r="I57"/>
      <c r="J57"/>
      <c r="K57"/>
      <c r="L57"/>
      <c r="M57"/>
      <c r="N57"/>
      <c r="O57"/>
      <c r="P57"/>
      <c r="Q57"/>
      <c r="R57"/>
      <c r="S57"/>
      <c r="T57"/>
      <c r="U57"/>
      <c r="V57"/>
      <c r="W57"/>
      <c r="X57"/>
    </row>
    <row r="58" spans="1:24">
      <c r="A58" s="263"/>
      <c r="B58" s="263"/>
      <c r="C58" s="263"/>
      <c r="D58" s="263"/>
      <c r="E58" s="263"/>
      <c r="F58" s="263"/>
      <c r="G58" s="263"/>
      <c r="H58" s="263"/>
      <c r="I58" s="263"/>
      <c r="J58" s="263"/>
      <c r="K58" s="263"/>
      <c r="L58" s="263"/>
      <c r="M58" s="263"/>
      <c r="N58" s="324"/>
      <c r="O58" s="263"/>
      <c r="Q58"/>
      <c r="R58"/>
      <c r="S58"/>
      <c r="T58"/>
      <c r="U58"/>
      <c r="V58"/>
      <c r="W58"/>
      <c r="X58"/>
    </row>
    <row r="59" spans="1:24">
      <c r="A59" s="263"/>
      <c r="B59" s="263"/>
      <c r="C59" s="263"/>
      <c r="D59" s="263"/>
      <c r="E59" s="263"/>
      <c r="F59" s="263"/>
      <c r="G59" s="263"/>
      <c r="H59" s="263"/>
      <c r="I59" s="263"/>
      <c r="J59" s="263"/>
      <c r="K59" s="263"/>
      <c r="L59" s="263"/>
      <c r="M59" s="263"/>
      <c r="N59" s="324"/>
      <c r="O59" s="263"/>
      <c r="Q59"/>
      <c r="R59"/>
      <c r="S59"/>
      <c r="T59"/>
      <c r="U59"/>
      <c r="V59"/>
      <c r="W59"/>
      <c r="X59"/>
    </row>
    <row r="60" spans="1:24">
      <c r="A60" s="263"/>
      <c r="B60" s="263"/>
      <c r="C60" s="263"/>
      <c r="D60" s="263"/>
      <c r="E60" s="263"/>
      <c r="F60" s="263"/>
      <c r="G60" s="263"/>
      <c r="H60" s="263"/>
      <c r="I60" s="263"/>
      <c r="J60" s="263"/>
      <c r="K60" s="263"/>
      <c r="L60" s="263"/>
      <c r="M60" s="263"/>
      <c r="N60" s="263"/>
      <c r="O60" s="263"/>
      <c r="Q60"/>
      <c r="R60"/>
      <c r="S60"/>
      <c r="T60"/>
      <c r="U60"/>
      <c r="V60"/>
      <c r="W60"/>
      <c r="X60"/>
    </row>
    <row r="61" spans="1:24">
      <c r="A61" s="320"/>
      <c r="B61" s="263"/>
      <c r="C61" s="266"/>
      <c r="D61" s="266"/>
      <c r="E61" s="266"/>
      <c r="F61" s="266"/>
      <c r="G61" s="265"/>
      <c r="H61" s="266"/>
      <c r="I61" s="266"/>
      <c r="J61" s="266"/>
      <c r="K61" s="266"/>
      <c r="L61" s="263"/>
      <c r="M61" s="265"/>
      <c r="N61" s="323" t="s">
        <v>577</v>
      </c>
      <c r="O61" s="310"/>
      <c r="Q61"/>
      <c r="R61"/>
      <c r="S61"/>
      <c r="T61"/>
      <c r="U61"/>
      <c r="V61"/>
      <c r="W61"/>
      <c r="X61"/>
    </row>
    <row r="62" spans="1:24">
      <c r="A62" s="320"/>
      <c r="B62" s="263"/>
      <c r="C62" s="266" t="s">
        <v>563</v>
      </c>
      <c r="D62" s="266"/>
      <c r="E62" s="266"/>
      <c r="F62" s="266"/>
      <c r="G62" s="322" t="s">
        <v>0</v>
      </c>
      <c r="H62" s="266"/>
      <c r="I62" s="266"/>
      <c r="J62" s="266"/>
      <c r="K62" s="266"/>
      <c r="L62" s="263"/>
      <c r="M62" s="392"/>
      <c r="N62" s="391" t="str">
        <f>N4</f>
        <v>For the 12 months ended 12/31/2016</v>
      </c>
      <c r="O62" s="310"/>
      <c r="Q62"/>
      <c r="R62"/>
      <c r="S62"/>
      <c r="T62"/>
      <c r="U62"/>
      <c r="V62"/>
      <c r="W62"/>
      <c r="X62"/>
    </row>
    <row r="63" spans="1:24">
      <c r="A63" s="320"/>
      <c r="B63" s="263"/>
      <c r="C63" s="266"/>
      <c r="D63" s="266"/>
      <c r="E63" s="266"/>
      <c r="F63" s="266"/>
      <c r="G63" s="322" t="s">
        <v>576</v>
      </c>
      <c r="H63" s="266"/>
      <c r="I63" s="266"/>
      <c r="J63" s="266"/>
      <c r="K63" s="266"/>
      <c r="L63" s="265"/>
      <c r="M63" s="265"/>
      <c r="N63" s="263"/>
      <c r="O63" s="310"/>
      <c r="Q63"/>
      <c r="R63"/>
      <c r="S63"/>
      <c r="T63"/>
      <c r="U63"/>
      <c r="V63"/>
      <c r="W63"/>
      <c r="X63"/>
    </row>
    <row r="64" spans="1:24">
      <c r="A64" s="320"/>
      <c r="B64" s="263"/>
      <c r="C64" s="266"/>
      <c r="D64" s="266"/>
      <c r="E64" s="266"/>
      <c r="F64" s="266"/>
      <c r="G64" s="266"/>
      <c r="H64" s="266"/>
      <c r="I64" s="266"/>
      <c r="J64" s="266"/>
      <c r="K64" s="266"/>
      <c r="L64" s="263"/>
      <c r="M64" s="265"/>
      <c r="N64" s="266" t="s">
        <v>511</v>
      </c>
      <c r="O64" s="310"/>
      <c r="Q64"/>
      <c r="R64"/>
      <c r="S64"/>
      <c r="T64"/>
      <c r="U64"/>
      <c r="V64"/>
      <c r="W64"/>
      <c r="X64"/>
    </row>
    <row r="65" spans="1:24">
      <c r="A65" s="320"/>
      <c r="B65" s="263"/>
      <c r="C65" s="263"/>
      <c r="D65" s="263"/>
      <c r="E65" s="266"/>
      <c r="F65" s="266"/>
      <c r="G65" s="322" t="s">
        <v>28</v>
      </c>
      <c r="H65" s="266"/>
      <c r="I65" s="266"/>
      <c r="J65" s="266"/>
      <c r="K65" s="266"/>
      <c r="L65" s="266"/>
      <c r="M65" s="265"/>
      <c r="N65" s="265"/>
      <c r="O65" s="310"/>
    </row>
    <row r="66" spans="1:24">
      <c r="A66" s="320"/>
      <c r="B66" s="263"/>
      <c r="C66" s="263"/>
      <c r="D66" s="263"/>
      <c r="E66" s="266"/>
      <c r="F66" s="266"/>
      <c r="G66" s="266"/>
      <c r="H66" s="266"/>
      <c r="I66" s="266"/>
      <c r="J66" s="266"/>
      <c r="K66" s="266"/>
      <c r="L66" s="266"/>
      <c r="M66" s="266"/>
      <c r="N66" s="266"/>
      <c r="O66" s="310"/>
    </row>
    <row r="67" spans="1:24" ht="15.6">
      <c r="A67" s="320"/>
      <c r="B67" s="263"/>
      <c r="C67" s="266"/>
      <c r="D67" s="266"/>
      <c r="E67" s="321" t="s">
        <v>575</v>
      </c>
      <c r="F67" s="321"/>
      <c r="G67" s="263"/>
      <c r="H67" s="301"/>
      <c r="I67" s="301"/>
      <c r="J67" s="301"/>
      <c r="K67" s="301"/>
      <c r="L67" s="301"/>
      <c r="M67" s="265"/>
      <c r="N67" s="265"/>
      <c r="O67" s="310"/>
    </row>
    <row r="68" spans="1:24" ht="15.6">
      <c r="A68" s="320"/>
      <c r="B68" s="263"/>
      <c r="C68" s="266"/>
      <c r="D68" s="266"/>
      <c r="E68" s="321"/>
      <c r="F68" s="321"/>
      <c r="G68" s="263"/>
      <c r="H68" s="301"/>
      <c r="I68" s="301"/>
      <c r="J68" s="301"/>
      <c r="K68" s="301"/>
      <c r="L68" s="301"/>
      <c r="M68" s="265"/>
      <c r="N68" s="265"/>
      <c r="O68" s="310"/>
    </row>
    <row r="69" spans="1:24" ht="14.25" customHeight="1">
      <c r="A69" s="320"/>
      <c r="B69" s="263"/>
      <c r="C69" s="319">
        <v>-1</v>
      </c>
      <c r="D69" s="319">
        <v>-2</v>
      </c>
      <c r="E69" s="319">
        <v>-3</v>
      </c>
      <c r="F69" s="319">
        <v>-4</v>
      </c>
      <c r="G69" s="319">
        <v>-5</v>
      </c>
      <c r="H69" s="319">
        <v>-6</v>
      </c>
      <c r="I69" s="319">
        <v>-7</v>
      </c>
      <c r="J69" s="319">
        <v>-8</v>
      </c>
      <c r="K69" s="319">
        <v>-9</v>
      </c>
      <c r="L69" s="319">
        <v>-10</v>
      </c>
      <c r="M69" s="319">
        <v>-11</v>
      </c>
      <c r="N69" s="319">
        <v>-12</v>
      </c>
      <c r="O69" s="310"/>
    </row>
    <row r="70" spans="1:24" ht="62.4">
      <c r="A70" s="318" t="s">
        <v>509</v>
      </c>
      <c r="B70" s="317"/>
      <c r="C70" s="317" t="s">
        <v>508</v>
      </c>
      <c r="D70" s="316" t="s">
        <v>507</v>
      </c>
      <c r="E70" s="314" t="s">
        <v>506</v>
      </c>
      <c r="F70" s="314" t="s">
        <v>505</v>
      </c>
      <c r="G70" s="315" t="s">
        <v>504</v>
      </c>
      <c r="H70" s="314" t="s">
        <v>503</v>
      </c>
      <c r="I70" s="314" t="s">
        <v>502</v>
      </c>
      <c r="J70" s="315" t="s">
        <v>501</v>
      </c>
      <c r="K70" s="314" t="s">
        <v>500</v>
      </c>
      <c r="L70" s="312" t="s">
        <v>499</v>
      </c>
      <c r="M70" s="313" t="s">
        <v>498</v>
      </c>
      <c r="N70" s="312" t="s">
        <v>574</v>
      </c>
      <c r="O70" s="311"/>
      <c r="X70" s="261" t="s">
        <v>3</v>
      </c>
    </row>
    <row r="71" spans="1:24" ht="48.75" customHeight="1">
      <c r="A71" s="309" t="s">
        <v>496</v>
      </c>
      <c r="B71" s="308"/>
      <c r="C71" s="308"/>
      <c r="D71" s="308"/>
      <c r="E71" s="306" t="s">
        <v>5</v>
      </c>
      <c r="F71" s="307" t="s">
        <v>495</v>
      </c>
      <c r="G71" s="305" t="s">
        <v>487</v>
      </c>
      <c r="H71" s="306" t="s">
        <v>6</v>
      </c>
      <c r="I71" s="307" t="s">
        <v>494</v>
      </c>
      <c r="J71" s="305" t="s">
        <v>485</v>
      </c>
      <c r="K71" s="306" t="s">
        <v>484</v>
      </c>
      <c r="L71" s="305" t="s">
        <v>573</v>
      </c>
      <c r="M71" s="304" t="s">
        <v>482</v>
      </c>
      <c r="N71" s="303" t="s">
        <v>481</v>
      </c>
      <c r="O71" s="310"/>
    </row>
    <row r="72" spans="1:24">
      <c r="A72" s="302"/>
      <c r="B72" s="301"/>
      <c r="C72" s="301"/>
      <c r="D72" s="301"/>
      <c r="E72" s="301"/>
      <c r="F72" s="301"/>
      <c r="G72" s="300"/>
      <c r="H72" s="301"/>
      <c r="I72" s="301"/>
      <c r="J72" s="300"/>
      <c r="K72" s="301"/>
      <c r="L72" s="300"/>
      <c r="M72" s="265"/>
      <c r="N72" s="299"/>
      <c r="O72" s="310"/>
    </row>
    <row r="73" spans="1:24">
      <c r="A73" s="291" t="s">
        <v>13</v>
      </c>
      <c r="B73" s="263"/>
      <c r="C73" s="420" t="s">
        <v>590</v>
      </c>
      <c r="D73" s="421" t="s">
        <v>591</v>
      </c>
      <c r="E73" s="390">
        <v>17527097.796923079</v>
      </c>
      <c r="F73" s="295">
        <f t="shared" ref="F73:F74" si="0">+$J$36</f>
        <v>6.1134829027610818E-2</v>
      </c>
      <c r="G73" s="383">
        <f t="shared" ref="G73:G74" si="1">E73*F73</f>
        <v>1071516.1271651066</v>
      </c>
      <c r="H73" s="384">
        <v>16421134.253998406</v>
      </c>
      <c r="I73" s="295">
        <f t="shared" ref="I73:I74" si="2">+$J$49</f>
        <v>0.11117821970095104</v>
      </c>
      <c r="J73" s="388">
        <f t="shared" ref="J73:J74" si="3">H73*I73</f>
        <v>1825672.4718298477</v>
      </c>
      <c r="K73" s="387">
        <v>436215</v>
      </c>
      <c r="L73" s="388">
        <f t="shared" ref="L73:L74" si="4">G73+J73+K73</f>
        <v>3333403.5989949545</v>
      </c>
      <c r="M73" s="387">
        <v>-395402.66603798047</v>
      </c>
      <c r="N73" s="383">
        <f t="shared" ref="N73:N74" si="5">L73+M73</f>
        <v>2938000.932956974</v>
      </c>
      <c r="O73" s="262"/>
    </row>
    <row r="74" spans="1:24">
      <c r="A74" s="291" t="s">
        <v>493</v>
      </c>
      <c r="B74" s="263"/>
      <c r="C74" s="420" t="s">
        <v>592</v>
      </c>
      <c r="D74" s="421" t="s">
        <v>593</v>
      </c>
      <c r="E74" s="389">
        <v>30577960</v>
      </c>
      <c r="F74" s="295">
        <f t="shared" si="0"/>
        <v>6.1134829027610818E-2</v>
      </c>
      <c r="G74" s="383">
        <f t="shared" si="1"/>
        <v>1869378.3566131224</v>
      </c>
      <c r="H74" s="384">
        <v>29727848</v>
      </c>
      <c r="I74" s="295">
        <f t="shared" si="2"/>
        <v>0.11117821970095104</v>
      </c>
      <c r="J74" s="388">
        <f t="shared" si="3"/>
        <v>3305089.2161804782</v>
      </c>
      <c r="K74" s="387">
        <v>799721</v>
      </c>
      <c r="L74" s="388">
        <f t="shared" si="4"/>
        <v>5974188.5727936011</v>
      </c>
      <c r="M74" s="387">
        <v>-2644585.0676585985</v>
      </c>
      <c r="N74" s="383">
        <f t="shared" si="5"/>
        <v>3329603.5051350025</v>
      </c>
      <c r="O74" s="262"/>
    </row>
    <row r="75" spans="1:24">
      <c r="A75" s="288"/>
      <c r="B75" s="287"/>
      <c r="C75" s="286"/>
      <c r="D75" s="286"/>
      <c r="E75" s="286"/>
      <c r="F75" s="286"/>
      <c r="G75" s="285"/>
      <c r="H75" s="286"/>
      <c r="I75" s="286"/>
      <c r="J75" s="285"/>
      <c r="K75" s="286"/>
      <c r="L75" s="285"/>
      <c r="M75" s="286"/>
      <c r="N75" s="285"/>
      <c r="O75" s="262"/>
      <c r="P75"/>
      <c r="Q75"/>
      <c r="R75"/>
      <c r="S75"/>
      <c r="T75"/>
      <c r="U75"/>
      <c r="V75"/>
      <c r="W75"/>
      <c r="X75"/>
    </row>
    <row r="76" spans="1:24">
      <c r="A76" s="284" t="s">
        <v>491</v>
      </c>
      <c r="B76" s="283"/>
      <c r="C76" s="266" t="s">
        <v>490</v>
      </c>
      <c r="D76" s="266"/>
      <c r="E76" s="268"/>
      <c r="F76" s="268"/>
      <c r="G76" s="265"/>
      <c r="H76" s="265"/>
      <c r="I76" s="265"/>
      <c r="J76" s="265"/>
      <c r="K76" s="265"/>
      <c r="L76" s="281">
        <f>SUM(L73:L75)</f>
        <v>9307592.1717885546</v>
      </c>
      <c r="M76" s="281">
        <f>SUM(M73:M75)</f>
        <v>-3039987.733696579</v>
      </c>
      <c r="N76" s="281">
        <f>SUM(N73:N75)</f>
        <v>6267604.4380919766</v>
      </c>
      <c r="O76" s="262"/>
      <c r="P76"/>
      <c r="Q76"/>
      <c r="R76"/>
      <c r="S76"/>
      <c r="T76"/>
      <c r="U76"/>
      <c r="V76"/>
      <c r="W76"/>
      <c r="X76"/>
    </row>
    <row r="77" spans="1:24">
      <c r="A77" s="284"/>
      <c r="B77" s="283"/>
      <c r="C77" s="266"/>
      <c r="D77" s="266"/>
      <c r="E77" s="268"/>
      <c r="F77" s="268"/>
      <c r="G77" s="265"/>
      <c r="H77" s="265"/>
      <c r="I77" s="265"/>
      <c r="J77" s="265"/>
      <c r="K77" s="265"/>
      <c r="L77" s="281"/>
      <c r="M77" s="281"/>
      <c r="N77" s="281"/>
      <c r="O77" s="262"/>
      <c r="P77"/>
      <c r="Q77"/>
      <c r="R77"/>
      <c r="S77"/>
      <c r="T77"/>
      <c r="U77"/>
      <c r="V77"/>
      <c r="W77"/>
      <c r="X77"/>
    </row>
    <row r="78" spans="1:24">
      <c r="A78" s="284"/>
      <c r="B78" s="283"/>
      <c r="C78" s="266"/>
      <c r="D78" s="266"/>
      <c r="E78" s="268"/>
      <c r="F78" s="268"/>
      <c r="G78" s="265"/>
      <c r="H78" s="265"/>
      <c r="I78" s="265"/>
      <c r="J78" s="265"/>
      <c r="K78" s="265"/>
      <c r="L78" s="281"/>
      <c r="M78" s="281"/>
      <c r="N78" s="281"/>
      <c r="O78" s="262"/>
      <c r="P78"/>
      <c r="Q78"/>
      <c r="R78"/>
      <c r="S78"/>
      <c r="T78"/>
      <c r="U78"/>
      <c r="V78"/>
      <c r="W78"/>
      <c r="X78"/>
    </row>
    <row r="79" spans="1:24" ht="45">
      <c r="A79" s="309" t="s">
        <v>489</v>
      </c>
      <c r="B79" s="308"/>
      <c r="C79" s="308"/>
      <c r="D79" s="308"/>
      <c r="E79" s="306" t="s">
        <v>5</v>
      </c>
      <c r="F79" s="307" t="s">
        <v>488</v>
      </c>
      <c r="G79" s="305" t="s">
        <v>487</v>
      </c>
      <c r="H79" s="306" t="s">
        <v>6</v>
      </c>
      <c r="I79" s="307" t="s">
        <v>486</v>
      </c>
      <c r="J79" s="305" t="s">
        <v>485</v>
      </c>
      <c r="K79" s="306" t="s">
        <v>484</v>
      </c>
      <c r="L79" s="305" t="s">
        <v>573</v>
      </c>
      <c r="M79" s="304" t="s">
        <v>482</v>
      </c>
      <c r="N79" s="303" t="s">
        <v>481</v>
      </c>
      <c r="O79" s="262"/>
      <c r="P79"/>
      <c r="Q79"/>
      <c r="R79"/>
      <c r="S79"/>
      <c r="T79"/>
      <c r="U79"/>
      <c r="V79"/>
      <c r="W79"/>
      <c r="X79"/>
    </row>
    <row r="80" spans="1:24">
      <c r="A80" s="302"/>
      <c r="B80" s="301"/>
      <c r="C80" s="301"/>
      <c r="D80" s="301"/>
      <c r="E80" s="301"/>
      <c r="F80" s="301"/>
      <c r="G80" s="300"/>
      <c r="H80" s="301"/>
      <c r="I80" s="301"/>
      <c r="J80" s="300"/>
      <c r="K80" s="301"/>
      <c r="L80" s="300"/>
      <c r="M80" s="265"/>
      <c r="N80" s="299"/>
      <c r="O80" s="262"/>
      <c r="P80"/>
      <c r="Q80"/>
      <c r="R80"/>
      <c r="S80"/>
      <c r="T80"/>
      <c r="U80"/>
      <c r="V80"/>
      <c r="W80"/>
      <c r="X80"/>
    </row>
    <row r="81" spans="1:24">
      <c r="A81" s="291" t="s">
        <v>480</v>
      </c>
      <c r="B81" s="263"/>
      <c r="C81" s="422" t="s">
        <v>590</v>
      </c>
      <c r="D81" s="423" t="s">
        <v>594</v>
      </c>
      <c r="E81" s="387">
        <v>8275312.0261538476</v>
      </c>
      <c r="F81" s="386">
        <f>+$N$36</f>
        <v>3.4596091288160068E-2</v>
      </c>
      <c r="G81" s="383">
        <f>E81*F81</f>
        <v>286293.45029482734</v>
      </c>
      <c r="H81" s="387">
        <v>7778981.9514391012</v>
      </c>
      <c r="I81" s="386">
        <f>+$N$49</f>
        <v>0.11277596949841495</v>
      </c>
      <c r="J81" s="385">
        <f>H81*I81</f>
        <v>877282.23128421651</v>
      </c>
      <c r="K81" s="387">
        <v>206793</v>
      </c>
      <c r="L81" s="385">
        <f>G81+J81+K81</f>
        <v>1370368.6815790439</v>
      </c>
      <c r="M81" s="387">
        <v>384432.4411350633</v>
      </c>
      <c r="N81" s="383">
        <f>L81+M81</f>
        <v>1754801.1227141072</v>
      </c>
      <c r="O81" s="262"/>
      <c r="P81"/>
      <c r="Q81"/>
      <c r="R81"/>
      <c r="S81"/>
      <c r="T81"/>
      <c r="U81"/>
      <c r="V81"/>
      <c r="W81"/>
      <c r="X81"/>
    </row>
    <row r="82" spans="1:24">
      <c r="A82" s="291"/>
      <c r="B82" s="263"/>
      <c r="C82" s="262"/>
      <c r="D82" s="290"/>
      <c r="E82" s="262"/>
      <c r="F82" s="262"/>
      <c r="G82" s="289"/>
      <c r="H82" s="262"/>
      <c r="I82" s="262"/>
      <c r="J82" s="289"/>
      <c r="K82" s="262"/>
      <c r="L82" s="289"/>
      <c r="M82" s="262"/>
      <c r="N82" s="289"/>
      <c r="O82" s="262"/>
      <c r="P82"/>
      <c r="Q82"/>
      <c r="R82"/>
      <c r="S82"/>
      <c r="T82"/>
      <c r="U82"/>
      <c r="V82"/>
      <c r="W82"/>
      <c r="X82"/>
    </row>
    <row r="83" spans="1:24">
      <c r="A83" s="288"/>
      <c r="B83" s="287"/>
      <c r="C83" s="286"/>
      <c r="D83" s="286"/>
      <c r="E83" s="286"/>
      <c r="F83" s="286"/>
      <c r="G83" s="285"/>
      <c r="H83" s="286"/>
      <c r="I83" s="286"/>
      <c r="J83" s="285"/>
      <c r="K83" s="286"/>
      <c r="L83" s="285"/>
      <c r="M83" s="286"/>
      <c r="N83" s="285"/>
      <c r="O83" s="262"/>
      <c r="P83"/>
      <c r="Q83"/>
      <c r="R83"/>
      <c r="S83"/>
      <c r="T83"/>
      <c r="U83"/>
      <c r="V83"/>
      <c r="W83"/>
      <c r="X83"/>
    </row>
    <row r="84" spans="1:24">
      <c r="A84" s="284" t="s">
        <v>479</v>
      </c>
      <c r="B84" s="283"/>
      <c r="C84" s="266" t="s">
        <v>478</v>
      </c>
      <c r="D84" s="266"/>
      <c r="E84" s="268"/>
      <c r="F84" s="268"/>
      <c r="G84" s="265"/>
      <c r="H84" s="265"/>
      <c r="I84" s="265"/>
      <c r="J84" s="265"/>
      <c r="K84" s="265"/>
      <c r="L84" s="281">
        <f>SUM(L81:L81)</f>
        <v>1370368.6815790439</v>
      </c>
      <c r="M84" s="281">
        <f>SUM(M81:M81)</f>
        <v>384432.4411350633</v>
      </c>
      <c r="N84" s="281">
        <f>SUM(N81:N81)</f>
        <v>1754801.1227141072</v>
      </c>
      <c r="O84" s="262"/>
      <c r="P84"/>
      <c r="Q84"/>
      <c r="R84"/>
      <c r="S84"/>
      <c r="T84"/>
      <c r="U84"/>
      <c r="V84"/>
      <c r="W84"/>
      <c r="X84"/>
    </row>
    <row r="85" spans="1:24">
      <c r="A85" s="284"/>
      <c r="B85" s="283"/>
      <c r="C85" s="266"/>
      <c r="D85" s="266"/>
      <c r="E85" s="268"/>
      <c r="F85" s="268"/>
      <c r="G85" s="265"/>
      <c r="H85" s="265"/>
      <c r="I85" s="265"/>
      <c r="J85" s="265"/>
      <c r="K85" s="265"/>
      <c r="L85" s="281"/>
      <c r="M85" s="281"/>
      <c r="N85" s="281"/>
      <c r="O85" s="262"/>
      <c r="P85"/>
      <c r="Q85"/>
      <c r="R85"/>
      <c r="S85"/>
      <c r="T85"/>
      <c r="U85"/>
      <c r="V85"/>
      <c r="W85"/>
      <c r="X85"/>
    </row>
    <row r="86" spans="1:24">
      <c r="A86" s="282">
        <v>5</v>
      </c>
      <c r="B86" s="262"/>
      <c r="C86" s="266" t="s">
        <v>572</v>
      </c>
      <c r="D86" s="262"/>
      <c r="E86" s="262"/>
      <c r="F86" s="262"/>
      <c r="G86" s="262"/>
      <c r="H86" s="262"/>
      <c r="I86" s="262"/>
      <c r="J86" s="262"/>
      <c r="K86" s="262"/>
      <c r="L86" s="281">
        <f>L76+L84</f>
        <v>10677960.853367599</v>
      </c>
      <c r="M86" s="281">
        <f>M76+M84</f>
        <v>-2655555.2925615157</v>
      </c>
      <c r="N86" s="281">
        <f>N76+N84</f>
        <v>8022405.5608060835</v>
      </c>
      <c r="O86" s="262"/>
      <c r="P86"/>
      <c r="Q86"/>
      <c r="R86"/>
      <c r="S86"/>
      <c r="T86"/>
      <c r="U86"/>
      <c r="V86"/>
      <c r="W86"/>
      <c r="X86"/>
    </row>
    <row r="87" spans="1:24">
      <c r="A87" s="262"/>
      <c r="B87" s="262"/>
      <c r="C87" s="262"/>
      <c r="D87" s="262"/>
      <c r="E87" s="262"/>
      <c r="F87" s="262"/>
      <c r="G87" s="262"/>
      <c r="H87" s="262"/>
      <c r="I87" s="262"/>
      <c r="J87" s="262"/>
      <c r="K87" s="262"/>
      <c r="L87" s="262"/>
      <c r="M87" s="262"/>
      <c r="N87" s="262"/>
      <c r="O87" s="262"/>
      <c r="P87"/>
      <c r="Q87"/>
      <c r="R87"/>
      <c r="S87"/>
      <c r="T87"/>
      <c r="U87"/>
      <c r="V87"/>
      <c r="W87"/>
      <c r="X87"/>
    </row>
    <row r="88" spans="1:24">
      <c r="A88" s="262"/>
      <c r="B88" s="262"/>
      <c r="C88" s="262"/>
      <c r="D88" s="262"/>
      <c r="E88" s="262"/>
      <c r="F88" s="262"/>
      <c r="G88" s="262"/>
      <c r="H88" s="262"/>
      <c r="I88" s="262"/>
      <c r="J88" s="262"/>
      <c r="K88" s="262"/>
      <c r="L88" s="262"/>
      <c r="M88" s="262"/>
      <c r="N88" s="262"/>
      <c r="O88" s="262"/>
      <c r="P88"/>
      <c r="Q88"/>
      <c r="R88"/>
      <c r="S88"/>
      <c r="T88"/>
      <c r="U88"/>
      <c r="V88"/>
      <c r="W88"/>
      <c r="X88"/>
    </row>
    <row r="89" spans="1:24">
      <c r="A89" s="266" t="s">
        <v>16</v>
      </c>
      <c r="B89" s="262"/>
      <c r="C89" s="262"/>
      <c r="D89" s="262"/>
      <c r="E89" s="262"/>
      <c r="F89" s="262"/>
      <c r="G89" s="262"/>
      <c r="H89" s="262"/>
      <c r="I89" s="262"/>
      <c r="J89" s="262"/>
      <c r="K89" s="262"/>
      <c r="L89" s="262"/>
      <c r="M89" s="262"/>
      <c r="N89" s="262"/>
      <c r="O89" s="262"/>
      <c r="P89"/>
      <c r="Q89"/>
      <c r="R89"/>
      <c r="S89"/>
      <c r="T89"/>
      <c r="U89"/>
      <c r="V89"/>
      <c r="W89"/>
      <c r="X89"/>
    </row>
    <row r="90" spans="1:24" ht="15.6" thickBot="1">
      <c r="A90" s="280" t="s">
        <v>17</v>
      </c>
      <c r="B90" s="262"/>
      <c r="C90" s="262"/>
      <c r="D90" s="262"/>
      <c r="E90" s="262"/>
      <c r="F90" s="262"/>
      <c r="G90" s="262"/>
      <c r="H90" s="262"/>
      <c r="I90" s="262"/>
      <c r="J90" s="262"/>
      <c r="K90" s="262"/>
      <c r="L90" s="262"/>
      <c r="M90" s="262"/>
      <c r="N90" s="262"/>
      <c r="O90" s="262"/>
      <c r="P90"/>
      <c r="Q90"/>
      <c r="R90"/>
      <c r="S90"/>
      <c r="T90"/>
      <c r="U90"/>
      <c r="V90"/>
      <c r="W90"/>
      <c r="X90"/>
    </row>
    <row r="91" spans="1:24">
      <c r="A91" s="277" t="s">
        <v>18</v>
      </c>
      <c r="B91" s="278"/>
      <c r="C91" s="458" t="s">
        <v>571</v>
      </c>
      <c r="D91" s="459"/>
      <c r="E91" s="459"/>
      <c r="F91" s="459"/>
      <c r="G91" s="459"/>
      <c r="H91" s="459"/>
      <c r="I91" s="459"/>
      <c r="J91" s="459"/>
      <c r="K91" s="459"/>
      <c r="L91" s="459"/>
      <c r="M91" s="459"/>
      <c r="N91" s="459"/>
      <c r="O91" s="262"/>
      <c r="P91"/>
      <c r="Q91"/>
      <c r="R91"/>
      <c r="S91"/>
      <c r="T91"/>
      <c r="U91"/>
      <c r="V91"/>
      <c r="W91"/>
      <c r="X91"/>
    </row>
    <row r="92" spans="1:24">
      <c r="A92" s="277" t="s">
        <v>19</v>
      </c>
      <c r="B92" s="278"/>
      <c r="C92" s="458" t="s">
        <v>570</v>
      </c>
      <c r="D92" s="459"/>
      <c r="E92" s="459"/>
      <c r="F92" s="459"/>
      <c r="G92" s="459"/>
      <c r="H92" s="459"/>
      <c r="I92" s="459"/>
      <c r="J92" s="459"/>
      <c r="K92" s="459"/>
      <c r="L92" s="459"/>
      <c r="M92" s="459"/>
      <c r="N92" s="459"/>
      <c r="O92" s="262"/>
      <c r="P92"/>
      <c r="Q92"/>
      <c r="R92"/>
      <c r="S92"/>
      <c r="T92"/>
      <c r="U92"/>
      <c r="V92"/>
      <c r="W92"/>
      <c r="X92"/>
    </row>
    <row r="93" spans="1:24" ht="33" customHeight="1">
      <c r="A93" s="279" t="s">
        <v>20</v>
      </c>
      <c r="B93" s="278"/>
      <c r="C93" s="460" t="s">
        <v>569</v>
      </c>
      <c r="D93" s="461"/>
      <c r="E93" s="461"/>
      <c r="F93" s="461"/>
      <c r="G93" s="461"/>
      <c r="H93" s="461"/>
      <c r="I93" s="461"/>
      <c r="J93" s="461"/>
      <c r="K93" s="461"/>
      <c r="L93" s="461"/>
      <c r="M93" s="461"/>
      <c r="N93" s="461"/>
      <c r="O93" s="262"/>
      <c r="P93"/>
      <c r="Q93"/>
      <c r="R93"/>
      <c r="S93"/>
      <c r="T93"/>
      <c r="U93"/>
      <c r="V93"/>
      <c r="W93"/>
      <c r="X93"/>
    </row>
    <row r="94" spans="1:24" ht="18" customHeight="1">
      <c r="A94" s="277" t="s">
        <v>21</v>
      </c>
      <c r="B94" s="278"/>
      <c r="C94" s="462" t="s">
        <v>568</v>
      </c>
      <c r="D94" s="463"/>
      <c r="E94" s="463"/>
      <c r="F94" s="463"/>
      <c r="G94" s="463"/>
      <c r="H94" s="463"/>
      <c r="I94" s="463"/>
      <c r="J94" s="463"/>
      <c r="K94" s="463"/>
      <c r="L94" s="463"/>
      <c r="M94" s="463"/>
      <c r="N94" s="463"/>
      <c r="O94" s="262"/>
      <c r="P94"/>
      <c r="Q94"/>
      <c r="R94"/>
      <c r="S94"/>
      <c r="T94"/>
      <c r="U94"/>
      <c r="V94"/>
      <c r="W94"/>
      <c r="X94"/>
    </row>
    <row r="95" spans="1:24">
      <c r="A95" s="277" t="s">
        <v>22</v>
      </c>
      <c r="B95" s="276"/>
      <c r="C95" s="458" t="s">
        <v>567</v>
      </c>
      <c r="D95" s="459"/>
      <c r="E95" s="459"/>
      <c r="F95" s="459"/>
      <c r="G95" s="459"/>
      <c r="H95" s="459"/>
      <c r="I95" s="459"/>
      <c r="J95" s="459"/>
      <c r="K95" s="459"/>
      <c r="L95" s="459"/>
      <c r="M95" s="459"/>
      <c r="N95" s="459"/>
      <c r="O95" s="262"/>
      <c r="P95"/>
      <c r="Q95"/>
      <c r="R95"/>
      <c r="S95"/>
      <c r="T95"/>
      <c r="U95"/>
      <c r="V95"/>
      <c r="W95"/>
      <c r="X95"/>
    </row>
    <row r="96" spans="1:24">
      <c r="A96" s="277" t="s">
        <v>23</v>
      </c>
      <c r="B96" s="276"/>
      <c r="C96" s="458" t="s">
        <v>566</v>
      </c>
      <c r="D96" s="459"/>
      <c r="E96" s="459"/>
      <c r="F96" s="459"/>
      <c r="G96" s="459"/>
      <c r="H96" s="459"/>
      <c r="I96" s="459"/>
      <c r="J96" s="459"/>
      <c r="K96" s="459"/>
      <c r="L96" s="459"/>
      <c r="M96" s="459"/>
      <c r="N96" s="459"/>
      <c r="O96" s="262"/>
      <c r="P96"/>
      <c r="Q96"/>
      <c r="R96"/>
      <c r="S96"/>
      <c r="T96"/>
      <c r="U96"/>
      <c r="V96"/>
      <c r="W96"/>
      <c r="X96"/>
    </row>
    <row r="97" spans="1:24">
      <c r="A97" s="277" t="s">
        <v>24</v>
      </c>
      <c r="B97" s="276"/>
      <c r="C97" s="458" t="s">
        <v>565</v>
      </c>
      <c r="D97" s="459"/>
      <c r="E97" s="459"/>
      <c r="F97" s="459"/>
      <c r="G97" s="459"/>
      <c r="H97" s="459"/>
      <c r="I97" s="459"/>
      <c r="J97" s="459"/>
      <c r="K97" s="459"/>
      <c r="L97" s="459"/>
      <c r="M97" s="459"/>
      <c r="N97" s="459"/>
      <c r="O97" s="262"/>
      <c r="P97"/>
      <c r="Q97"/>
      <c r="R97"/>
      <c r="S97"/>
      <c r="T97"/>
      <c r="U97"/>
      <c r="V97"/>
      <c r="W97"/>
      <c r="X97"/>
    </row>
    <row r="98" spans="1:24" ht="17.25" customHeight="1">
      <c r="A98" s="275" t="s">
        <v>320</v>
      </c>
      <c r="B98" s="262"/>
      <c r="C98" s="458" t="s">
        <v>564</v>
      </c>
      <c r="D98" s="459"/>
      <c r="E98" s="459"/>
      <c r="F98" s="459"/>
      <c r="G98" s="459"/>
      <c r="H98" s="459"/>
      <c r="I98" s="459"/>
      <c r="J98" s="459"/>
      <c r="K98" s="459"/>
      <c r="L98" s="459"/>
      <c r="M98" s="459"/>
      <c r="N98" s="459"/>
      <c r="O98" s="262"/>
      <c r="P98"/>
      <c r="Q98"/>
      <c r="R98"/>
      <c r="S98"/>
      <c r="T98"/>
      <c r="U98"/>
      <c r="V98"/>
      <c r="W98"/>
      <c r="X98"/>
    </row>
    <row r="99" spans="1:24" ht="15.6">
      <c r="A99" s="272"/>
      <c r="B99" s="271"/>
      <c r="C99" s="270"/>
      <c r="D99" s="269"/>
      <c r="E99" s="268"/>
      <c r="F99" s="268"/>
      <c r="G99" s="265"/>
      <c r="H99" s="266"/>
      <c r="I99" s="266"/>
      <c r="J99" s="267"/>
      <c r="K99" s="266"/>
      <c r="L99" s="263"/>
      <c r="M99" s="265"/>
      <c r="N99" s="273"/>
      <c r="O99" s="262"/>
      <c r="P99"/>
      <c r="Q99"/>
      <c r="R99"/>
      <c r="S99"/>
      <c r="T99"/>
      <c r="U99"/>
      <c r="V99"/>
      <c r="W99"/>
      <c r="X99"/>
    </row>
    <row r="100" spans="1:24" ht="15.6">
      <c r="A100" s="272"/>
      <c r="B100" s="271"/>
      <c r="C100" s="270"/>
      <c r="D100" s="269"/>
      <c r="E100" s="268"/>
      <c r="F100" s="268"/>
      <c r="G100" s="265"/>
      <c r="H100" s="266"/>
      <c r="I100" s="266"/>
      <c r="J100" s="267"/>
      <c r="K100" s="266"/>
      <c r="L100" s="263"/>
      <c r="M100" s="265"/>
      <c r="N100" s="264"/>
      <c r="O100" s="262"/>
      <c r="P100"/>
      <c r="Q100"/>
      <c r="R100"/>
      <c r="S100"/>
      <c r="T100"/>
      <c r="U100"/>
      <c r="V100"/>
      <c r="W100"/>
      <c r="X100"/>
    </row>
    <row r="101" spans="1:24">
      <c r="A101" s="263"/>
      <c r="B101" s="263"/>
      <c r="C101" s="262"/>
      <c r="D101" s="262"/>
      <c r="E101" s="262"/>
      <c r="F101" s="262"/>
      <c r="G101" s="262"/>
      <c r="H101" s="262"/>
      <c r="I101" s="262"/>
      <c r="J101" s="262"/>
      <c r="K101" s="262"/>
      <c r="L101" s="262"/>
      <c r="M101" s="262"/>
      <c r="N101" s="262"/>
      <c r="O101" s="262"/>
      <c r="P101"/>
      <c r="Q101"/>
      <c r="R101"/>
      <c r="S101"/>
      <c r="T101"/>
      <c r="U101"/>
      <c r="V101"/>
      <c r="W101"/>
      <c r="X101"/>
    </row>
  </sheetData>
  <mergeCells count="8">
    <mergeCell ref="C97:N97"/>
    <mergeCell ref="C98:N98"/>
    <mergeCell ref="C91:N91"/>
    <mergeCell ref="C92:N92"/>
    <mergeCell ref="C93:N93"/>
    <mergeCell ref="C94:N94"/>
    <mergeCell ref="C95:N95"/>
    <mergeCell ref="C96:N96"/>
  </mergeCells>
  <pageMargins left="0.2" right="0.2" top="0.75" bottom="0.5" header="0.3" footer="0.3"/>
  <pageSetup scale="47" fitToHeight="0" orientation="landscape" r:id="rId1"/>
  <headerFooter>
    <oddFooter>&amp;RV30
EFF 11.19.13</oddFooter>
  </headerFooter>
  <rowBreaks count="1" manualBreakCount="1">
    <brk id="5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MP Attach O</vt:lpstr>
      <vt:lpstr>MP Attach GG</vt:lpstr>
      <vt:lpstr>MP Attach ZZ</vt:lpstr>
      <vt:lpstr>'MP Attach GG'!Print_Area</vt:lpstr>
      <vt:lpstr>'MP Attach O'!Print_Area</vt:lpstr>
      <vt:lpstr>'MP Attach ZZ'!Print_Area</vt:lpstr>
    </vt:vector>
  </TitlesOfParts>
  <Company>American Transmission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NewImage</cp:lastModifiedBy>
  <cp:lastPrinted>2013-08-03T19:06:12Z</cp:lastPrinted>
  <dcterms:created xsi:type="dcterms:W3CDTF">2009-07-01T14:12:33Z</dcterms:created>
  <dcterms:modified xsi:type="dcterms:W3CDTF">2017-08-21T19:56:55Z</dcterms:modified>
</cp:coreProperties>
</file>