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2020" windowHeight="10344" tabRatio="805"/>
  </bookViews>
  <sheets>
    <sheet name="2016 TU" sheetId="6" r:id="rId1"/>
    <sheet name="2016 GG TU Weighted ROE" sheetId="14" r:id="rId2"/>
    <sheet name="2016 ZZ TU Weighted ROE" sheetId="18" r:id="rId3"/>
    <sheet name="Interest Rates" sheetId="17" r:id="rId4"/>
    <sheet name="List of ROE by TO" sheetId="16" r:id="rId5"/>
  </sheets>
  <definedNames>
    <definedName name="_xlnm.Print_Area" localSheetId="1">'2016 GG TU Weighted ROE'!$B$1:$L$81</definedName>
    <definedName name="_xlnm.Print_Area" localSheetId="0">'2016 TU'!$A$1:$M$115</definedName>
    <definedName name="_xlnm.Print_Area" localSheetId="2">'2016 ZZ TU Weighted ROE'!$B$1:$Y$71</definedName>
    <definedName name="_xlnm.Print_Area" localSheetId="3">'Interest Rates'!$A$1:$G$39</definedName>
    <definedName name="_xlnm.Print_Titles" localSheetId="0">'2016 TU'!$G:$G</definedName>
  </definedNames>
  <calcPr calcId="145621" iterate="1"/>
</workbook>
</file>

<file path=xl/calcChain.xml><?xml version="1.0" encoding="utf-8"?>
<calcChain xmlns="http://schemas.openxmlformats.org/spreadsheetml/2006/main">
  <c r="L99" i="6" l="1"/>
  <c r="K99" i="6"/>
  <c r="E107" i="6"/>
  <c r="D99" i="6"/>
  <c r="C99" i="6"/>
  <c r="R17" i="18"/>
  <c r="G36" i="17" l="1"/>
  <c r="F36" i="17"/>
  <c r="E36" i="17"/>
  <c r="D36" i="17"/>
  <c r="A34" i="17"/>
  <c r="A33" i="17"/>
  <c r="A32" i="17"/>
  <c r="D31" i="17"/>
  <c r="A31" i="17"/>
  <c r="D30" i="17"/>
  <c r="A30" i="17"/>
  <c r="D29" i="17"/>
  <c r="A29" i="17"/>
  <c r="D28" i="17"/>
  <c r="A28" i="17"/>
  <c r="D27" i="17"/>
  <c r="A27" i="17"/>
  <c r="D26" i="17"/>
  <c r="A26" i="17"/>
  <c r="D25" i="17"/>
  <c r="A25" i="17"/>
  <c r="D24" i="17"/>
  <c r="A24" i="17"/>
  <c r="D23" i="17"/>
  <c r="A23" i="17"/>
  <c r="D22" i="17"/>
  <c r="A22" i="17"/>
  <c r="D21" i="17"/>
  <c r="A21" i="17"/>
  <c r="D20" i="17"/>
  <c r="A20" i="17"/>
  <c r="D19" i="17"/>
  <c r="A19" i="17"/>
  <c r="D18" i="17"/>
  <c r="A18" i="17"/>
  <c r="D17" i="17"/>
  <c r="A17" i="17"/>
  <c r="D16" i="17"/>
  <c r="A12" i="17"/>
  <c r="H67" i="18"/>
  <c r="F67" i="18"/>
  <c r="F69" i="18" s="1"/>
  <c r="D67" i="18"/>
  <c r="C67" i="18"/>
  <c r="U66" i="18"/>
  <c r="U69" i="18" s="1"/>
  <c r="S66" i="18"/>
  <c r="Q66" i="18"/>
  <c r="P66" i="18"/>
  <c r="H66" i="18"/>
  <c r="H69" i="18" s="1"/>
  <c r="F66" i="18"/>
  <c r="D66" i="18"/>
  <c r="C66" i="18"/>
  <c r="R64" i="18"/>
  <c r="E64" i="18"/>
  <c r="Q52" i="18"/>
  <c r="D52" i="18"/>
  <c r="U47" i="18"/>
  <c r="S47" i="18"/>
  <c r="H47" i="18"/>
  <c r="F47" i="18"/>
  <c r="G45" i="18"/>
  <c r="I45" i="18" s="1"/>
  <c r="D45" i="18"/>
  <c r="C45" i="18"/>
  <c r="T44" i="18"/>
  <c r="Q44" i="18"/>
  <c r="P44" i="18"/>
  <c r="G44" i="18"/>
  <c r="G47" i="18" s="1"/>
  <c r="D44" i="18"/>
  <c r="C44" i="18"/>
  <c r="R42" i="18"/>
  <c r="E42" i="18"/>
  <c r="Q30" i="18"/>
  <c r="D30" i="18"/>
  <c r="S28" i="18"/>
  <c r="F28" i="18"/>
  <c r="U22" i="18"/>
  <c r="S22" i="18"/>
  <c r="H22" i="18"/>
  <c r="F22" i="18"/>
  <c r="G20" i="18" s="1"/>
  <c r="I20" i="18" s="1"/>
  <c r="V20" i="18"/>
  <c r="T19" i="18"/>
  <c r="T22" i="18" s="1"/>
  <c r="E17" i="18"/>
  <c r="Q6" i="18"/>
  <c r="D6" i="18"/>
  <c r="S4" i="18"/>
  <c r="F4" i="18"/>
  <c r="J81" i="14"/>
  <c r="L80" i="14"/>
  <c r="K80" i="14"/>
  <c r="I80" i="14"/>
  <c r="H79" i="14"/>
  <c r="G79" i="14"/>
  <c r="F79" i="14"/>
  <c r="L77" i="14"/>
  <c r="K77" i="14"/>
  <c r="J77" i="14"/>
  <c r="I77" i="14"/>
  <c r="H77" i="14"/>
  <c r="G77" i="14"/>
  <c r="F77" i="14"/>
  <c r="D77" i="14"/>
  <c r="C77" i="14"/>
  <c r="L76" i="14"/>
  <c r="K76" i="14"/>
  <c r="J76" i="14"/>
  <c r="I76" i="14"/>
  <c r="H76" i="14"/>
  <c r="G76" i="14"/>
  <c r="F76" i="14"/>
  <c r="D76" i="14"/>
  <c r="C76" i="14"/>
  <c r="L75" i="14"/>
  <c r="K75" i="14"/>
  <c r="J75" i="14"/>
  <c r="I75" i="14"/>
  <c r="H75" i="14"/>
  <c r="G75" i="14"/>
  <c r="F75" i="14"/>
  <c r="D75" i="14"/>
  <c r="C75" i="14"/>
  <c r="L74" i="14"/>
  <c r="K74" i="14"/>
  <c r="J74" i="14"/>
  <c r="I74" i="14"/>
  <c r="H74" i="14"/>
  <c r="G74" i="14"/>
  <c r="F74" i="14"/>
  <c r="D74" i="14"/>
  <c r="C74" i="14"/>
  <c r="L73" i="14"/>
  <c r="K73" i="14"/>
  <c r="J73" i="14"/>
  <c r="I73" i="14"/>
  <c r="H73" i="14"/>
  <c r="G73" i="14"/>
  <c r="F73" i="14"/>
  <c r="D73" i="14"/>
  <c r="C73" i="14"/>
  <c r="E71" i="14"/>
  <c r="D59" i="14"/>
  <c r="I55" i="14"/>
  <c r="H54" i="14"/>
  <c r="G54" i="14"/>
  <c r="F54" i="14"/>
  <c r="I52" i="14"/>
  <c r="G52" i="14"/>
  <c r="D52" i="14"/>
  <c r="C52" i="14"/>
  <c r="I51" i="14"/>
  <c r="G51" i="14"/>
  <c r="D51" i="14"/>
  <c r="C51" i="14"/>
  <c r="I50" i="14"/>
  <c r="G50" i="14"/>
  <c r="D50" i="14"/>
  <c r="C50" i="14"/>
  <c r="I49" i="14"/>
  <c r="G49" i="14"/>
  <c r="D49" i="14"/>
  <c r="C49" i="14"/>
  <c r="I48" i="14"/>
  <c r="G48" i="14"/>
  <c r="D48" i="14"/>
  <c r="C48" i="14"/>
  <c r="E46" i="14"/>
  <c r="D34" i="14"/>
  <c r="F32" i="14"/>
  <c r="I27" i="14"/>
  <c r="H26" i="14"/>
  <c r="G26" i="14"/>
  <c r="F26" i="14"/>
  <c r="I24" i="14"/>
  <c r="G24" i="14"/>
  <c r="I23" i="14"/>
  <c r="G23" i="14"/>
  <c r="I22" i="14"/>
  <c r="G22" i="14"/>
  <c r="I21" i="14"/>
  <c r="G21" i="14"/>
  <c r="I20" i="14"/>
  <c r="G20" i="14"/>
  <c r="E18" i="14"/>
  <c r="D7" i="14"/>
  <c r="F5" i="14"/>
  <c r="M105" i="6"/>
  <c r="E105" i="6"/>
  <c r="L101" i="6"/>
  <c r="K101" i="6"/>
  <c r="D101" i="6"/>
  <c r="C101" i="6"/>
  <c r="L100" i="6"/>
  <c r="K100" i="6"/>
  <c r="D100" i="6"/>
  <c r="C100" i="6"/>
  <c r="L98" i="6"/>
  <c r="K98" i="6"/>
  <c r="D98" i="6"/>
  <c r="C98" i="6"/>
  <c r="G88" i="6"/>
  <c r="F88" i="6"/>
  <c r="E88" i="6"/>
  <c r="E86" i="6"/>
  <c r="E85" i="6"/>
  <c r="E82" i="6"/>
  <c r="E80" i="6"/>
  <c r="E76" i="6"/>
  <c r="D76" i="6"/>
  <c r="C76" i="6"/>
  <c r="D75" i="6"/>
  <c r="C75" i="6"/>
  <c r="D74" i="6"/>
  <c r="C74" i="6"/>
  <c r="D73" i="6"/>
  <c r="C73" i="6"/>
  <c r="M66" i="6"/>
  <c r="E66" i="6"/>
  <c r="M64" i="6"/>
  <c r="E64" i="6"/>
  <c r="M63" i="6"/>
  <c r="E63" i="6"/>
  <c r="M61" i="6"/>
  <c r="E61" i="6"/>
  <c r="M58" i="6"/>
  <c r="E58" i="6"/>
  <c r="M56" i="6"/>
  <c r="L56" i="6"/>
  <c r="K56" i="6"/>
  <c r="E56" i="6"/>
  <c r="D56" i="6"/>
  <c r="C56" i="6"/>
  <c r="L55" i="6"/>
  <c r="K55" i="6"/>
  <c r="D55" i="6"/>
  <c r="C55" i="6"/>
  <c r="L54" i="6"/>
  <c r="K54" i="6"/>
  <c r="D54" i="6"/>
  <c r="C54" i="6"/>
  <c r="M52" i="6"/>
  <c r="E52" i="6"/>
  <c r="M48" i="6"/>
  <c r="L48" i="6"/>
  <c r="K48" i="6"/>
  <c r="E48" i="6"/>
  <c r="D48" i="6"/>
  <c r="C48" i="6"/>
  <c r="M46" i="6"/>
  <c r="L46" i="6"/>
  <c r="K46" i="6"/>
  <c r="E46" i="6"/>
  <c r="D46" i="6"/>
  <c r="C46" i="6"/>
  <c r="L45" i="6"/>
  <c r="K45" i="6"/>
  <c r="D45" i="6"/>
  <c r="C45" i="6"/>
  <c r="M42" i="6"/>
  <c r="L42" i="6"/>
  <c r="K42" i="6"/>
  <c r="E42" i="6"/>
  <c r="D42" i="6"/>
  <c r="C42" i="6"/>
  <c r="L41" i="6"/>
  <c r="K41" i="6"/>
  <c r="D41" i="6"/>
  <c r="C41" i="6"/>
  <c r="L39" i="6"/>
  <c r="K39" i="6"/>
  <c r="D39" i="6"/>
  <c r="C39" i="6"/>
  <c r="F34" i="6"/>
  <c r="D34" i="6"/>
  <c r="F33" i="6"/>
  <c r="E33" i="6"/>
  <c r="F29" i="6"/>
  <c r="E29" i="6"/>
  <c r="D10" i="6"/>
  <c r="C10" i="6"/>
  <c r="D9" i="6"/>
  <c r="C9" i="6"/>
  <c r="C1" i="6"/>
  <c r="M101" i="6" l="1"/>
  <c r="M107" i="6" s="1"/>
  <c r="M109" i="6" s="1"/>
  <c r="M110" i="6" s="1"/>
  <c r="M112" i="6" s="1"/>
  <c r="E101" i="6"/>
  <c r="E109" i="6" s="1"/>
  <c r="V44" i="18"/>
  <c r="V48" i="18" s="1"/>
  <c r="T47" i="18"/>
  <c r="G19" i="18"/>
  <c r="I19" i="18" s="1"/>
  <c r="S69" i="18"/>
  <c r="T66" i="18" s="1"/>
  <c r="V19" i="18"/>
  <c r="V23" i="18" s="1"/>
  <c r="I23" i="18"/>
  <c r="G67" i="18"/>
  <c r="I67" i="18" s="1"/>
  <c r="G22" i="18"/>
  <c r="I44" i="18"/>
  <c r="I48" i="18" s="1"/>
  <c r="G66" i="18"/>
  <c r="E110" i="6" l="1"/>
  <c r="E112" i="6" s="1"/>
  <c r="T69" i="18"/>
  <c r="V66" i="18"/>
  <c r="I66" i="18"/>
  <c r="G69" i="18"/>
  <c r="V70" i="18" l="1"/>
  <c r="W71" i="18" s="1"/>
  <c r="W66" i="18" s="1"/>
  <c r="X66" i="18" s="1"/>
  <c r="I70" i="18"/>
  <c r="J71" i="18" s="1"/>
  <c r="X70" i="18" l="1"/>
  <c r="Y66" i="18"/>
  <c r="Y70" i="18" s="1"/>
  <c r="N112" i="6" s="1"/>
  <c r="O112" i="6" s="1"/>
  <c r="J67" i="18"/>
  <c r="K67" i="18" s="1"/>
  <c r="L67" i="18" s="1"/>
  <c r="J66" i="18"/>
  <c r="K66" i="18" s="1"/>
  <c r="K70" i="18" l="1"/>
  <c r="L66" i="18"/>
  <c r="L70" i="18" s="1"/>
  <c r="F112" i="6" s="1"/>
  <c r="G112" i="6" s="1"/>
</calcChain>
</file>

<file path=xl/sharedStrings.xml><?xml version="1.0" encoding="utf-8"?>
<sst xmlns="http://schemas.openxmlformats.org/spreadsheetml/2006/main" count="817" uniqueCount="230">
  <si>
    <t>Difference between Historic &amp; Projected Yr Divisor</t>
  </si>
  <si>
    <t>Prior Year Projected Annual Cost ($ per kw per yr)</t>
  </si>
  <si>
    <t>Total Under/(Over) Recovery</t>
  </si>
  <si>
    <t>Interest For 24 Months</t>
  </si>
  <si>
    <t>Percent of Revenue Received at ROE</t>
  </si>
  <si>
    <t>Total Days</t>
  </si>
  <si>
    <t>Revenue</t>
  </si>
  <si>
    <t>In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</si>
  <si>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</si>
  <si>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</si>
  <si>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</si>
  <si>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</si>
  <si>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</si>
  <si>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</si>
  <si>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</si>
  <si>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</si>
  <si>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</si>
  <si>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</si>
  <si>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Effective</t>
  </si>
  <si>
    <t>Total</t>
  </si>
  <si>
    <t>To be completed after the Attachment GG using actual data is completed for the True-Up Year</t>
  </si>
  <si>
    <t xml:space="preserve">Company Name:  </t>
  </si>
  <si>
    <t xml:space="preserve">True-Up Year:  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</si>
  <si>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</si>
  <si>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</si>
  <si>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</si>
  <si>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</si>
  <si>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</si>
  <si>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</si>
  <si>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</si>
  <si>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</si>
  <si>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</si>
  <si>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</si>
  <si>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</si>
  <si>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Actual</t>
  </si>
  <si>
    <t>Projected</t>
  </si>
  <si>
    <t>Attachment GG</t>
  </si>
  <si>
    <t>True-Up</t>
  </si>
  <si>
    <t>Applicable</t>
  </si>
  <si>
    <t>MTEP</t>
  </si>
  <si>
    <t>Annual</t>
  </si>
  <si>
    <t>Revenues</t>
  </si>
  <si>
    <t>Adjustment</t>
  </si>
  <si>
    <t>Interest</t>
  </si>
  <si>
    <t>Line</t>
  </si>
  <si>
    <t>Project</t>
  </si>
  <si>
    <t>Allocated</t>
  </si>
  <si>
    <t>Principal</t>
  </si>
  <si>
    <t>Rate on</t>
  </si>
  <si>
    <t>No.</t>
  </si>
  <si>
    <t>Name</t>
  </si>
  <si>
    <t>Number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</si>
  <si>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</si>
  <si>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</si>
  <si>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Under/(Over)</t>
  </si>
  <si>
    <t>[Col. (d), line 1</t>
  </si>
  <si>
    <t>x (Col. (e), line 2x /</t>
  </si>
  <si>
    <t>Col. (h) x Col. (i)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</si>
  <si>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</si>
  <si>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t>Col. (g) - Col. (f)</t>
  </si>
  <si>
    <t>Line 5</t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</si>
  <si>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</si>
  <si>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t>Col. (h) + Col. (j)</t>
  </si>
  <si>
    <r>
      <t xml:space="preserve">Actual Attachment GG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</si>
  <si>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2a</t>
  </si>
  <si>
    <t>2b</t>
  </si>
  <si>
    <t>2c</t>
  </si>
  <si>
    <t>Subtotal</t>
  </si>
  <si>
    <t>Under/(Over) Recovery</t>
  </si>
  <si>
    <t>Applicable Interest rate per month (expressed to four decimal places)</t>
  </si>
  <si>
    <t>1</t>
  </si>
  <si>
    <t>2</t>
  </si>
  <si>
    <t>Rounded to whole dollars.</t>
  </si>
  <si>
    <t>2f</t>
  </si>
  <si>
    <t>2g</t>
  </si>
  <si>
    <t>Annual Rate</t>
  </si>
  <si>
    <t xml:space="preserve">2016 Weighted Actual Rev Req </t>
  </si>
  <si>
    <t>Under/(Over) Collection of 2016 Divisor True-up</t>
  </si>
  <si>
    <t>November</t>
  </si>
  <si>
    <t>September 1 - 27</t>
  </si>
  <si>
    <t>September 28 - 30</t>
  </si>
  <si>
    <t>Interest Rates</t>
  </si>
  <si>
    <t>Monthly Rate</t>
  </si>
  <si>
    <t>2016 Days of the month Weightings - Schedule 9, 26 &amp; 26A</t>
  </si>
  <si>
    <t>Days in Month</t>
  </si>
  <si>
    <t>Int Rate on Over-Recovery (FERC)  (four decimal places)</t>
  </si>
  <si>
    <t>Int Rate on Under-Recovery (ST Debt) (four decimal places)</t>
  </si>
  <si>
    <t>Weighted Net Actual 2016 Rev Requirement</t>
  </si>
  <si>
    <t>Weighted Net Projected 2016 Rev Requirement</t>
  </si>
  <si>
    <t>Under/(Over) Collection of 2016 Weighted Net Rev Req</t>
  </si>
  <si>
    <t>Weighted Prior Yr projected Annual Cost ($ per kw per year)</t>
  </si>
  <si>
    <t>Total 2016 Attachment O True-up Under/(Over) Recovery</t>
  </si>
  <si>
    <t>Calculation of Weighted Rev Req for 2016 True-up</t>
  </si>
  <si>
    <t>Weighted Actual Attachment GG Rev Req for 2016 True-Up</t>
  </si>
  <si>
    <t>Under/(Over) Recovery of 2016 GG Rev Req</t>
  </si>
  <si>
    <t>Total 2016 Attachment GG True-up Under/(Over) Recovery</t>
  </si>
  <si>
    <t>Calculation of Weighted Rev Req for Revised 2016 True-up</t>
  </si>
  <si>
    <t>Calculation of 2016 Weighted Attachment O Rev Req</t>
  </si>
  <si>
    <t>2016 True-up Calculations</t>
  </si>
  <si>
    <t>Per FERC's 9/28/16 Order in EL14-12, the ROE was revised from 12.38% to 10.32% (plus adders as applicable)</t>
  </si>
  <si>
    <t>effective 9/28/16.  The table below calculates the percentage of the year 2016 applicable to each ROE.  These</t>
  </si>
  <si>
    <r>
      <t xml:space="preserve">2016 Attachment GG True-Up Adjustment - </t>
    </r>
    <r>
      <rPr>
        <b/>
        <sz val="14"/>
        <color rgb="FFFF0000"/>
        <rFont val="Calibri"/>
        <family val="2"/>
        <scheme val="minor"/>
      </rPr>
      <t>Weighted ROE</t>
    </r>
  </si>
  <si>
    <t>NIPSCO</t>
  </si>
  <si>
    <t>check - should tie to 2016 GG TU weighted ROE</t>
  </si>
  <si>
    <r>
      <t>Actual Attachment GG Revenues Received for 2016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</si>
  <si>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MM, page 2, column 15.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</si>
  <si>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GG by project True-up weighted for the two different ROEs in effect during 2016</t>
    </r>
  </si>
  <si>
    <t>ALLETE (MP)</t>
  </si>
  <si>
    <t>AMIL</t>
  </si>
  <si>
    <t>ATXI</t>
  </si>
  <si>
    <t>ATC</t>
  </si>
  <si>
    <t>ITC</t>
  </si>
  <si>
    <t>ITCM</t>
  </si>
  <si>
    <t>METC</t>
  </si>
  <si>
    <t>MEC</t>
  </si>
  <si>
    <t>MDU</t>
  </si>
  <si>
    <t>OTP</t>
  </si>
  <si>
    <t>SIGECO/Vectren</t>
  </si>
  <si>
    <t>GRE</t>
  </si>
  <si>
    <t>Marshall</t>
  </si>
  <si>
    <t>DPC</t>
  </si>
  <si>
    <t>RPU</t>
  </si>
  <si>
    <t>CMMPA</t>
  </si>
  <si>
    <t>PPI</t>
  </si>
  <si>
    <t>Wilmar</t>
  </si>
  <si>
    <t>MRES</t>
  </si>
  <si>
    <t>Original ROE</t>
  </si>
  <si>
    <t>New ROE</t>
  </si>
  <si>
    <t>Forward looking TOs impacted by September 28, 2016 change in ROE</t>
  </si>
  <si>
    <t>TO</t>
  </si>
  <si>
    <t>Note:  adder effective 2/1/16 - impact for second ROE docket , but not EL14-12</t>
  </si>
  <si>
    <t>2016 Attachment GG True-Up Adjustment</t>
  </si>
  <si>
    <t xml:space="preserve">2016 Attachment GG True-Up Adjustment 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</si>
  <si>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</t>
    </r>
  </si>
  <si>
    <t>2016 Rev Req at</t>
  </si>
  <si>
    <t xml:space="preserve">2016 Weighted </t>
  </si>
  <si>
    <t>Rev Req</t>
  </si>
  <si>
    <t>2016 Weighted Actual</t>
  </si>
  <si>
    <t>our standard abbreviations or check the last tab titled "List of ROE by TO"</t>
  </si>
  <si>
    <t>Adder effective 2/1/17 = 10.82%</t>
  </si>
  <si>
    <t>Company Name</t>
  </si>
  <si>
    <t>percentages are used to prorate the 2016 revenue requirement</t>
  </si>
  <si>
    <t>Monthly Interest Rate (Over collection = FERC rate, Under collection = company rate)</t>
  </si>
  <si>
    <t>NSP</t>
  </si>
  <si>
    <t>Aggregate</t>
  </si>
  <si>
    <t>Individual</t>
  </si>
  <si>
    <t>MM Int Calc</t>
  </si>
  <si>
    <t>Historic Year Actual Divisor for Transmission Owner (Attach O, Pg 1, Line 15)</t>
  </si>
  <si>
    <t>Proj'd Yr Divisor for Transmission Owner (Projected Attach O, Pg 1, Line 15)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</si>
  <si>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Amount excludes True-Up Adjustment, as reported in True-Up Year projected Attachment GG, page 2, column 11. </t>
    </r>
  </si>
  <si>
    <r>
      <t>Revenues</t>
    </r>
    <r>
      <rPr>
        <vertAlign val="superscript"/>
        <sz val="11"/>
        <rFont val="Calibri"/>
        <family val="2"/>
        <scheme val="minor"/>
      </rPr>
      <t xml:space="preserve"> 1</t>
    </r>
  </si>
  <si>
    <r>
      <t>Revenues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</si>
  <si>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average interest rates to be applied to the true-up calculations</t>
    </r>
  </si>
  <si>
    <t xml:space="preserve"> - Interest on over recovery will be based on FERC's regulation 18 C.F.R 35.19a</t>
  </si>
  <si>
    <t>-  The interest rate to be applied to the over or under recovery amounts will be determined</t>
  </si>
  <si>
    <t>Short-Term</t>
  </si>
  <si>
    <t>Annualized</t>
  </si>
  <si>
    <t>FERC Rate</t>
  </si>
  <si>
    <t>using the average rate for the nineteen (19) months preceding August of the current year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</si>
  <si>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Short Term debt costs/rates are capped at the applicble FERC refund interest rate</t>
    </r>
  </si>
  <si>
    <r>
      <t xml:space="preserve">Debt Rate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</si>
  <si>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font.  For "Company Name" be sure to use</t>
    </r>
  </si>
  <si>
    <t>Per Section VII.2 of the Annual True-up, Information Exchange and Challenge Procedures</t>
  </si>
  <si>
    <t>ST Debt Rate</t>
  </si>
  <si>
    <t>at the applicable FERC refund interest rate</t>
  </si>
  <si>
    <t>-  Interest on under recovery will be based on the actual short-term debt costs capped</t>
  </si>
  <si>
    <r>
      <rPr>
        <b/>
        <sz val="11"/>
        <rFont val="Calibri"/>
        <family val="2"/>
        <scheme val="minor"/>
      </rPr>
      <t>Instructions: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 Do not make any changes to this tab  </t>
    </r>
  </si>
  <si>
    <t>This tab provides information to to allow the worksheet to calculate correctly</t>
  </si>
  <si>
    <t>If you note something that appears incorrect, please contact MISO Tariff Pricing</t>
  </si>
  <si>
    <t>that are 2016 related</t>
  </si>
  <si>
    <t>Review FERC rates and notify MISO if any rate appears incorrect</t>
  </si>
  <si>
    <t>Percent of Projected Revenue at ROE</t>
  </si>
  <si>
    <t>Percent of Actual Revenue Requirement at ROE</t>
  </si>
  <si>
    <t>includes revised</t>
  </si>
  <si>
    <t>2014 TU info</t>
  </si>
  <si>
    <t>projections (incl</t>
  </si>
  <si>
    <t>revised 2014 TU)</t>
  </si>
  <si>
    <t>Use 2016 updated</t>
  </si>
  <si>
    <t>Assure info used</t>
  </si>
  <si>
    <t xml:space="preserve">2016 Attachment ZZ True-Up Adjustment </t>
  </si>
  <si>
    <t>To be completed after the Attachment ZZ using actual data is completed for the True-Up Year</t>
  </si>
  <si>
    <t>2016 Attachment ZZ True-Up Adjustment</t>
  </si>
  <si>
    <t>Attachment ZZ</t>
  </si>
  <si>
    <r>
      <t xml:space="preserve">Actual Attachment ZZ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</si>
  <si>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Actual Attachment ZZ 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</si>
  <si>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2016 Attachment ZZ True-Up Adjustment - </t>
    </r>
    <r>
      <rPr>
        <b/>
        <sz val="14"/>
        <color rgb="FFFF0000"/>
        <rFont val="Calibri"/>
        <family val="2"/>
        <scheme val="minor"/>
      </rPr>
      <t>Weighted ROE</t>
    </r>
  </si>
  <si>
    <t xml:space="preserve">Amount excludes True-Up Adjustment, as reported in True-Up Year projected Attachment ZZ, page 2, column 11.  </t>
  </si>
  <si>
    <t xml:space="preserve">Amount excludes True-Up Adjustment, as reported in True-Up Year projected Attachment GG, page 2, column 11.  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</si>
  <si>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ZZ by project True-up weighted for the two different ROEs in effect during 2016</t>
    </r>
  </si>
  <si>
    <t>Weighted Actual Attachment ZZ Rev Req for 2016 True-Up</t>
  </si>
  <si>
    <r>
      <t>Actual Attachment ZZ Revenues for 2016</t>
    </r>
    <r>
      <rPr>
        <vertAlign val="superscript"/>
        <sz val="10"/>
        <rFont val="Arial"/>
        <family val="2"/>
      </rPr>
      <t>1</t>
    </r>
  </si>
  <si>
    <t>Under/(Over) Recovery of 2016 ZZ Rev Req</t>
  </si>
  <si>
    <t>Total 2016 Attachment ZZ True-up Under/(Over) Recovery</t>
  </si>
  <si>
    <t>below</t>
  </si>
  <si>
    <t>above</t>
  </si>
  <si>
    <r>
      <t xml:space="preserve">Attachment O 2016 True-up calculation  (Schedule 9)    </t>
    </r>
    <r>
      <rPr>
        <b/>
        <sz val="11"/>
        <color rgb="FFFF0000"/>
        <rFont val="Arial"/>
        <family val="2"/>
      </rPr>
      <t>DC SYSTEM</t>
    </r>
  </si>
  <si>
    <r>
      <t xml:space="preserve">Attachment O 2016 True-up calculation  (Schedule 9)    </t>
    </r>
    <r>
      <rPr>
        <b/>
        <sz val="11"/>
        <color rgb="FFFF0000"/>
        <rFont val="Arial"/>
        <family val="2"/>
      </rPr>
      <t>AC SYSTEM</t>
    </r>
  </si>
  <si>
    <r>
      <t>Net</t>
    </r>
    <r>
      <rPr>
        <i/>
        <sz val="10"/>
        <rFont val="Arial"/>
        <family val="2"/>
      </rPr>
      <t xml:space="preserve"> Actual 2016 </t>
    </r>
    <r>
      <rPr>
        <sz val="10"/>
        <rFont val="Arial"/>
        <family val="2"/>
      </rPr>
      <t>Rev Req (Actual Attach O, Pg 1, Line 7b)</t>
    </r>
  </si>
  <si>
    <r>
      <t xml:space="preserve">Net </t>
    </r>
    <r>
      <rPr>
        <i/>
        <sz val="10"/>
        <rFont val="Arial"/>
        <family val="2"/>
      </rPr>
      <t>Projected</t>
    </r>
    <r>
      <rPr>
        <sz val="10"/>
        <rFont val="Arial"/>
        <family val="2"/>
      </rPr>
      <t xml:space="preserve"> 2016 Rev Req (Projected Attach O, Pg 1, Line 7b)</t>
    </r>
  </si>
  <si>
    <r>
      <t xml:space="preserve">Attachment GG 2016 True-up ( Schedule 26)    </t>
    </r>
    <r>
      <rPr>
        <b/>
        <sz val="12"/>
        <color rgb="FFFF0000"/>
        <rFont val="Arial"/>
        <family val="2"/>
      </rPr>
      <t>AC SYSTEM</t>
    </r>
  </si>
  <si>
    <r>
      <t xml:space="preserve">Attachment GG 2016 True-up ( Schedule 26)  </t>
    </r>
    <r>
      <rPr>
        <b/>
        <sz val="12"/>
        <color rgb="FFFF0000"/>
        <rFont val="Arial"/>
        <family val="2"/>
      </rPr>
      <t>DC SYSTEM - has no GG projects</t>
    </r>
  </si>
  <si>
    <r>
      <t xml:space="preserve">Attachment ZZ 2016 True-up  (Schedule 45)   </t>
    </r>
    <r>
      <rPr>
        <b/>
        <sz val="12"/>
        <color rgb="FFFF0000"/>
        <rFont val="Arial"/>
        <family val="2"/>
      </rPr>
      <t>DC SYSTEM</t>
    </r>
  </si>
  <si>
    <r>
      <t xml:space="preserve">Attachment ZZ 2016 True-up  (Schedule 45)    </t>
    </r>
    <r>
      <rPr>
        <b/>
        <sz val="12"/>
        <color rgb="FFFF0000"/>
        <rFont val="Arial"/>
        <family val="2"/>
      </rPr>
      <t>AC SYSTEM</t>
    </r>
  </si>
  <si>
    <t>AC System</t>
  </si>
  <si>
    <t>Note:  MP to confirm the DC System has no 2016 Attach GG projects</t>
  </si>
  <si>
    <t>Attach ZZ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</si>
  <si>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 Inputs are indicated by light yellow highlighted cells with blue bold font.  Do this for the AC system and the DC system</t>
    </r>
  </si>
  <si>
    <t>DC System</t>
  </si>
  <si>
    <r>
      <rPr>
        <b/>
        <sz val="10"/>
        <rFont val="Arial"/>
        <family val="2"/>
      </rPr>
      <t>Purpose:</t>
    </r>
    <r>
      <rPr>
        <sz val="10"/>
        <rFont val="Arial"/>
        <family val="2"/>
      </rPr>
      <t xml:space="preserve">  To calculate the 2016 Attachment O, GG, and ZZ True-up weighted for the two different ROEs in effect during 2016</t>
    </r>
  </si>
  <si>
    <t>for both the AC System and the DC System</t>
  </si>
  <si>
    <t>See NOTE A</t>
  </si>
  <si>
    <r>
      <rPr>
        <b/>
        <sz val="10"/>
        <rFont val="Arial"/>
        <family val="2"/>
      </rPr>
      <t>NOTE A:</t>
    </r>
    <r>
      <rPr>
        <sz val="10"/>
        <rFont val="Arial"/>
        <family val="2"/>
      </rPr>
      <t xml:space="preserve">  Use 2016 revenue - take into consideration 2016 impacts of recent ROE refunds processed in 2017 </t>
    </r>
  </si>
  <si>
    <t>See Note A</t>
  </si>
  <si>
    <t>check - should tie to 2016 ZZ TU weighted ROE</t>
  </si>
  <si>
    <t>Monthly</t>
  </si>
  <si>
    <t>MTEP07 - Badoura</t>
  </si>
  <si>
    <t>MTEP06 - Boswell / Bemidji</t>
  </si>
  <si>
    <t>MTEP08 - Fargo Phase 1</t>
  </si>
  <si>
    <t>MTEP11 - Savanna Project</t>
  </si>
  <si>
    <t>MTEP11 - 9 Line Upgrade</t>
  </si>
  <si>
    <t xml:space="preserve"> </t>
  </si>
  <si>
    <t>NERC Facility Ratings Alert - Medium Priority</t>
  </si>
  <si>
    <t>NERC Facility Ratings Alert - Low Priority</t>
  </si>
  <si>
    <t>4293 - AC</t>
  </si>
  <si>
    <t>4294 - AC</t>
  </si>
  <si>
    <r>
      <t>Actual Attachment GG Rev Req for True-Up Year (Actual Attach GG, pg 2, col 10)</t>
    </r>
    <r>
      <rPr>
        <vertAlign val="superscript"/>
        <sz val="10"/>
        <rFont val="Arial"/>
        <family val="2"/>
      </rPr>
      <t>1</t>
    </r>
  </si>
  <si>
    <t>Less GG revenues received in 2016 related to 2014 true up</t>
  </si>
  <si>
    <r>
      <t>p 2 of 2, Col. 10</t>
    </r>
    <r>
      <rPr>
        <vertAlign val="superscript"/>
        <sz val="11"/>
        <color theme="1"/>
        <rFont val="Calibri"/>
        <family val="2"/>
        <scheme val="minor"/>
      </rPr>
      <t>2</t>
    </r>
  </si>
  <si>
    <t>Less ZZ revenues received in 2016 related to 2014 true up</t>
  </si>
  <si>
    <t>Actual Attachment ZZ Rev Req for True-Up Year (Actual Attach ZZ, pg 2, col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</si>
</sst>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00%"/>
    <numFmt numFmtId="169" formatCode="&quot;$&quot;#,##0.0000"/>
    <numFmt numFmtId="170" formatCode="&quot;$&quot;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MT"/>
    </font>
    <font>
      <sz val="12"/>
      <name val="Arial MT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40" fillId="0" borderId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/>
  </cellStyleXfs>
  <cellXfs count="372">
    <xf numFmtId="0" fontId="0" fillId="0" borderId="0" xfId="0"/>
    <xf numFmtId="0" fontId="2" fillId="0" borderId="0" xfId="0" applyFont="1" applyAlignment="1"/>
    <xf numFmtId="0" fontId="1" fillId="0" borderId="0" xfId="5" applyBorder="1" applyAlignment="1">
      <alignment horizontal="center"/>
    </xf>
    <xf numFmtId="165" fontId="3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165" fontId="2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0" fontId="2" fillId="3" borderId="0" xfId="1" applyNumberFormat="1" applyFont="1" applyFill="1" applyBorder="1" applyAlignment="1"/>
    <xf numFmtId="165" fontId="2" fillId="0" borderId="2" xfId="0" applyNumberFormat="1" applyFont="1" applyFill="1" applyBorder="1" applyAlignment="1"/>
    <xf numFmtId="0" fontId="4" fillId="0" borderId="0" xfId="4" applyFont="1" applyBorder="1"/>
    <xf numFmtId="0" fontId="5" fillId="0" borderId="0" xfId="4" applyFont="1" applyBorder="1"/>
    <xf numFmtId="165" fontId="2" fillId="0" borderId="0" xfId="0" applyNumberFormat="1" applyFont="1" applyAlignment="1"/>
    <xf numFmtId="164" fontId="2" fillId="0" borderId="0" xfId="1" applyNumberFormat="1" applyFont="1" applyFill="1" applyBorder="1" applyAlignment="1"/>
    <xf numFmtId="0" fontId="12" fillId="0" borderId="0" xfId="8" applyFont="1"/>
    <xf numFmtId="0" fontId="1" fillId="0" borderId="0" xfId="8" applyFont="1"/>
    <xf numFmtId="0" fontId="1" fillId="0" borderId="3" xfId="8" applyFont="1" applyBorder="1"/>
    <xf numFmtId="0" fontId="1" fillId="0" borderId="3" xfId="8" applyFont="1" applyBorder="1" applyAlignment="1">
      <alignment horizontal="center"/>
    </xf>
    <xf numFmtId="0" fontId="1" fillId="0" borderId="0" xfId="8" applyFont="1" applyBorder="1"/>
    <xf numFmtId="0" fontId="1" fillId="0" borderId="0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1" xfId="8" applyFont="1" applyBorder="1"/>
    <xf numFmtId="0" fontId="1" fillId="0" borderId="1" xfId="8" applyFont="1" applyFill="1" applyBorder="1" applyAlignment="1">
      <alignment horizontal="center"/>
    </xf>
    <xf numFmtId="0" fontId="13" fillId="0" borderId="0" xfId="0" applyFont="1" applyFill="1" applyBorder="1" applyAlignment="1"/>
    <xf numFmtId="166" fontId="13" fillId="0" borderId="0" xfId="10" applyNumberFormat="1" applyFont="1" applyBorder="1"/>
    <xf numFmtId="166" fontId="1" fillId="0" borderId="0" xfId="8" applyNumberFormat="1" applyFont="1" applyBorder="1"/>
    <xf numFmtId="10" fontId="13" fillId="0" borderId="0" xfId="11" applyNumberFormat="1" applyFont="1" applyBorder="1"/>
    <xf numFmtId="166" fontId="13" fillId="0" borderId="0" xfId="10" applyNumberFormat="1" applyFont="1" applyFill="1" applyBorder="1"/>
    <xf numFmtId="0" fontId="1" fillId="0" borderId="0" xfId="8" applyFont="1" applyFill="1"/>
    <xf numFmtId="0" fontId="1" fillId="0" borderId="0" xfId="8" applyFont="1" applyFill="1" applyBorder="1"/>
    <xf numFmtId="167" fontId="13" fillId="0" borderId="0" xfId="9" applyNumberFormat="1" applyFont="1" applyFill="1" applyBorder="1"/>
    <xf numFmtId="0" fontId="1" fillId="0" borderId="0" xfId="5" applyFill="1" applyBorder="1" applyAlignment="1">
      <alignment horizontal="center"/>
    </xf>
    <xf numFmtId="166" fontId="2" fillId="0" borderId="0" xfId="6" applyNumberFormat="1" applyFont="1" applyFill="1" applyBorder="1" applyAlignment="1"/>
    <xf numFmtId="166" fontId="10" fillId="0" borderId="0" xfId="6" applyNumberFormat="1" applyFont="1" applyFill="1" applyBorder="1" applyAlignment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/>
    <xf numFmtId="0" fontId="0" fillId="0" borderId="4" xfId="0" applyBorder="1"/>
    <xf numFmtId="164" fontId="10" fillId="0" borderId="0" xfId="1" applyNumberFormat="1" applyFont="1" applyBorder="1" applyAlignment="1"/>
    <xf numFmtId="0" fontId="6" fillId="0" borderId="0" xfId="0" applyFont="1" applyBorder="1" applyAlignment="1">
      <alignment horizontal="center"/>
    </xf>
    <xf numFmtId="169" fontId="2" fillId="0" borderId="0" xfId="0" applyNumberFormat="1" applyFont="1" applyFill="1" applyBorder="1" applyAlignment="1"/>
    <xf numFmtId="10" fontId="4" fillId="0" borderId="0" xfId="4" applyNumberFormat="1" applyFont="1" applyBorder="1"/>
    <xf numFmtId="0" fontId="3" fillId="6" borderId="6" xfId="0" applyFont="1" applyFill="1" applyBorder="1" applyAlignment="1"/>
    <xf numFmtId="0" fontId="2" fillId="6" borderId="6" xfId="0" applyFont="1" applyFill="1" applyBorder="1" applyAlignment="1"/>
    <xf numFmtId="0" fontId="2" fillId="6" borderId="7" xfId="0" applyFont="1" applyFill="1" applyBorder="1" applyAlignment="1"/>
    <xf numFmtId="0" fontId="3" fillId="0" borderId="8" xfId="0" applyFont="1" applyBorder="1" applyAlignment="1"/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left" indent="2"/>
    </xf>
    <xf numFmtId="165" fontId="3" fillId="0" borderId="9" xfId="0" applyNumberFormat="1" applyFont="1" applyFill="1" applyBorder="1" applyAlignment="1"/>
    <xf numFmtId="0" fontId="4" fillId="0" borderId="8" xfId="4" applyFont="1" applyBorder="1"/>
    <xf numFmtId="166" fontId="2" fillId="0" borderId="9" xfId="6" applyNumberFormat="1" applyFont="1" applyFill="1" applyBorder="1" applyAlignment="1"/>
    <xf numFmtId="169" fontId="3" fillId="0" borderId="9" xfId="0" applyNumberFormat="1" applyFont="1" applyFill="1" applyBorder="1" applyAlignment="1"/>
    <xf numFmtId="0" fontId="5" fillId="0" borderId="8" xfId="4" applyFont="1" applyBorder="1"/>
    <xf numFmtId="0" fontId="5" fillId="0" borderId="8" xfId="4" applyFont="1" applyFill="1" applyBorder="1"/>
    <xf numFmtId="164" fontId="2" fillId="0" borderId="9" xfId="1" applyNumberFormat="1" applyFont="1" applyFill="1" applyBorder="1" applyAlignment="1"/>
    <xf numFmtId="5" fontId="3" fillId="0" borderId="9" xfId="0" applyNumberFormat="1" applyFont="1" applyFill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165" fontId="2" fillId="0" borderId="4" xfId="0" applyNumberFormat="1" applyFont="1" applyFill="1" applyBorder="1" applyAlignment="1"/>
    <xf numFmtId="165" fontId="3" fillId="0" borderId="11" xfId="0" applyNumberFormat="1" applyFont="1" applyFill="1" applyBorder="1" applyAlignment="1"/>
    <xf numFmtId="0" fontId="18" fillId="6" borderId="5" xfId="0" applyFont="1" applyFill="1" applyBorder="1" applyAlignment="1"/>
    <xf numFmtId="5" fontId="2" fillId="0" borderId="12" xfId="0" applyNumberFormat="1" applyFont="1" applyFill="1" applyBorder="1" applyAlignment="1"/>
    <xf numFmtId="165" fontId="2" fillId="0" borderId="9" xfId="0" applyNumberFormat="1" applyFont="1" applyFill="1" applyBorder="1" applyAlignment="1"/>
    <xf numFmtId="166" fontId="2" fillId="0" borderId="2" xfId="6" applyNumberFormat="1" applyFont="1" applyFill="1" applyBorder="1" applyAlignment="1"/>
    <xf numFmtId="5" fontId="2" fillId="0" borderId="2" xfId="12" applyNumberFormat="1" applyFont="1" applyFill="1" applyBorder="1" applyAlignment="1"/>
    <xf numFmtId="169" fontId="2" fillId="0" borderId="9" xfId="0" applyNumberFormat="1" applyFont="1" applyFill="1" applyBorder="1" applyAlignment="1"/>
    <xf numFmtId="166" fontId="2" fillId="0" borderId="13" xfId="6" applyNumberFormat="1" applyFont="1" applyFill="1" applyBorder="1" applyAlignment="1"/>
    <xf numFmtId="165" fontId="2" fillId="0" borderId="13" xfId="0" applyNumberFormat="1" applyFont="1" applyFill="1" applyBorder="1" applyAlignment="1"/>
    <xf numFmtId="5" fontId="2" fillId="0" borderId="0" xfId="0" applyNumberFormat="1" applyFont="1" applyBorder="1" applyAlignment="1"/>
    <xf numFmtId="165" fontId="7" fillId="0" borderId="0" xfId="3" applyNumberFormat="1" applyFont="1" applyFill="1" applyBorder="1" applyAlignment="1"/>
    <xf numFmtId="5" fontId="2" fillId="0" borderId="9" xfId="0" applyNumberFormat="1" applyFont="1" applyBorder="1" applyAlignment="1"/>
    <xf numFmtId="165" fontId="3" fillId="0" borderId="4" xfId="0" applyNumberFormat="1" applyFont="1" applyBorder="1" applyAlignment="1"/>
    <xf numFmtId="5" fontId="2" fillId="0" borderId="11" xfId="0" applyNumberFormat="1" applyFont="1" applyBorder="1" applyAlignment="1"/>
    <xf numFmtId="0" fontId="3" fillId="4" borderId="6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2" fillId="0" borderId="8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8" xfId="0" applyFont="1" applyBorder="1" applyAlignment="1">
      <alignment horizontal="left" indent="3"/>
    </xf>
    <xf numFmtId="0" fontId="3" fillId="0" borderId="0" xfId="0" applyFont="1" applyBorder="1" applyAlignment="1">
      <alignment horizontal="left" indent="1"/>
    </xf>
    <xf numFmtId="0" fontId="2" fillId="0" borderId="11" xfId="0" applyFont="1" applyBorder="1" applyAlignment="1"/>
    <xf numFmtId="0" fontId="2" fillId="0" borderId="0" xfId="0" applyFont="1" applyBorder="1" applyAlignment="1">
      <alignment horizontal="left" indent="17"/>
    </xf>
    <xf numFmtId="0" fontId="0" fillId="0" borderId="0" xfId="0" applyBorder="1" applyAlignment="1">
      <alignment horizontal="left" indent="17"/>
    </xf>
    <xf numFmtId="0" fontId="0" fillId="0" borderId="0" xfId="0" applyFont="1" applyBorder="1" applyAlignment="1">
      <alignment horizontal="left" indent="17"/>
    </xf>
    <xf numFmtId="0" fontId="6" fillId="4" borderId="5" xfId="0" applyFont="1" applyFill="1" applyBorder="1" applyAlignment="1"/>
    <xf numFmtId="0" fontId="6" fillId="5" borderId="5" xfId="0" applyFont="1" applyFill="1" applyBorder="1" applyAlignment="1"/>
    <xf numFmtId="0" fontId="3" fillId="5" borderId="6" xfId="0" applyFont="1" applyFill="1" applyBorder="1" applyAlignment="1"/>
    <xf numFmtId="0" fontId="2" fillId="5" borderId="6" xfId="0" applyFont="1" applyFill="1" applyBorder="1" applyAlignment="1"/>
    <xf numFmtId="0" fontId="1" fillId="5" borderId="7" xfId="5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9" xfId="1" applyNumberFormat="1" applyFont="1" applyBorder="1"/>
    <xf numFmtId="10" fontId="0" fillId="3" borderId="9" xfId="1" applyNumberFormat="1" applyFont="1" applyFill="1" applyBorder="1"/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5" fontId="2" fillId="0" borderId="13" xfId="6" applyNumberFormat="1" applyFont="1" applyFill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2" fillId="0" borderId="4" xfId="1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164" fontId="10" fillId="0" borderId="11" xfId="1" applyNumberFormat="1" applyFont="1" applyBorder="1" applyAlignment="1"/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1" fillId="8" borderId="0" xfId="3" quotePrefix="1" applyNumberFormat="1" applyFont="1" applyFill="1" applyBorder="1" applyAlignment="1"/>
    <xf numFmtId="165" fontId="21" fillId="8" borderId="0" xfId="3" applyNumberFormat="1" applyFont="1" applyFill="1" applyBorder="1" applyAlignment="1"/>
    <xf numFmtId="166" fontId="21" fillId="8" borderId="9" xfId="6" applyNumberFormat="1" applyFont="1" applyFill="1" applyBorder="1" applyAlignment="1"/>
    <xf numFmtId="166" fontId="21" fillId="8" borderId="12" xfId="6" applyNumberFormat="1" applyFont="1" applyFill="1" applyBorder="1" applyAlignment="1"/>
    <xf numFmtId="5" fontId="21" fillId="8" borderId="9" xfId="6" applyNumberFormat="1" applyFont="1" applyFill="1" applyBorder="1" applyAlignment="1"/>
    <xf numFmtId="5" fontId="21" fillId="8" borderId="9" xfId="0" applyNumberFormat="1" applyFont="1" applyFill="1" applyBorder="1" applyAlignment="1"/>
    <xf numFmtId="165" fontId="2" fillId="0" borderId="0" xfId="3" applyNumberFormat="1" applyFont="1" applyFill="1" applyBorder="1" applyAlignment="1"/>
    <xf numFmtId="5" fontId="18" fillId="0" borderId="9" xfId="0" applyNumberFormat="1" applyFont="1" applyBorder="1" applyAlignment="1"/>
    <xf numFmtId="5" fontId="18" fillId="0" borderId="9" xfId="0" applyNumberFormat="1" applyFont="1" applyFill="1" applyBorder="1" applyAlignment="1"/>
    <xf numFmtId="0" fontId="22" fillId="0" borderId="8" xfId="0" applyFont="1" applyBorder="1" applyAlignment="1"/>
    <xf numFmtId="0" fontId="22" fillId="0" borderId="8" xfId="0" applyFont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164" fontId="13" fillId="0" borderId="0" xfId="11" applyNumberFormat="1" applyFont="1" applyBorder="1"/>
    <xf numFmtId="0" fontId="11" fillId="2" borderId="5" xfId="8" applyFont="1" applyFill="1" applyBorder="1"/>
    <xf numFmtId="0" fontId="12" fillId="2" borderId="6" xfId="8" applyFont="1" applyFill="1" applyBorder="1"/>
    <xf numFmtId="0" fontId="12" fillId="2" borderId="7" xfId="8" applyFont="1" applyFill="1" applyBorder="1"/>
    <xf numFmtId="0" fontId="1" fillId="2" borderId="8" xfId="8" applyFont="1" applyFill="1" applyBorder="1"/>
    <xf numFmtId="0" fontId="1" fillId="2" borderId="0" xfId="8" applyFont="1" applyFill="1" applyBorder="1"/>
    <xf numFmtId="0" fontId="1" fillId="2" borderId="9" xfId="8" applyFont="1" applyFill="1" applyBorder="1"/>
    <xf numFmtId="0" fontId="1" fillId="2" borderId="0" xfId="8" applyFont="1" applyFill="1" applyBorder="1" applyAlignment="1">
      <alignment horizontal="right"/>
    </xf>
    <xf numFmtId="0" fontId="1" fillId="0" borderId="8" xfId="8" applyFont="1" applyBorder="1"/>
    <xf numFmtId="0" fontId="1" fillId="0" borderId="9" xfId="8" applyFont="1" applyBorder="1"/>
    <xf numFmtId="0" fontId="1" fillId="0" borderId="8" xfId="8" applyFont="1" applyBorder="1" applyAlignment="1">
      <alignment horizontal="center"/>
    </xf>
    <xf numFmtId="0" fontId="1" fillId="0" borderId="9" xfId="8" applyFont="1" applyBorder="1" applyAlignment="1">
      <alignment horizontal="center"/>
    </xf>
    <xf numFmtId="0" fontId="1" fillId="0" borderId="14" xfId="8" applyFont="1" applyBorder="1"/>
    <xf numFmtId="0" fontId="1" fillId="0" borderId="15" xfId="8" applyFont="1" applyBorder="1"/>
    <xf numFmtId="0" fontId="1" fillId="0" borderId="16" xfId="8" applyFont="1" applyBorder="1" applyAlignment="1">
      <alignment horizontal="center"/>
    </xf>
    <xf numFmtId="0" fontId="1" fillId="0" borderId="12" xfId="8" applyFont="1" applyFill="1" applyBorder="1" applyAlignment="1">
      <alignment horizontal="center"/>
    </xf>
    <xf numFmtId="0" fontId="1" fillId="0" borderId="16" xfId="8" applyFont="1" applyBorder="1"/>
    <xf numFmtId="0" fontId="1" fillId="0" borderId="8" xfId="8" applyFont="1" applyBorder="1" applyAlignment="1">
      <alignment horizontal="center" vertical="center"/>
    </xf>
    <xf numFmtId="166" fontId="1" fillId="0" borderId="9" xfId="8" applyNumberFormat="1" applyFont="1" applyBorder="1"/>
    <xf numFmtId="0" fontId="1" fillId="0" borderId="8" xfId="5" applyBorder="1" applyAlignment="1">
      <alignment horizontal="center"/>
    </xf>
    <xf numFmtId="0" fontId="1" fillId="0" borderId="12" xfId="8" applyFont="1" applyBorder="1"/>
    <xf numFmtId="167" fontId="13" fillId="0" borderId="0" xfId="9" applyNumberFormat="1" applyFont="1" applyBorder="1"/>
    <xf numFmtId="167" fontId="13" fillId="0" borderId="9" xfId="9" applyNumberFormat="1" applyFont="1" applyBorder="1"/>
    <xf numFmtId="0" fontId="14" fillId="0" borderId="8" xfId="8" quotePrefix="1" applyFont="1" applyBorder="1" applyAlignment="1">
      <alignment horizontal="center"/>
    </xf>
    <xf numFmtId="168" fontId="13" fillId="0" borderId="0" xfId="1" applyNumberFormat="1" applyFont="1" applyFill="1" applyBorder="1" applyAlignment="1"/>
    <xf numFmtId="0" fontId="14" fillId="0" borderId="10" xfId="8" quotePrefix="1" applyFont="1" applyBorder="1" applyAlignment="1">
      <alignment horizontal="center"/>
    </xf>
    <xf numFmtId="0" fontId="1" fillId="0" borderId="4" xfId="8" applyFont="1" applyBorder="1"/>
    <xf numFmtId="0" fontId="1" fillId="0" borderId="11" xfId="8" applyFont="1" applyBorder="1"/>
    <xf numFmtId="0" fontId="11" fillId="9" borderId="5" xfId="8" applyFont="1" applyFill="1" applyBorder="1"/>
    <xf numFmtId="0" fontId="12" fillId="9" borderId="6" xfId="8" applyFont="1" applyFill="1" applyBorder="1"/>
    <xf numFmtId="0" fontId="12" fillId="9" borderId="7" xfId="8" applyFont="1" applyFill="1" applyBorder="1"/>
    <xf numFmtId="0" fontId="1" fillId="9" borderId="8" xfId="8" applyFont="1" applyFill="1" applyBorder="1"/>
    <xf numFmtId="0" fontId="1" fillId="9" borderId="0" xfId="8" applyFont="1" applyFill="1" applyBorder="1"/>
    <xf numFmtId="0" fontId="1" fillId="9" borderId="9" xfId="8" applyFont="1" applyFill="1" applyBorder="1"/>
    <xf numFmtId="0" fontId="1" fillId="9" borderId="0" xfId="8" applyFont="1" applyFill="1" applyBorder="1" applyAlignment="1">
      <alignment horizontal="right"/>
    </xf>
    <xf numFmtId="0" fontId="13" fillId="9" borderId="0" xfId="8" applyFont="1" applyFill="1" applyBorder="1"/>
    <xf numFmtId="0" fontId="1" fillId="0" borderId="10" xfId="8" applyFont="1" applyBorder="1" applyAlignment="1">
      <alignment horizontal="center"/>
    </xf>
    <xf numFmtId="167" fontId="13" fillId="0" borderId="4" xfId="9" applyNumberFormat="1" applyFont="1" applyBorder="1"/>
    <xf numFmtId="167" fontId="13" fillId="0" borderId="11" xfId="9" applyNumberFormat="1" applyFont="1" applyBorder="1"/>
    <xf numFmtId="0" fontId="0" fillId="0" borderId="4" xfId="8" applyFont="1" applyBorder="1"/>
    <xf numFmtId="0" fontId="15" fillId="0" borderId="4" xfId="0" applyFont="1" applyFill="1" applyBorder="1" applyAlignment="1">
      <alignment horizontal="left"/>
    </xf>
    <xf numFmtId="0" fontId="11" fillId="4" borderId="5" xfId="8" applyFont="1" applyFill="1" applyBorder="1"/>
    <xf numFmtId="0" fontId="12" fillId="4" borderId="6" xfId="8" applyFont="1" applyFill="1" applyBorder="1"/>
    <xf numFmtId="0" fontId="12" fillId="4" borderId="7" xfId="8" applyFont="1" applyFill="1" applyBorder="1"/>
    <xf numFmtId="0" fontId="1" fillId="4" borderId="8" xfId="8" applyFont="1" applyFill="1" applyBorder="1"/>
    <xf numFmtId="0" fontId="1" fillId="4" borderId="0" xfId="8" applyFont="1" applyFill="1" applyBorder="1"/>
    <xf numFmtId="0" fontId="1" fillId="4" borderId="9" xfId="8" applyFont="1" applyFill="1" applyBorder="1"/>
    <xf numFmtId="0" fontId="1" fillId="4" borderId="0" xfId="8" applyFont="1" applyFill="1" applyBorder="1" applyAlignment="1">
      <alignment horizontal="right"/>
    </xf>
    <xf numFmtId="0" fontId="13" fillId="4" borderId="0" xfId="8" applyFont="1" applyFill="1" applyBorder="1"/>
    <xf numFmtId="0" fontId="24" fillId="2" borderId="0" xfId="0" applyNumberFormat="1" applyFont="1" applyFill="1" applyBorder="1"/>
    <xf numFmtId="0" fontId="24" fillId="9" borderId="0" xfId="0" applyNumberFormat="1" applyFont="1" applyFill="1" applyBorder="1"/>
    <xf numFmtId="0" fontId="24" fillId="4" borderId="0" xfId="0" applyNumberFormat="1" applyFont="1" applyFill="1" applyBorder="1"/>
    <xf numFmtId="0" fontId="18" fillId="0" borderId="5" xfId="0" applyFont="1" applyBorder="1" applyAlignment="1"/>
    <xf numFmtId="0" fontId="3" fillId="0" borderId="6" xfId="0" applyFont="1" applyBorder="1" applyAlignment="1"/>
    <xf numFmtId="10" fontId="0" fillId="0" borderId="11" xfId="1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3" fillId="8" borderId="0" xfId="0" applyNumberFormat="1" applyFont="1" applyFill="1" applyBorder="1" applyAlignment="1"/>
    <xf numFmtId="1" fontId="23" fillId="8" borderId="0" xfId="0" applyNumberFormat="1" applyFont="1" applyFill="1" applyBorder="1" applyAlignment="1">
      <alignment horizontal="right"/>
    </xf>
    <xf numFmtId="166" fontId="23" fillId="8" borderId="0" xfId="10" applyNumberFormat="1" applyFont="1" applyFill="1" applyBorder="1"/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horizontal="right"/>
    </xf>
    <xf numFmtId="166" fontId="2" fillId="0" borderId="0" xfId="6" applyNumberFormat="1" applyFont="1" applyAlignment="1"/>
    <xf numFmtId="5" fontId="2" fillId="0" borderId="0" xfId="0" applyNumberFormat="1" applyFont="1" applyAlignment="1"/>
    <xf numFmtId="0" fontId="12" fillId="0" borderId="0" xfId="8" applyFont="1" applyFill="1" applyBorder="1"/>
    <xf numFmtId="10" fontId="1" fillId="0" borderId="0" xfId="8" applyNumberFormat="1" applyFont="1" applyFill="1" applyBorder="1"/>
    <xf numFmtId="43" fontId="1" fillId="0" borderId="0" xfId="8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10" fontId="0" fillId="0" borderId="0" xfId="1" applyNumberFormat="1" applyFont="1"/>
    <xf numFmtId="10" fontId="0" fillId="4" borderId="0" xfId="1" applyNumberFormat="1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0" fontId="17" fillId="2" borderId="6" xfId="1" applyNumberFormat="1" applyFont="1" applyFill="1" applyBorder="1" applyAlignment="1">
      <alignment horizontal="left"/>
    </xf>
    <xf numFmtId="10" fontId="17" fillId="9" borderId="6" xfId="1" applyNumberFormat="1" applyFont="1" applyFill="1" applyBorder="1" applyAlignment="1">
      <alignment horizontal="left"/>
    </xf>
    <xf numFmtId="0" fontId="25" fillId="8" borderId="0" xfId="0" applyFont="1" applyFill="1" applyAlignment="1">
      <alignment horizontal="left"/>
    </xf>
    <xf numFmtId="10" fontId="3" fillId="0" borderId="1" xfId="1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5" fontId="2" fillId="0" borderId="0" xfId="6" applyNumberFormat="1" applyFont="1" applyAlignment="1"/>
    <xf numFmtId="0" fontId="2" fillId="0" borderId="0" xfId="0" applyFont="1" applyFill="1" applyAlignment="1">
      <alignment horizontal="left" indent="1"/>
    </xf>
    <xf numFmtId="0" fontId="0" fillId="2" borderId="0" xfId="0" applyFill="1"/>
    <xf numFmtId="0" fontId="0" fillId="0" borderId="8" xfId="5" applyFont="1" applyBorder="1" applyAlignment="1">
      <alignment horizontal="center"/>
    </xf>
    <xf numFmtId="167" fontId="18" fillId="0" borderId="9" xfId="12" applyNumberFormat="1" applyFont="1" applyBorder="1" applyAlignment="1"/>
    <xf numFmtId="0" fontId="27" fillId="0" borderId="0" xfId="0" applyFont="1" applyFill="1" applyAlignment="1">
      <alignment horizontal="left"/>
    </xf>
    <xf numFmtId="0" fontId="2" fillId="0" borderId="0" xfId="0" quotePrefix="1" applyFont="1" applyAlignment="1"/>
    <xf numFmtId="164" fontId="10" fillId="0" borderId="9" xfId="1" quotePrefix="1" applyNumberFormat="1" applyFont="1" applyBorder="1" applyAlignment="1"/>
    <xf numFmtId="0" fontId="0" fillId="0" borderId="1" xfId="8" applyFont="1" applyBorder="1" applyAlignment="1">
      <alignment horizontal="center"/>
    </xf>
    <xf numFmtId="0" fontId="0" fillId="0" borderId="0" xfId="8" applyFont="1" applyFill="1" applyBorder="1"/>
    <xf numFmtId="10" fontId="3" fillId="0" borderId="0" xfId="1" applyNumberFormat="1" applyFont="1" applyBorder="1" applyAlignment="1">
      <alignment horizontal="center" wrapText="1"/>
    </xf>
    <xf numFmtId="0" fontId="0" fillId="0" borderId="8" xfId="8" applyFont="1" applyFill="1" applyBorder="1"/>
    <xf numFmtId="0" fontId="0" fillId="0" borderId="8" xfId="8" applyFont="1" applyFill="1" applyBorder="1" applyAlignment="1">
      <alignment horizontal="left" indent="1"/>
    </xf>
    <xf numFmtId="0" fontId="0" fillId="0" borderId="10" xfId="8" applyFont="1" applyFill="1" applyBorder="1" applyAlignment="1">
      <alignment horizontal="left" indent="1"/>
    </xf>
    <xf numFmtId="0" fontId="0" fillId="0" borderId="8" xfId="5" applyFont="1" applyBorder="1"/>
    <xf numFmtId="0" fontId="0" fillId="0" borderId="0" xfId="0" applyFill="1"/>
    <xf numFmtId="0" fontId="9" fillId="0" borderId="1" xfId="0" applyFont="1" applyBorder="1" applyAlignment="1">
      <alignment horizontal="center"/>
    </xf>
    <xf numFmtId="0" fontId="0" fillId="0" borderId="0" xfId="0" quotePrefix="1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7" fontId="0" fillId="0" borderId="0" xfId="0" applyNumberFormat="1"/>
    <xf numFmtId="10" fontId="23" fillId="8" borderId="0" xfId="1" applyNumberFormat="1" applyFont="1" applyFill="1"/>
    <xf numFmtId="10" fontId="23" fillId="0" borderId="0" xfId="1" applyNumberFormat="1" applyFont="1" applyFill="1"/>
    <xf numFmtId="10" fontId="0" fillId="0" borderId="0" xfId="0" applyNumberFormat="1"/>
    <xf numFmtId="0" fontId="9" fillId="0" borderId="0" xfId="0" applyFont="1" applyAlignment="1">
      <alignment horizontal="center"/>
    </xf>
    <xf numFmtId="164" fontId="3" fillId="0" borderId="0" xfId="1" applyNumberFormat="1" applyFont="1" applyFill="1" applyBorder="1" applyAlignment="1"/>
    <xf numFmtId="10" fontId="0" fillId="0" borderId="0" xfId="0" applyNumberForma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 wrapText="1"/>
    </xf>
    <xf numFmtId="167" fontId="29" fillId="0" borderId="9" xfId="12" applyNumberFormat="1" applyFont="1" applyBorder="1"/>
    <xf numFmtId="164" fontId="2" fillId="0" borderId="9" xfId="1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0" fillId="0" borderId="0" xfId="0" applyNumberFormat="1"/>
    <xf numFmtId="166" fontId="2" fillId="0" borderId="13" xfId="12" applyNumberFormat="1" applyFont="1" applyFill="1" applyBorder="1" applyAlignment="1"/>
    <xf numFmtId="164" fontId="0" fillId="0" borderId="17" xfId="1" applyNumberFormat="1" applyFont="1" applyBorder="1"/>
    <xf numFmtId="164" fontId="0" fillId="0" borderId="17" xfId="0" applyNumberFormat="1" applyBorder="1"/>
    <xf numFmtId="0" fontId="0" fillId="0" borderId="0" xfId="0" quotePrefix="1" applyFont="1" applyAlignment="1">
      <alignment horizontal="left" indent="2"/>
    </xf>
    <xf numFmtId="0" fontId="32" fillId="0" borderId="0" xfId="0" applyFont="1"/>
    <xf numFmtId="0" fontId="32" fillId="0" borderId="0" xfId="0" applyFont="1" applyAlignment="1">
      <alignment horizontal="left" indent="8"/>
    </xf>
    <xf numFmtId="0" fontId="32" fillId="0" borderId="0" xfId="0" applyFont="1" applyAlignment="1">
      <alignment horizontal="left" indent="2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18" fillId="0" borderId="9" xfId="12" applyNumberFormat="1" applyFont="1" applyFill="1" applyBorder="1" applyAlignment="1"/>
    <xf numFmtId="0" fontId="2" fillId="0" borderId="0" xfId="0" applyFont="1" applyFill="1" applyAlignment="1">
      <alignment horizontal="left" indent="9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67" fontId="2" fillId="0" borderId="0" xfId="0" applyNumberFormat="1" applyFont="1" applyAlignment="1"/>
    <xf numFmtId="0" fontId="0" fillId="2" borderId="8" xfId="8" applyFont="1" applyFill="1" applyBorder="1"/>
    <xf numFmtId="0" fontId="0" fillId="0" borderId="0" xfId="8" applyFont="1" applyFill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9" borderId="8" xfId="8" applyFont="1" applyFill="1" applyBorder="1"/>
    <xf numFmtId="0" fontId="0" fillId="4" borderId="8" xfId="8" applyFont="1" applyFill="1" applyBorder="1"/>
    <xf numFmtId="0" fontId="2" fillId="0" borderId="8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/>
    <xf numFmtId="10" fontId="3" fillId="0" borderId="0" xfId="1" applyNumberFormat="1" applyFont="1" applyFill="1" applyBorder="1" applyAlignment="1">
      <alignment horizontal="center" wrapText="1"/>
    </xf>
    <xf numFmtId="165" fontId="21" fillId="0" borderId="0" xfId="3" applyNumberFormat="1" applyFont="1" applyFill="1" applyBorder="1" applyAlignment="1"/>
    <xf numFmtId="0" fontId="2" fillId="0" borderId="9" xfId="0" applyFont="1" applyFill="1" applyBorder="1" applyAlignment="1"/>
    <xf numFmtId="10" fontId="2" fillId="0" borderId="0" xfId="1" applyNumberFormat="1" applyFont="1" applyFill="1" applyBorder="1" applyAlignment="1"/>
    <xf numFmtId="0" fontId="2" fillId="0" borderId="8" xfId="0" applyFont="1" applyFill="1" applyBorder="1" applyAlignment="1">
      <alignment horizontal="left" indent="2"/>
    </xf>
    <xf numFmtId="5" fontId="21" fillId="0" borderId="9" xfId="6" applyNumberFormat="1" applyFont="1" applyFill="1" applyBorder="1" applyAlignment="1"/>
    <xf numFmtId="5" fontId="2" fillId="0" borderId="9" xfId="0" applyNumberFormat="1" applyFont="1" applyFill="1" applyBorder="1" applyAlignment="1"/>
    <xf numFmtId="0" fontId="2" fillId="0" borderId="4" xfId="0" applyFont="1" applyFill="1" applyBorder="1" applyAlignment="1"/>
    <xf numFmtId="165" fontId="3" fillId="0" borderId="4" xfId="0" applyNumberFormat="1" applyFont="1" applyFill="1" applyBorder="1" applyAlignment="1"/>
    <xf numFmtId="5" fontId="2" fillId="0" borderId="11" xfId="0" applyNumberFormat="1" applyFont="1" applyFill="1" applyBorder="1" applyAlignment="1"/>
    <xf numFmtId="0" fontId="17" fillId="2" borderId="6" xfId="8" applyFont="1" applyFill="1" applyBorder="1"/>
    <xf numFmtId="0" fontId="17" fillId="9" borderId="6" xfId="8" applyFont="1" applyFill="1" applyBorder="1"/>
    <xf numFmtId="0" fontId="36" fillId="0" borderId="0" xfId="0" applyFont="1" applyFill="1" applyAlignment="1">
      <alignment horizontal="left" indent="2"/>
    </xf>
    <xf numFmtId="0" fontId="34" fillId="0" borderId="0" xfId="8" applyFont="1"/>
    <xf numFmtId="0" fontId="17" fillId="11" borderId="6" xfId="8" applyFont="1" applyFill="1" applyBorder="1"/>
    <xf numFmtId="0" fontId="1" fillId="0" borderId="0" xfId="8" applyFont="1" applyFill="1" applyBorder="1" applyAlignment="1">
      <alignment horizontal="right"/>
    </xf>
    <xf numFmtId="0" fontId="24" fillId="0" borderId="0" xfId="0" applyNumberFormat="1" applyFont="1" applyFill="1" applyBorder="1"/>
    <xf numFmtId="0" fontId="1" fillId="0" borderId="1" xfId="8" applyFont="1" applyFill="1" applyBorder="1"/>
    <xf numFmtId="1" fontId="23" fillId="0" borderId="0" xfId="0" applyNumberFormat="1" applyFont="1" applyFill="1" applyBorder="1" applyAlignment="1"/>
    <xf numFmtId="166" fontId="23" fillId="0" borderId="0" xfId="10" applyNumberFormat="1" applyFont="1" applyFill="1" applyBorder="1"/>
    <xf numFmtId="166" fontId="1" fillId="0" borderId="0" xfId="8" applyNumberFormat="1" applyFont="1" applyFill="1" applyBorder="1"/>
    <xf numFmtId="10" fontId="13" fillId="0" borderId="0" xfId="11" applyNumberFormat="1" applyFont="1" applyFill="1" applyBorder="1"/>
    <xf numFmtId="0" fontId="13" fillId="0" borderId="0" xfId="8" applyFont="1" applyFill="1" applyBorder="1"/>
    <xf numFmtId="164" fontId="13" fillId="0" borderId="0" xfId="11" applyNumberFormat="1" applyFont="1" applyFill="1" applyBorder="1"/>
    <xf numFmtId="0" fontId="2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indent="2"/>
    </xf>
    <xf numFmtId="0" fontId="34" fillId="0" borderId="0" xfId="8" applyFont="1" applyFill="1" applyBorder="1"/>
    <xf numFmtId="0" fontId="11" fillId="0" borderId="0" xfId="8" applyFont="1" applyFill="1" applyBorder="1"/>
    <xf numFmtId="10" fontId="17" fillId="0" borderId="0" xfId="1" applyNumberFormat="1" applyFont="1" applyFill="1" applyBorder="1" applyAlignment="1">
      <alignment horizontal="left"/>
    </xf>
    <xf numFmtId="0" fontId="17" fillId="0" borderId="0" xfId="8" applyFont="1" applyFill="1" applyBorder="1"/>
    <xf numFmtId="0" fontId="1" fillId="0" borderId="0" xfId="8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/>
    </xf>
    <xf numFmtId="0" fontId="14" fillId="0" borderId="0" xfId="8" quotePrefix="1" applyFont="1" applyFill="1" applyBorder="1" applyAlignment="1">
      <alignment horizontal="center"/>
    </xf>
    <xf numFmtId="167" fontId="29" fillId="0" borderId="0" xfId="12" applyNumberFormat="1" applyFont="1" applyFill="1" applyBorder="1"/>
    <xf numFmtId="0" fontId="15" fillId="0" borderId="0" xfId="0" applyFont="1" applyFill="1" applyBorder="1" applyAlignment="1">
      <alignment horizontal="left"/>
    </xf>
    <xf numFmtId="0" fontId="37" fillId="2" borderId="6" xfId="8" applyFont="1" applyFill="1" applyBorder="1"/>
    <xf numFmtId="0" fontId="37" fillId="9" borderId="6" xfId="8" applyFont="1" applyFill="1" applyBorder="1"/>
    <xf numFmtId="0" fontId="37" fillId="11" borderId="6" xfId="8" applyFont="1" applyFill="1" applyBorder="1"/>
    <xf numFmtId="0" fontId="0" fillId="0" borderId="16" xfId="5" applyFont="1" applyBorder="1" applyAlignment="1">
      <alignment horizontal="center"/>
    </xf>
    <xf numFmtId="0" fontId="13" fillId="0" borderId="1" xfId="0" applyFont="1" applyFill="1" applyBorder="1" applyAlignment="1"/>
    <xf numFmtId="1" fontId="13" fillId="0" borderId="1" xfId="0" applyNumberFormat="1" applyFont="1" applyFill="1" applyBorder="1" applyAlignment="1"/>
    <xf numFmtId="166" fontId="13" fillId="0" borderId="1" xfId="10" applyNumberFormat="1" applyFont="1" applyFill="1" applyBorder="1"/>
    <xf numFmtId="166" fontId="13" fillId="0" borderId="1" xfId="10" applyNumberFormat="1" applyFont="1" applyBorder="1"/>
    <xf numFmtId="166" fontId="1" fillId="0" borderId="1" xfId="8" applyNumberFormat="1" applyFont="1" applyBorder="1"/>
    <xf numFmtId="164" fontId="13" fillId="0" borderId="1" xfId="11" applyNumberFormat="1" applyFont="1" applyBorder="1"/>
    <xf numFmtId="166" fontId="1" fillId="0" borderId="12" xfId="8" applyNumberFormat="1" applyFont="1" applyBorder="1"/>
    <xf numFmtId="167" fontId="2" fillId="0" borderId="0" xfId="12" applyNumberFormat="1" applyFont="1" applyAlignment="1"/>
    <xf numFmtId="0" fontId="2" fillId="0" borderId="0" xfId="0" applyFont="1" applyBorder="1" applyAlignment="1">
      <alignment horizontal="left" indent="3"/>
    </xf>
    <xf numFmtId="0" fontId="16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0" fontId="38" fillId="0" borderId="0" xfId="0" applyNumberFormat="1" applyFont="1" applyFill="1" applyBorder="1" applyAlignment="1"/>
    <xf numFmtId="0" fontId="0" fillId="7" borderId="1" xfId="8" applyFont="1" applyFill="1" applyBorder="1" applyAlignment="1">
      <alignment horizontal="center"/>
    </xf>
    <xf numFmtId="0" fontId="0" fillId="0" borderId="1" xfId="8" applyFont="1" applyBorder="1"/>
    <xf numFmtId="0" fontId="39" fillId="0" borderId="0" xfId="0" applyFont="1" applyBorder="1" applyAlignment="1"/>
    <xf numFmtId="0" fontId="0" fillId="0" borderId="0" xfId="0" applyBorder="1" applyAlignment="1"/>
    <xf numFmtId="0" fontId="39" fillId="0" borderId="0" xfId="0" applyFont="1" applyBorder="1" applyAlignment="1">
      <alignment horizontal="right"/>
    </xf>
    <xf numFmtId="0" fontId="1" fillId="0" borderId="8" xfId="8" applyFont="1" applyFill="1" applyBorder="1" applyAlignment="1">
      <alignment horizontal="center"/>
    </xf>
    <xf numFmtId="43" fontId="23" fillId="0" borderId="0" xfId="6" applyFont="1" applyFill="1" applyBorder="1" applyAlignment="1">
      <alignment horizontal="right"/>
    </xf>
    <xf numFmtId="0" fontId="2" fillId="0" borderId="0" xfId="0" applyFont="1" applyAlignment="1"/>
    <xf numFmtId="165" fontId="3" fillId="0" borderId="0" xfId="0" applyNumberFormat="1" applyFont="1" applyFill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165" fontId="7" fillId="0" borderId="0" xfId="3" applyNumberFormat="1" applyFont="1" applyFill="1" applyBorder="1" applyAlignment="1"/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5" fontId="21" fillId="0" borderId="9" xfId="6" applyNumberFormat="1" applyFont="1" applyFill="1" applyBorder="1" applyAlignment="1"/>
    <xf numFmtId="5" fontId="2" fillId="0" borderId="9" xfId="0" applyNumberFormat="1" applyFont="1" applyFill="1" applyBorder="1" applyAlignment="1"/>
    <xf numFmtId="5" fontId="21" fillId="7" borderId="12" xfId="6" applyNumberFormat="1" applyFont="1" applyFill="1" applyBorder="1" applyAlignment="1"/>
    <xf numFmtId="5" fontId="21" fillId="7" borderId="9" xfId="6" applyNumberFormat="1" applyFont="1" applyFill="1" applyBorder="1" applyAlignment="1"/>
    <xf numFmtId="5" fontId="2" fillId="0" borderId="9" xfId="0" applyNumberFormat="1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165" fontId="2" fillId="0" borderId="0" xfId="3" applyNumberFormat="1" applyFont="1" applyFill="1" applyBorder="1" applyAlignment="1"/>
    <xf numFmtId="5" fontId="21" fillId="7" borderId="12" xfId="0" applyNumberFormat="1" applyFont="1" applyFill="1" applyBorder="1" applyAlignment="1"/>
    <xf numFmtId="5" fontId="21" fillId="7" borderId="9" xfId="0" applyNumberFormat="1" applyFont="1" applyFill="1" applyBorder="1" applyAlignment="1"/>
    <xf numFmtId="0" fontId="2" fillId="0" borderId="0" xfId="0" applyFont="1" applyBorder="1" applyAlignment="1"/>
    <xf numFmtId="0" fontId="2" fillId="0" borderId="8" xfId="0" applyFont="1" applyBorder="1" applyAlignment="1"/>
    <xf numFmtId="165" fontId="2" fillId="0" borderId="0" xfId="3" applyNumberFormat="1" applyFont="1" applyFill="1" applyBorder="1" applyAlignment="1"/>
    <xf numFmtId="5" fontId="21" fillId="7" borderId="9" xfId="0" applyNumberFormat="1" applyFont="1" applyFill="1" applyBorder="1" applyAlignment="1"/>
    <xf numFmtId="5" fontId="21" fillId="7" borderId="12" xfId="0" applyNumberFormat="1" applyFont="1" applyFill="1" applyBorder="1" applyAlignment="1"/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0" fillId="0" borderId="8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8" applyFont="1" applyBorder="1" applyAlignment="1">
      <alignment horizontal="center" wrapText="1"/>
    </xf>
    <xf numFmtId="0" fontId="1" fillId="0" borderId="0" xfId="8" applyFont="1" applyFill="1" applyBorder="1" applyAlignment="1">
      <alignment horizontal="center" wrapText="1"/>
    </xf>
    <xf numFmtId="0" fontId="0" fillId="0" borderId="0" xfId="8" applyFont="1" applyFill="1" applyBorder="1" applyAlignment="1">
      <alignment horizontal="center" wrapText="1"/>
    </xf>
    <xf numFmtId="0" fontId="0" fillId="0" borderId="0" xfId="8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10" borderId="0" xfId="0" applyFill="1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Fill="1" applyBorder="1" applyAlignment="1">
      <alignment horizontal="center"/>
    </xf>
  </cellXfs>
  <cellStyles count="17">
    <cellStyle name="Comma" xfId="6" builtinId="3"/>
    <cellStyle name="Comma 15 3" xfId="10"/>
    <cellStyle name="Comma 2" xfId="14"/>
    <cellStyle name="Comma 3 14" xfId="7"/>
    <cellStyle name="Currency" xfId="12" builtinId="4"/>
    <cellStyle name="Currency 10" xfId="3"/>
    <cellStyle name="Currency 41 2" xfId="9"/>
    <cellStyle name="Normal" xfId="0" builtinId="0"/>
    <cellStyle name="Normal 2" xfId="13"/>
    <cellStyle name="Normal 29" xfId="5"/>
    <cellStyle name="Normal 29 2" xfId="8"/>
    <cellStyle name="Normal 3" xfId="16"/>
    <cellStyle name="Normal 3 2" xfId="2"/>
    <cellStyle name="Normal 4 15 2 3" xfId="4"/>
    <cellStyle name="Percent" xfId="1" builtinId="5"/>
    <cellStyle name="Percent 2" xfId="15"/>
    <cellStyle name="Percent 25 2" xfId="11"/>
  </cellStyles>
  <dxfs count="0"/>
  <tableStyles count="0" defaultTableStyle="TableStyleMedium2" defaultPivotStyle="PivotStyleLight16"/>
  <colors>
    <mruColors>
      <color rgb="FFFFCCFF"/>
      <color rgb="FFFFFF99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39</xdr:row>
      <xdr:rowOff>114300</xdr:rowOff>
    </xdr:from>
    <xdr:to>
      <xdr:col>5</xdr:col>
      <xdr:colOff>559308</xdr:colOff>
      <xdr:row>39</xdr:row>
      <xdr:rowOff>114300</xdr:rowOff>
    </xdr:to>
    <xdr:cxnSp macro="">
      <xdr:nvCxnSpPr>
        <xdr:cNvPr id="3" name="Straight Arrow Connector 2"/>
        <xdr:cNvCxnSpPr/>
      </xdr:nvCxnSpPr>
      <xdr:spPr>
        <a:xfrm flipH="1" flipV="1">
          <a:off x="6050280" y="7437120"/>
          <a:ext cx="1435608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43</xdr:row>
      <xdr:rowOff>106680</xdr:rowOff>
    </xdr:from>
    <xdr:to>
      <xdr:col>5</xdr:col>
      <xdr:colOff>571500</xdr:colOff>
      <xdr:row>43</xdr:row>
      <xdr:rowOff>106680</xdr:rowOff>
    </xdr:to>
    <xdr:cxnSp macro="">
      <xdr:nvCxnSpPr>
        <xdr:cNvPr id="6" name="Straight Arrow Connector 5"/>
        <xdr:cNvCxnSpPr/>
      </xdr:nvCxnSpPr>
      <xdr:spPr>
        <a:xfrm flipH="1" flipV="1">
          <a:off x="6065520" y="8130540"/>
          <a:ext cx="14325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19</xdr:row>
      <xdr:rowOff>91440</xdr:rowOff>
    </xdr:from>
    <xdr:to>
      <xdr:col>1</xdr:col>
      <xdr:colOff>1918833</xdr:colOff>
      <xdr:row>33</xdr:row>
      <xdr:rowOff>109595</xdr:rowOff>
    </xdr:to>
    <xdr:grpSp>
      <xdr:nvGrpSpPr>
        <xdr:cNvPr id="21" name="Group 20"/>
        <xdr:cNvGrpSpPr/>
      </xdr:nvGrpSpPr>
      <xdr:grpSpPr>
        <a:xfrm>
          <a:off x="1066800" y="3749040"/>
          <a:ext cx="1233033" cy="2578475"/>
          <a:chOff x="960120" y="3749040"/>
          <a:chExt cx="1233033" cy="2578475"/>
        </a:xfrm>
      </xdr:grpSpPr>
      <xdr:cxnSp macro="">
        <xdr:nvCxnSpPr>
          <xdr:cNvPr id="13" name="Straight Connector 12"/>
          <xdr:cNvCxnSpPr/>
        </xdr:nvCxnSpPr>
        <xdr:spPr>
          <a:xfrm>
            <a:off x="1652016" y="3767195"/>
            <a:ext cx="15240" cy="25603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>
            <a:off x="1637099" y="3749040"/>
            <a:ext cx="548640" cy="2915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rot="-180000" flipH="1" flipV="1">
            <a:off x="1644513" y="5499780"/>
            <a:ext cx="548640" cy="25776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>
            <a:off x="1644396" y="6312275"/>
            <a:ext cx="548640" cy="7620"/>
          </a:xfrm>
          <a:prstGeom prst="line">
            <a:avLst/>
          </a:prstGeom>
          <a:ln w="12700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/>
          <xdr:cNvSpPr/>
        </xdr:nvSpPr>
        <xdr:spPr>
          <a:xfrm>
            <a:off x="962406" y="4491095"/>
            <a:ext cx="754380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12.38%</a:t>
            </a:r>
          </a:p>
        </xdr:txBody>
      </xdr:sp>
      <xdr:sp macro="" textlink="">
        <xdr:nvSpPr>
          <xdr:cNvPr id="18" name="Rectangle 17"/>
          <xdr:cNvSpPr/>
        </xdr:nvSpPr>
        <xdr:spPr>
          <a:xfrm>
            <a:off x="960120" y="5756015"/>
            <a:ext cx="758952" cy="274320"/>
          </a:xfrm>
          <a:prstGeom prst="rect">
            <a:avLst/>
          </a:prstGeom>
          <a:ln w="9525">
            <a:solidFill>
              <a:srgbClr val="0000FF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200" b="1"/>
              <a:t>10.82%</a:t>
            </a:r>
          </a:p>
        </xdr:txBody>
      </xdr:sp>
    </xdr:grpSp>
    <xdr:clientData/>
  </xdr:twoCellAnchor>
  <xdr:twoCellAnchor>
    <xdr:from>
      <xdr:col>5</xdr:col>
      <xdr:colOff>30480</xdr:colOff>
      <xdr:row>77</xdr:row>
      <xdr:rowOff>106680</xdr:rowOff>
    </xdr:from>
    <xdr:to>
      <xdr:col>5</xdr:col>
      <xdr:colOff>670560</xdr:colOff>
      <xdr:row>77</xdr:row>
      <xdr:rowOff>106680</xdr:rowOff>
    </xdr:to>
    <xdr:cxnSp macro="">
      <xdr:nvCxnSpPr>
        <xdr:cNvPr id="11" name="Straight Arrow Connector 10"/>
        <xdr:cNvCxnSpPr/>
      </xdr:nvCxnSpPr>
      <xdr:spPr>
        <a:xfrm flipH="1" flipV="1">
          <a:off x="6957060" y="14493240"/>
          <a:ext cx="64008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</xdr:colOff>
      <xdr:row>102</xdr:row>
      <xdr:rowOff>99060</xdr:rowOff>
    </xdr:from>
    <xdr:to>
      <xdr:col>5</xdr:col>
      <xdr:colOff>571500</xdr:colOff>
      <xdr:row>102</xdr:row>
      <xdr:rowOff>99060</xdr:rowOff>
    </xdr:to>
    <xdr:cxnSp macro="">
      <xdr:nvCxnSpPr>
        <xdr:cNvPr id="12" name="Straight Arrow Connector 11"/>
        <xdr:cNvCxnSpPr/>
      </xdr:nvCxnSpPr>
      <xdr:spPr>
        <a:xfrm flipH="1" flipV="1">
          <a:off x="6949440" y="18684240"/>
          <a:ext cx="54864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182880</xdr:colOff>
      <xdr:row>43</xdr:row>
      <xdr:rowOff>106680</xdr:rowOff>
    </xdr:from>
    <xdr:to>
      <xdr:col>7</xdr:col>
      <xdr:colOff>822960</xdr:colOff>
      <xdr:row>43</xdr:row>
      <xdr:rowOff>106680</xdr:rowOff>
    </xdr:to>
    <xdr:cxnSp macro="">
      <xdr:nvCxnSpPr>
        <xdr:cNvPr id="22" name="Straight Arrow Connector 21"/>
        <xdr:cNvCxnSpPr/>
      </xdr:nvCxnSpPr>
      <xdr:spPr>
        <a:xfrm rot="10800000" flipH="1" flipV="1">
          <a:off x="8641080" y="8130540"/>
          <a:ext cx="64008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175260</xdr:colOff>
      <xdr:row>39</xdr:row>
      <xdr:rowOff>114300</xdr:rowOff>
    </xdr:from>
    <xdr:to>
      <xdr:col>7</xdr:col>
      <xdr:colOff>815340</xdr:colOff>
      <xdr:row>39</xdr:row>
      <xdr:rowOff>114300</xdr:rowOff>
    </xdr:to>
    <xdr:cxnSp macro="">
      <xdr:nvCxnSpPr>
        <xdr:cNvPr id="23" name="Straight Arrow Connector 22"/>
        <xdr:cNvCxnSpPr/>
      </xdr:nvCxnSpPr>
      <xdr:spPr>
        <a:xfrm rot="10800000" flipH="1" flipV="1">
          <a:off x="8633460" y="7437120"/>
          <a:ext cx="64008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</xdr:colOff>
      <xdr:row>102</xdr:row>
      <xdr:rowOff>114300</xdr:rowOff>
    </xdr:from>
    <xdr:to>
      <xdr:col>7</xdr:col>
      <xdr:colOff>792480</xdr:colOff>
      <xdr:row>102</xdr:row>
      <xdr:rowOff>114300</xdr:rowOff>
    </xdr:to>
    <xdr:cxnSp macro="">
      <xdr:nvCxnSpPr>
        <xdr:cNvPr id="26" name="Straight Arrow Connector 25"/>
        <xdr:cNvCxnSpPr/>
      </xdr:nvCxnSpPr>
      <xdr:spPr>
        <a:xfrm rot="10800000" flipH="1" flipV="1">
          <a:off x="8801100" y="19202400"/>
          <a:ext cx="73152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topLeftCell="D87" zoomScaleNormal="100" workbookViewId="0">
      <selection activeCell="N102" sqref="N102"/>
    </sheetView>
  </sheetViews>
  <sheetFormatPr defaultColWidth="9.109375" defaultRowHeight="13.2"/>
  <cols>
    <col min="1" max="1" width="5.5546875" style="1" customWidth="1"/>
    <col min="2" max="2" width="48.6640625" style="1" customWidth="1"/>
    <col min="3" max="3" width="16.33203125" style="1" customWidth="1"/>
    <col min="4" max="4" width="16.109375" style="1" customWidth="1"/>
    <col min="5" max="5" width="14.33203125" style="1" customWidth="1"/>
    <col min="6" max="6" width="12.44140625" style="1" bestFit="1" customWidth="1"/>
    <col min="7" max="7" width="14.88671875" style="1" customWidth="1"/>
    <col min="8" max="8" width="12.6640625" style="1" customWidth="1"/>
    <col min="9" max="9" width="50.5546875" style="1" customWidth="1"/>
    <col min="10" max="10" width="7.109375" style="1" customWidth="1"/>
    <col min="11" max="11" width="12.33203125" style="1" customWidth="1"/>
    <col min="12" max="12" width="13.33203125" style="1" customWidth="1"/>
    <col min="13" max="13" width="14.33203125" style="1" customWidth="1"/>
    <col min="14" max="14" width="12.109375" style="1" bestFit="1" customWidth="1"/>
    <col min="15" max="15" width="11.44140625" style="1" customWidth="1"/>
    <col min="16" max="16384" width="9.109375" style="1"/>
  </cols>
  <sheetData>
    <row r="1" spans="1:6" ht="17.399999999999999">
      <c r="A1" s="205" t="s">
        <v>107</v>
      </c>
      <c r="B1" s="205"/>
      <c r="C1" s="214" t="str">
        <f>VLOOKUP(A1,'List of ROE by TO'!B8:C29,2,FALSE)</f>
        <v>Aggregate</v>
      </c>
      <c r="D1" s="214"/>
      <c r="E1" s="214"/>
    </row>
    <row r="2" spans="1:6" ht="15.6">
      <c r="A2" s="208" t="s">
        <v>98</v>
      </c>
      <c r="B2" s="208"/>
      <c r="C2" s="208"/>
      <c r="D2" s="208"/>
      <c r="E2" s="208"/>
    </row>
    <row r="3" spans="1:6" ht="15.6">
      <c r="A3" s="181" t="s">
        <v>161</v>
      </c>
      <c r="B3" s="182"/>
      <c r="C3" s="183"/>
      <c r="D3" s="97"/>
      <c r="E3" s="97"/>
    </row>
    <row r="4" spans="1:6" ht="15.6">
      <c r="A4" s="210" t="s">
        <v>138</v>
      </c>
      <c r="B4" s="182"/>
      <c r="C4" s="183"/>
      <c r="D4" s="197"/>
      <c r="E4" s="197"/>
    </row>
    <row r="5" spans="1:6" ht="15.6">
      <c r="A5" s="181" t="s">
        <v>208</v>
      </c>
      <c r="B5" s="182"/>
      <c r="C5" s="183"/>
      <c r="D5" s="111"/>
      <c r="E5" s="111"/>
    </row>
    <row r="6" spans="1:6" ht="16.2" thickBot="1">
      <c r="A6" s="94"/>
      <c r="B6" s="315" t="s">
        <v>209</v>
      </c>
      <c r="C6" s="94"/>
      <c r="D6" s="94"/>
      <c r="E6" s="94"/>
    </row>
    <row r="7" spans="1:6" ht="15.6">
      <c r="A7" s="101"/>
      <c r="B7" s="102"/>
      <c r="C7" s="102"/>
      <c r="D7" s="102"/>
      <c r="E7" s="103"/>
    </row>
    <row r="8" spans="1:6" ht="15.6">
      <c r="A8" s="104" t="s">
        <v>81</v>
      </c>
      <c r="B8" s="94"/>
      <c r="C8" s="110" t="s">
        <v>82</v>
      </c>
      <c r="D8" s="110" t="s">
        <v>75</v>
      </c>
      <c r="E8" s="105"/>
    </row>
    <row r="9" spans="1:6">
      <c r="A9" s="81" t="s">
        <v>85</v>
      </c>
      <c r="B9" s="5"/>
      <c r="C9" s="14">
        <f>ROUND(D9/12,6)</f>
        <v>2.921E-3</v>
      </c>
      <c r="D9" s="235">
        <f>ROUND('Interest Rates'!G36,6)</f>
        <v>3.5053000000000001E-2</v>
      </c>
      <c r="E9" s="216"/>
      <c r="F9" s="215"/>
    </row>
    <row r="10" spans="1:6">
      <c r="A10" s="81" t="s">
        <v>86</v>
      </c>
      <c r="B10" s="5"/>
      <c r="C10" s="14">
        <f>ROUND(D10/12,6)</f>
        <v>1.5169999999999999E-3</v>
      </c>
      <c r="D10" s="235">
        <f>ROUND('Interest Rates'!E36,6)</f>
        <v>1.8204999999999999E-2</v>
      </c>
      <c r="E10" s="216"/>
      <c r="F10" s="215"/>
    </row>
    <row r="11" spans="1:6" ht="16.2" thickBot="1">
      <c r="A11" s="106"/>
      <c r="B11" s="62"/>
      <c r="C11" s="107"/>
      <c r="D11" s="108"/>
      <c r="E11" s="109"/>
    </row>
    <row r="12" spans="1:6" ht="15.6">
      <c r="A12" s="94"/>
      <c r="B12" s="5"/>
      <c r="C12" s="14"/>
      <c r="D12" s="4"/>
      <c r="E12" s="42"/>
    </row>
    <row r="13" spans="1:6" ht="16.2" thickBot="1">
      <c r="A13" s="97"/>
      <c r="B13" s="5"/>
      <c r="C13" s="14"/>
      <c r="D13" s="4"/>
      <c r="E13" s="42"/>
    </row>
    <row r="14" spans="1:6" ht="14.4">
      <c r="A14" s="178" t="s">
        <v>83</v>
      </c>
      <c r="B14" s="179"/>
      <c r="C14" s="36"/>
      <c r="D14" s="36"/>
      <c r="E14" s="36"/>
      <c r="F14" s="37"/>
    </row>
    <row r="15" spans="1:6" ht="14.4">
      <c r="A15" s="124" t="s">
        <v>99</v>
      </c>
      <c r="B15" s="6"/>
      <c r="C15" s="38"/>
      <c r="D15" s="38"/>
      <c r="E15" s="38"/>
      <c r="F15" s="39"/>
    </row>
    <row r="16" spans="1:6" ht="14.4">
      <c r="A16" s="124" t="s">
        <v>100</v>
      </c>
      <c r="B16" s="6"/>
      <c r="C16" s="38"/>
      <c r="D16" s="38"/>
      <c r="E16" s="38"/>
      <c r="F16" s="39"/>
    </row>
    <row r="17" spans="1:6" ht="14.4">
      <c r="A17" s="124" t="s">
        <v>141</v>
      </c>
      <c r="B17" s="6"/>
      <c r="C17" s="38"/>
      <c r="D17" s="38"/>
      <c r="E17" s="38"/>
      <c r="F17" s="39"/>
    </row>
    <row r="18" spans="1:6" ht="14.4">
      <c r="A18" s="123"/>
      <c r="B18" s="6"/>
      <c r="C18" s="38"/>
      <c r="D18" s="38"/>
      <c r="E18" s="38"/>
      <c r="F18" s="39"/>
    </row>
    <row r="19" spans="1:6" ht="14.4">
      <c r="A19" s="51"/>
      <c r="B19" s="38"/>
      <c r="C19" s="112" t="s">
        <v>5</v>
      </c>
      <c r="D19" s="112" t="s">
        <v>84</v>
      </c>
      <c r="E19" s="38"/>
      <c r="F19" s="39"/>
    </row>
    <row r="20" spans="1:6" ht="14.4">
      <c r="A20" s="51"/>
      <c r="B20" s="38"/>
      <c r="C20" s="113" t="s">
        <v>7</v>
      </c>
      <c r="D20" s="113" t="s">
        <v>18</v>
      </c>
      <c r="E20" s="38"/>
      <c r="F20" s="39"/>
    </row>
    <row r="21" spans="1:6" ht="14.4">
      <c r="A21" s="51"/>
      <c r="B21" s="86" t="s">
        <v>8</v>
      </c>
      <c r="C21" s="40">
        <v>31</v>
      </c>
      <c r="D21" s="40">
        <v>31</v>
      </c>
      <c r="E21" s="38"/>
      <c r="F21" s="95"/>
    </row>
    <row r="22" spans="1:6" ht="14.4">
      <c r="A22" s="51"/>
      <c r="B22" s="86" t="s">
        <v>9</v>
      </c>
      <c r="C22" s="40">
        <v>29</v>
      </c>
      <c r="D22" s="40">
        <v>29</v>
      </c>
      <c r="E22" s="38"/>
      <c r="F22" s="95"/>
    </row>
    <row r="23" spans="1:6" ht="14.4">
      <c r="A23" s="51"/>
      <c r="B23" s="87" t="s">
        <v>10</v>
      </c>
      <c r="C23" s="40">
        <v>31</v>
      </c>
      <c r="D23" s="40">
        <v>31</v>
      </c>
      <c r="E23" s="38"/>
      <c r="F23" s="95"/>
    </row>
    <row r="24" spans="1:6" ht="14.4">
      <c r="A24" s="51"/>
      <c r="B24" s="87" t="s">
        <v>11</v>
      </c>
      <c r="C24" s="40">
        <v>30</v>
      </c>
      <c r="D24" s="40">
        <v>30</v>
      </c>
      <c r="E24" s="38"/>
      <c r="F24" s="95"/>
    </row>
    <row r="25" spans="1:6" ht="14.4">
      <c r="A25" s="51"/>
      <c r="B25" s="87" t="s">
        <v>12</v>
      </c>
      <c r="C25" s="40">
        <v>31</v>
      </c>
      <c r="D25" s="40">
        <v>31</v>
      </c>
      <c r="E25" s="38"/>
      <c r="F25" s="95"/>
    </row>
    <row r="26" spans="1:6" ht="14.4">
      <c r="A26" s="51"/>
      <c r="B26" s="87" t="s">
        <v>13</v>
      </c>
      <c r="C26" s="40">
        <v>30</v>
      </c>
      <c r="D26" s="40">
        <v>30</v>
      </c>
      <c r="E26" s="38"/>
      <c r="F26" s="95"/>
    </row>
    <row r="27" spans="1:6" ht="14.4">
      <c r="A27" s="51"/>
      <c r="B27" s="87" t="s">
        <v>14</v>
      </c>
      <c r="C27" s="40">
        <v>31</v>
      </c>
      <c r="D27" s="40">
        <v>31</v>
      </c>
      <c r="E27" s="38"/>
      <c r="F27" s="95"/>
    </row>
    <row r="28" spans="1:6" ht="14.4">
      <c r="A28" s="51"/>
      <c r="B28" s="87" t="s">
        <v>15</v>
      </c>
      <c r="C28" s="40">
        <v>31</v>
      </c>
      <c r="D28" s="40">
        <v>31</v>
      </c>
      <c r="E28" s="38"/>
      <c r="F28" s="95"/>
    </row>
    <row r="29" spans="1:6" ht="14.4">
      <c r="A29" s="51"/>
      <c r="B29" s="87" t="s">
        <v>79</v>
      </c>
      <c r="C29" s="40">
        <v>30</v>
      </c>
      <c r="D29" s="40">
        <v>27</v>
      </c>
      <c r="E29" s="38">
        <f>SUM(D21:D29)</f>
        <v>271</v>
      </c>
      <c r="F29" s="96">
        <f>ROUND(E29/$D$34,4)</f>
        <v>0.74039999999999995</v>
      </c>
    </row>
    <row r="30" spans="1:6" ht="14.4">
      <c r="A30" s="51"/>
      <c r="B30" s="88" t="s">
        <v>80</v>
      </c>
      <c r="C30" s="40"/>
      <c r="D30" s="40">
        <v>3</v>
      </c>
      <c r="E30" s="38"/>
      <c r="F30" s="95"/>
    </row>
    <row r="31" spans="1:6" ht="14.4">
      <c r="A31" s="51"/>
      <c r="B31" s="87" t="s">
        <v>16</v>
      </c>
      <c r="C31" s="40">
        <v>31</v>
      </c>
      <c r="D31" s="40">
        <v>31</v>
      </c>
      <c r="E31" s="38"/>
      <c r="F31" s="95"/>
    </row>
    <row r="32" spans="1:6" ht="14.4">
      <c r="A32" s="51"/>
      <c r="B32" s="87" t="s">
        <v>78</v>
      </c>
      <c r="C32" s="40">
        <v>30</v>
      </c>
      <c r="D32" s="40">
        <v>30</v>
      </c>
      <c r="E32" s="38"/>
      <c r="F32" s="95"/>
    </row>
    <row r="33" spans="1:13" ht="14.4">
      <c r="A33" s="51"/>
      <c r="B33" s="87" t="s">
        <v>17</v>
      </c>
      <c r="C33" s="40">
        <v>31</v>
      </c>
      <c r="D33" s="40">
        <v>31</v>
      </c>
      <c r="E33" s="38">
        <f>SUM(D30:D33)</f>
        <v>95</v>
      </c>
      <c r="F33" s="96">
        <f>ROUND(E33/$D$34,4)</f>
        <v>0.2596</v>
      </c>
    </row>
    <row r="34" spans="1:13" ht="15" thickBot="1">
      <c r="A34" s="61"/>
      <c r="B34" s="41"/>
      <c r="C34" s="41"/>
      <c r="D34" s="41">
        <f>SUM(D21:D33)</f>
        <v>366</v>
      </c>
      <c r="E34" s="41"/>
      <c r="F34" s="180">
        <f>SUM(F21:F33)</f>
        <v>1</v>
      </c>
    </row>
    <row r="35" spans="1:13" ht="15.6">
      <c r="A35" s="94"/>
      <c r="B35" s="5"/>
      <c r="C35" s="14"/>
      <c r="D35" s="4"/>
      <c r="E35" s="42"/>
    </row>
    <row r="36" spans="1:13" ht="16.2" thickBot="1">
      <c r="A36" s="43"/>
      <c r="B36" s="43"/>
      <c r="C36" s="43"/>
      <c r="D36" s="43"/>
      <c r="E36" s="43"/>
    </row>
    <row r="37" spans="1:13" ht="13.8">
      <c r="A37" s="65" t="s">
        <v>196</v>
      </c>
      <c r="B37" s="46"/>
      <c r="C37" s="47"/>
      <c r="D37" s="47"/>
      <c r="E37" s="48"/>
      <c r="I37" s="65" t="s">
        <v>195</v>
      </c>
      <c r="J37" s="46"/>
      <c r="K37" s="47"/>
      <c r="L37" s="47"/>
      <c r="M37" s="48"/>
    </row>
    <row r="38" spans="1:13" ht="13.2" customHeight="1">
      <c r="A38" s="51"/>
      <c r="B38" s="5"/>
      <c r="C38" s="195" t="s">
        <v>134</v>
      </c>
      <c r="D38" s="207" t="s">
        <v>134</v>
      </c>
      <c r="E38" s="196" t="s">
        <v>135</v>
      </c>
      <c r="I38" s="51"/>
      <c r="J38" s="5"/>
      <c r="K38" s="195" t="s">
        <v>134</v>
      </c>
      <c r="L38" s="207" t="s">
        <v>134</v>
      </c>
      <c r="M38" s="196" t="s">
        <v>135</v>
      </c>
    </row>
    <row r="39" spans="1:13">
      <c r="A39" s="49" t="s">
        <v>97</v>
      </c>
      <c r="B39" s="5"/>
      <c r="C39" s="206">
        <f>VLOOKUP($A$1,'List of ROE by TO'!$B$8:$E$29,3,FALSE)</f>
        <v>0.12379999999999999</v>
      </c>
      <c r="D39" s="206">
        <f>VLOOKUP($A$1,'List of ROE by TO'!$B$8:$E$29,4,FALSE)</f>
        <v>0.1082</v>
      </c>
      <c r="E39" s="196" t="s">
        <v>136</v>
      </c>
      <c r="I39" s="49" t="s">
        <v>97</v>
      </c>
      <c r="J39" s="5"/>
      <c r="K39" s="206">
        <f>VLOOKUP($A$1,'List of ROE by TO'!$B$8:$E$29,3,FALSE)</f>
        <v>0.12379999999999999</v>
      </c>
      <c r="L39" s="206">
        <f>VLOOKUP($A$1,'List of ROE by TO'!$B$8:$E$29,4,FALSE)</f>
        <v>0.1082</v>
      </c>
      <c r="M39" s="196" t="s">
        <v>136</v>
      </c>
    </row>
    <row r="40" spans="1:13">
      <c r="A40" s="81" t="s">
        <v>197</v>
      </c>
      <c r="B40" s="82"/>
      <c r="C40" s="114">
        <v>42494195.971091874</v>
      </c>
      <c r="D40" s="114">
        <v>39956161.900865279</v>
      </c>
      <c r="E40" s="50"/>
      <c r="G40" s="256" t="s">
        <v>178</v>
      </c>
      <c r="I40" s="81" t="s">
        <v>197</v>
      </c>
      <c r="J40" s="82"/>
      <c r="K40" s="114">
        <v>16612081</v>
      </c>
      <c r="L40" s="114">
        <v>15632335</v>
      </c>
      <c r="M40" s="50"/>
    </row>
    <row r="41" spans="1:13">
      <c r="A41" s="81" t="s">
        <v>172</v>
      </c>
      <c r="B41" s="82"/>
      <c r="C41" s="9">
        <f>$F$29</f>
        <v>0.74039999999999995</v>
      </c>
      <c r="D41" s="9">
        <f>$F$33</f>
        <v>0.2596</v>
      </c>
      <c r="E41" s="50"/>
      <c r="G41" s="256" t="s">
        <v>173</v>
      </c>
      <c r="I41" s="81" t="s">
        <v>172</v>
      </c>
      <c r="J41" s="82"/>
      <c r="K41" s="9">
        <f>$F$29</f>
        <v>0.74039999999999995</v>
      </c>
      <c r="L41" s="9">
        <f>$F$33</f>
        <v>0.2596</v>
      </c>
      <c r="M41" s="50"/>
    </row>
    <row r="42" spans="1:13">
      <c r="A42" s="83" t="s">
        <v>87</v>
      </c>
      <c r="B42" s="84"/>
      <c r="C42" s="10">
        <f>ROUND(C40*C41,0)</f>
        <v>31462703</v>
      </c>
      <c r="D42" s="10">
        <f>ROUND(D40*D41,0)</f>
        <v>10372620</v>
      </c>
      <c r="E42" s="72">
        <f>ROUND(C42+D42,0)</f>
        <v>41835323</v>
      </c>
      <c r="G42" s="256" t="s">
        <v>174</v>
      </c>
      <c r="I42" s="83" t="s">
        <v>87</v>
      </c>
      <c r="J42" s="84"/>
      <c r="K42" s="10">
        <f>ROUND(K40*K41,0)</f>
        <v>12299585</v>
      </c>
      <c r="L42" s="10">
        <f>ROUND(L40*L41,0)</f>
        <v>4058154</v>
      </c>
      <c r="M42" s="72">
        <f>ROUND(K42+L42,0)</f>
        <v>16357739</v>
      </c>
    </row>
    <row r="43" spans="1:13">
      <c r="A43" s="81"/>
      <c r="B43" s="82"/>
      <c r="C43" s="5"/>
      <c r="D43" s="5"/>
      <c r="E43" s="50"/>
      <c r="G43" s="256"/>
      <c r="I43" s="81"/>
      <c r="J43" s="82"/>
      <c r="K43" s="5"/>
      <c r="L43" s="5"/>
      <c r="M43" s="50"/>
    </row>
    <row r="44" spans="1:13">
      <c r="A44" s="81" t="s">
        <v>198</v>
      </c>
      <c r="B44" s="82"/>
      <c r="C44" s="115">
        <v>46616319</v>
      </c>
      <c r="D44" s="115">
        <v>44183333</v>
      </c>
      <c r="E44" s="50"/>
      <c r="G44" s="257" t="s">
        <v>177</v>
      </c>
      <c r="H44" s="5"/>
      <c r="I44" s="81" t="s">
        <v>198</v>
      </c>
      <c r="J44" s="82"/>
      <c r="K44" s="115">
        <v>14669128</v>
      </c>
      <c r="L44" s="115">
        <v>13723436</v>
      </c>
      <c r="M44" s="50"/>
    </row>
    <row r="45" spans="1:13">
      <c r="A45" s="81" t="s">
        <v>171</v>
      </c>
      <c r="B45" s="82"/>
      <c r="C45" s="9">
        <f>$F$29</f>
        <v>0.74039999999999995</v>
      </c>
      <c r="D45" s="9">
        <f>$F$33</f>
        <v>0.2596</v>
      </c>
      <c r="E45" s="50"/>
      <c r="G45" s="257" t="s">
        <v>175</v>
      </c>
      <c r="H45" s="5"/>
      <c r="I45" s="81" t="s">
        <v>171</v>
      </c>
      <c r="J45" s="82"/>
      <c r="K45" s="9">
        <f>$F$29</f>
        <v>0.74039999999999995</v>
      </c>
      <c r="L45" s="9">
        <f>$F$33</f>
        <v>0.2596</v>
      </c>
      <c r="M45" s="50"/>
    </row>
    <row r="46" spans="1:13">
      <c r="A46" s="83" t="s">
        <v>88</v>
      </c>
      <c r="B46" s="82"/>
      <c r="C46" s="10">
        <f>ROUND(C44*C45,0)</f>
        <v>34514723</v>
      </c>
      <c r="D46" s="10">
        <f>ROUND(D44*D45,0)</f>
        <v>11469993</v>
      </c>
      <c r="E46" s="72">
        <f>ROUND(C46+D46,0)</f>
        <v>45984716</v>
      </c>
      <c r="G46" s="257" t="s">
        <v>176</v>
      </c>
      <c r="H46" s="5"/>
      <c r="I46" s="83" t="s">
        <v>88</v>
      </c>
      <c r="J46" s="82"/>
      <c r="K46" s="10">
        <f>ROUND(K44*K45,0)</f>
        <v>10861022</v>
      </c>
      <c r="L46" s="10">
        <f>ROUND(L44*L45,0)</f>
        <v>3562604</v>
      </c>
      <c r="M46" s="72">
        <f>ROUND(K46+L46,0)</f>
        <v>14423626</v>
      </c>
    </row>
    <row r="47" spans="1:13">
      <c r="A47" s="51"/>
      <c r="B47" s="5"/>
      <c r="C47" s="7"/>
      <c r="D47" s="7"/>
      <c r="E47" s="53"/>
      <c r="I47" s="51"/>
      <c r="J47" s="5"/>
      <c r="K47" s="7"/>
      <c r="L47" s="7"/>
      <c r="M47" s="53"/>
    </row>
    <row r="48" spans="1:13">
      <c r="A48" s="49" t="s">
        <v>89</v>
      </c>
      <c r="B48" s="5"/>
      <c r="C48" s="68">
        <f>ROUND(C42-C46,0)</f>
        <v>-3052020</v>
      </c>
      <c r="D48" s="68">
        <f>ROUND(D42-D46,0)</f>
        <v>-1097373</v>
      </c>
      <c r="E48" s="71">
        <f>ROUND(C48+D48,0)</f>
        <v>-4149393</v>
      </c>
      <c r="G48" s="13"/>
      <c r="I48" s="49" t="s">
        <v>89</v>
      </c>
      <c r="J48" s="5"/>
      <c r="K48" s="68">
        <f>ROUND(K42-K46,0)</f>
        <v>1438563</v>
      </c>
      <c r="L48" s="68">
        <f>ROUND(L42-L46,0)</f>
        <v>495550</v>
      </c>
      <c r="M48" s="71">
        <f>ROUND(K48+L48,0)</f>
        <v>1934113</v>
      </c>
    </row>
    <row r="49" spans="1:13">
      <c r="A49" s="51"/>
      <c r="B49" s="5"/>
      <c r="C49" s="7"/>
      <c r="D49" s="7"/>
      <c r="E49" s="53"/>
      <c r="I49" s="51"/>
      <c r="J49" s="5"/>
      <c r="K49" s="7"/>
      <c r="L49" s="7"/>
      <c r="M49" s="53"/>
    </row>
    <row r="50" spans="1:13">
      <c r="A50" s="54" t="s">
        <v>147</v>
      </c>
      <c r="B50" s="11"/>
      <c r="C50" s="35"/>
      <c r="D50" s="35"/>
      <c r="E50" s="116">
        <v>1427000</v>
      </c>
      <c r="I50" s="54" t="s">
        <v>147</v>
      </c>
      <c r="J50" s="11"/>
      <c r="K50" s="35"/>
      <c r="L50" s="35"/>
      <c r="M50" s="116">
        <v>550000</v>
      </c>
    </row>
    <row r="51" spans="1:13">
      <c r="A51" s="54" t="s">
        <v>148</v>
      </c>
      <c r="B51" s="11"/>
      <c r="C51" s="35"/>
      <c r="D51" s="35"/>
      <c r="E51" s="117">
        <v>1463000</v>
      </c>
      <c r="I51" s="54" t="s">
        <v>148</v>
      </c>
      <c r="J51" s="11"/>
      <c r="K51" s="35"/>
      <c r="L51" s="35"/>
      <c r="M51" s="117">
        <v>550000</v>
      </c>
    </row>
    <row r="52" spans="1:13">
      <c r="A52" s="54" t="s">
        <v>0</v>
      </c>
      <c r="B52" s="11"/>
      <c r="C52" s="34"/>
      <c r="D52" s="34"/>
      <c r="E52" s="55">
        <f>ROUND(E51-E50,0)</f>
        <v>36000</v>
      </c>
      <c r="I52" s="54" t="s">
        <v>0</v>
      </c>
      <c r="J52" s="11"/>
      <c r="K52" s="34"/>
      <c r="L52" s="34"/>
      <c r="M52" s="55">
        <f>ROUND(M51-M50,0)</f>
        <v>0</v>
      </c>
    </row>
    <row r="53" spans="1:13">
      <c r="A53" s="54"/>
      <c r="B53" s="11"/>
      <c r="C53" s="34"/>
      <c r="D53" s="34"/>
      <c r="E53" s="55"/>
      <c r="I53" s="54"/>
      <c r="J53" s="11"/>
      <c r="K53" s="34"/>
      <c r="L53" s="34"/>
      <c r="M53" s="55"/>
    </row>
    <row r="54" spans="1:13">
      <c r="A54" s="54" t="s">
        <v>1</v>
      </c>
      <c r="B54" s="11"/>
      <c r="C54" s="44">
        <f>ROUND(C44/E51,4)</f>
        <v>31.863499999999998</v>
      </c>
      <c r="D54" s="44">
        <f>ROUND(D44/E51,4)</f>
        <v>30.200500000000002</v>
      </c>
      <c r="E54" s="53"/>
      <c r="I54" s="54" t="s">
        <v>1</v>
      </c>
      <c r="J54" s="11"/>
      <c r="K54" s="44">
        <f>ROUND(K44/M51,4)</f>
        <v>26.671099999999999</v>
      </c>
      <c r="L54" s="44">
        <f>ROUND(L44/M51,4)</f>
        <v>24.951699999999999</v>
      </c>
      <c r="M54" s="53"/>
    </row>
    <row r="55" spans="1:13">
      <c r="A55" s="51" t="s">
        <v>4</v>
      </c>
      <c r="B55" s="45"/>
      <c r="C55" s="9">
        <f>$F$29</f>
        <v>0.74039999999999995</v>
      </c>
      <c r="D55" s="9">
        <f>$F$33</f>
        <v>0.2596</v>
      </c>
      <c r="E55" s="53"/>
      <c r="I55" s="51" t="s">
        <v>4</v>
      </c>
      <c r="J55" s="45"/>
      <c r="K55" s="9">
        <f>$F$29</f>
        <v>0.74039999999999995</v>
      </c>
      <c r="L55" s="9">
        <f>$F$33</f>
        <v>0.2596</v>
      </c>
      <c r="M55" s="53"/>
    </row>
    <row r="56" spans="1:13">
      <c r="A56" s="54" t="s">
        <v>90</v>
      </c>
      <c r="B56" s="11"/>
      <c r="C56" s="44">
        <f>ROUND(C55*C54,4)</f>
        <v>23.591699999999999</v>
      </c>
      <c r="D56" s="44">
        <f>ROUND(D55*D54,4)</f>
        <v>7.84</v>
      </c>
      <c r="E56" s="70">
        <f>SUM(C56:D56)</f>
        <v>31.431699999999999</v>
      </c>
      <c r="I56" s="54" t="s">
        <v>90</v>
      </c>
      <c r="J56" s="11"/>
      <c r="K56" s="44">
        <f>ROUND(K55*K54,4)</f>
        <v>19.747299999999999</v>
      </c>
      <c r="L56" s="44">
        <f>ROUND(L55*L54,4)</f>
        <v>6.4775</v>
      </c>
      <c r="M56" s="70">
        <f>SUM(K56:L56)</f>
        <v>26.224799999999998</v>
      </c>
    </row>
    <row r="57" spans="1:13">
      <c r="A57" s="54"/>
      <c r="B57" s="11"/>
      <c r="C57" s="44"/>
      <c r="D57" s="44"/>
      <c r="E57" s="56"/>
      <c r="I57" s="54"/>
      <c r="J57" s="11"/>
      <c r="K57" s="44"/>
      <c r="L57" s="44"/>
      <c r="M57" s="56"/>
    </row>
    <row r="58" spans="1:13">
      <c r="A58" s="57" t="s">
        <v>77</v>
      </c>
      <c r="B58" s="12"/>
      <c r="C58" s="10"/>
      <c r="D58" s="10"/>
      <c r="E58" s="100">
        <f>ROUND(E52*E56,0)</f>
        <v>1131541</v>
      </c>
      <c r="I58" s="57" t="s">
        <v>77</v>
      </c>
      <c r="J58" s="12"/>
      <c r="K58" s="10"/>
      <c r="L58" s="10"/>
      <c r="M58" s="100">
        <f>ROUND(M52*M56,0)</f>
        <v>0</v>
      </c>
    </row>
    <row r="59" spans="1:13">
      <c r="A59" s="57"/>
      <c r="B59" s="12"/>
      <c r="C59" s="7"/>
      <c r="D59" s="7"/>
      <c r="E59" s="53"/>
      <c r="I59" s="57"/>
      <c r="J59" s="12"/>
      <c r="K59" s="7"/>
      <c r="L59" s="7"/>
      <c r="M59" s="53"/>
    </row>
    <row r="60" spans="1:13">
      <c r="A60" s="51"/>
      <c r="B60" s="5"/>
      <c r="C60" s="7"/>
      <c r="D60" s="7"/>
      <c r="E60" s="53"/>
      <c r="I60" s="51"/>
      <c r="J60" s="5"/>
      <c r="K60" s="7"/>
      <c r="L60" s="7"/>
      <c r="M60" s="53"/>
    </row>
    <row r="61" spans="1:13">
      <c r="A61" s="58" t="s">
        <v>2</v>
      </c>
      <c r="B61" s="5"/>
      <c r="C61" s="69"/>
      <c r="D61" s="69"/>
      <c r="E61" s="245">
        <f>ROUND(E48+E58,0)</f>
        <v>-3017852</v>
      </c>
      <c r="I61" s="58" t="s">
        <v>2</v>
      </c>
      <c r="J61" s="5"/>
      <c r="K61" s="69"/>
      <c r="L61" s="69"/>
      <c r="M61" s="245">
        <f>ROUND(M48+M58,0)</f>
        <v>1934113</v>
      </c>
    </row>
    <row r="62" spans="1:13">
      <c r="A62" s="51"/>
      <c r="B62" s="5"/>
      <c r="C62" s="7"/>
      <c r="D62" s="7"/>
      <c r="E62" s="53"/>
      <c r="I62" s="51"/>
      <c r="J62" s="5"/>
      <c r="K62" s="7"/>
      <c r="L62" s="7"/>
      <c r="M62" s="53"/>
    </row>
    <row r="63" spans="1:13">
      <c r="A63" s="51" t="s">
        <v>142</v>
      </c>
      <c r="B63" s="5"/>
      <c r="C63" s="14"/>
      <c r="D63" s="14"/>
      <c r="E63" s="59">
        <f>IF(E61&gt;0,$C$10,$C$9)</f>
        <v>2.921E-3</v>
      </c>
      <c r="I63" s="51" t="s">
        <v>142</v>
      </c>
      <c r="J63" s="5"/>
      <c r="K63" s="14"/>
      <c r="L63" s="14"/>
      <c r="M63" s="59">
        <f>IF(M61&gt;0,$C$10,$C$9)</f>
        <v>1.5169999999999999E-3</v>
      </c>
    </row>
    <row r="64" spans="1:13">
      <c r="A64" s="51" t="s">
        <v>3</v>
      </c>
      <c r="B64" s="5"/>
      <c r="C64" s="7"/>
      <c r="D64" s="7"/>
      <c r="E64" s="66">
        <f>ROUND(E61*(E63*24),0)</f>
        <v>-211563</v>
      </c>
      <c r="I64" s="51" t="s">
        <v>3</v>
      </c>
      <c r="J64" s="5"/>
      <c r="K64" s="7"/>
      <c r="L64" s="7"/>
      <c r="M64" s="66">
        <f>ROUND(M61*(M63*24),0)</f>
        <v>70417</v>
      </c>
    </row>
    <row r="65" spans="1:13">
      <c r="A65" s="51"/>
      <c r="B65" s="5"/>
      <c r="C65" s="7"/>
      <c r="D65" s="7"/>
      <c r="E65" s="60"/>
      <c r="I65" s="51"/>
      <c r="J65" s="5"/>
      <c r="K65" s="7"/>
      <c r="L65" s="7"/>
      <c r="M65" s="60"/>
    </row>
    <row r="66" spans="1:13" ht="13.8">
      <c r="A66" s="49" t="s">
        <v>91</v>
      </c>
      <c r="B66" s="5"/>
      <c r="C66" s="7"/>
      <c r="D66" s="7"/>
      <c r="E66" s="254">
        <f>ROUND(E61+E64,0)</f>
        <v>-3229415</v>
      </c>
      <c r="I66" s="49" t="s">
        <v>91</v>
      </c>
      <c r="J66" s="5"/>
      <c r="K66" s="7"/>
      <c r="L66" s="7"/>
      <c r="M66" s="254">
        <f>ROUND(M61+M64,0)</f>
        <v>2004530</v>
      </c>
    </row>
    <row r="67" spans="1:13" ht="13.8" thickBot="1">
      <c r="A67" s="61"/>
      <c r="B67" s="62"/>
      <c r="C67" s="63"/>
      <c r="D67" s="63"/>
      <c r="E67" s="64"/>
      <c r="I67" s="61"/>
      <c r="J67" s="62"/>
      <c r="K67" s="63"/>
      <c r="L67" s="63"/>
      <c r="M67" s="64"/>
    </row>
    <row r="68" spans="1:13">
      <c r="A68" s="5"/>
      <c r="B68" s="5"/>
      <c r="C68" s="7"/>
      <c r="D68" s="7"/>
      <c r="E68" s="3"/>
      <c r="I68" s="5"/>
      <c r="J68" s="5"/>
      <c r="K68" s="7"/>
      <c r="L68" s="7"/>
      <c r="M68" s="3"/>
    </row>
    <row r="69" spans="1:13" ht="13.8" thickBot="1">
      <c r="A69" s="5"/>
      <c r="B69" s="5"/>
      <c r="C69" s="7"/>
      <c r="D69" s="7"/>
      <c r="E69" s="3"/>
      <c r="I69" s="5"/>
      <c r="J69" s="5"/>
      <c r="K69" s="7"/>
      <c r="L69" s="7"/>
      <c r="M69" s="3"/>
    </row>
    <row r="70" spans="1:13" ht="15.6">
      <c r="A70" s="89" t="s">
        <v>199</v>
      </c>
      <c r="B70" s="78"/>
      <c r="C70" s="79"/>
      <c r="D70" s="79"/>
      <c r="E70" s="80"/>
      <c r="I70" s="89" t="s">
        <v>200</v>
      </c>
      <c r="J70" s="78"/>
      <c r="K70" s="79"/>
      <c r="L70" s="79"/>
      <c r="M70" s="80"/>
    </row>
    <row r="71" spans="1:13">
      <c r="A71" s="355"/>
      <c r="B71" s="356"/>
      <c r="C71" s="356"/>
      <c r="D71" s="356"/>
      <c r="E71" s="357"/>
      <c r="I71" s="358"/>
      <c r="J71" s="359"/>
      <c r="K71" s="359"/>
      <c r="L71" s="359"/>
      <c r="M71" s="360"/>
    </row>
    <row r="72" spans="1:13" ht="12.75" customHeight="1">
      <c r="A72" s="51"/>
      <c r="B72" s="5"/>
      <c r="C72" s="195" t="s">
        <v>134</v>
      </c>
      <c r="D72" s="207" t="s">
        <v>134</v>
      </c>
      <c r="E72" s="196" t="s">
        <v>137</v>
      </c>
      <c r="I72" s="265"/>
      <c r="J72" s="98"/>
      <c r="K72" s="207"/>
      <c r="L72" s="207"/>
      <c r="M72" s="266"/>
    </row>
    <row r="73" spans="1:13">
      <c r="A73" s="49" t="s">
        <v>92</v>
      </c>
      <c r="B73" s="5"/>
      <c r="C73" s="219">
        <f>VLOOKUP($A$1,'List of ROE by TO'!$B$8:$E$29,3,FALSE)</f>
        <v>0.12379999999999999</v>
      </c>
      <c r="D73" s="219">
        <f>VLOOKUP($A$1,'List of ROE by TO'!$B$8:$E$29,4,FALSE)</f>
        <v>0.1082</v>
      </c>
      <c r="E73" s="196" t="s">
        <v>136</v>
      </c>
      <c r="I73" s="267"/>
      <c r="J73" s="98"/>
      <c r="K73" s="268"/>
      <c r="L73" s="268"/>
      <c r="M73" s="266"/>
    </row>
    <row r="74" spans="1:13" ht="30" customHeight="1">
      <c r="A74" s="353" t="s">
        <v>225</v>
      </c>
      <c r="B74" s="354"/>
      <c r="C74" s="115">
        <f>'2016 GG TU Weighted ROE'!H26</f>
        <v>26418332.033174075</v>
      </c>
      <c r="D74" s="115">
        <f>'2016 GG TU Weighted ROE'!H54</f>
        <v>24758920.147652213</v>
      </c>
      <c r="E74" s="50"/>
      <c r="I74" s="361"/>
      <c r="J74" s="362"/>
      <c r="K74" s="269"/>
      <c r="L74" s="269"/>
      <c r="M74" s="270"/>
    </row>
    <row r="75" spans="1:13">
      <c r="A75" s="51" t="s">
        <v>172</v>
      </c>
      <c r="B75" s="5"/>
      <c r="C75" s="9">
        <f>$F$29</f>
        <v>0.74039999999999995</v>
      </c>
      <c r="D75" s="9">
        <f>$F$33</f>
        <v>0.2596</v>
      </c>
      <c r="E75" s="50"/>
      <c r="I75" s="265"/>
      <c r="J75" s="98"/>
      <c r="K75" s="271"/>
      <c r="L75" s="271"/>
      <c r="M75" s="270"/>
    </row>
    <row r="76" spans="1:13">
      <c r="A76" s="52" t="s">
        <v>93</v>
      </c>
      <c r="B76" s="6"/>
      <c r="C76" s="7">
        <f>ROUND(C74*C75,0)</f>
        <v>19560133</v>
      </c>
      <c r="D76" s="7">
        <f>ROUND(D74*D75,0)</f>
        <v>6427416</v>
      </c>
      <c r="E76" s="67">
        <f>ROUND(C76+D76,0)</f>
        <v>25987549</v>
      </c>
      <c r="I76" s="272"/>
      <c r="J76" s="99"/>
      <c r="K76" s="7"/>
      <c r="L76" s="7"/>
      <c r="M76" s="67"/>
    </row>
    <row r="77" spans="1:13">
      <c r="A77" s="51"/>
      <c r="B77" s="6"/>
      <c r="C77" s="7"/>
      <c r="D77" s="7"/>
      <c r="E77" s="53"/>
      <c r="I77" s="265"/>
      <c r="J77" s="99"/>
      <c r="K77" s="7"/>
      <c r="L77" s="7"/>
      <c r="M77" s="53"/>
    </row>
    <row r="78" spans="1:13" ht="15.6">
      <c r="A78" s="51" t="s">
        <v>104</v>
      </c>
      <c r="B78" s="5"/>
      <c r="C78" s="74"/>
      <c r="D78" s="5"/>
      <c r="E78" s="118">
        <v>25535443</v>
      </c>
      <c r="G78" s="5" t="s">
        <v>210</v>
      </c>
      <c r="H78" s="5"/>
      <c r="I78" s="265"/>
      <c r="J78" s="98"/>
      <c r="K78" s="74"/>
      <c r="L78" s="98"/>
      <c r="M78" s="273"/>
    </row>
    <row r="79" spans="1:13">
      <c r="A79" s="329" t="s">
        <v>226</v>
      </c>
      <c r="B79" s="328"/>
      <c r="C79" s="330"/>
      <c r="D79" s="328"/>
      <c r="E79" s="336">
        <v>-275384</v>
      </c>
      <c r="G79" s="82" t="s">
        <v>193</v>
      </c>
      <c r="H79" s="5"/>
      <c r="I79" s="265"/>
      <c r="J79" s="98"/>
      <c r="K79" s="3"/>
      <c r="L79" s="98"/>
      <c r="M79" s="274"/>
    </row>
    <row r="80" spans="1:13" s="326" customFormat="1">
      <c r="A80" s="329"/>
      <c r="B80" s="328"/>
      <c r="C80" s="330"/>
      <c r="D80" s="328"/>
      <c r="E80" s="337">
        <f>SUM(E78:E79)</f>
        <v>25260059</v>
      </c>
      <c r="G80" s="331"/>
      <c r="H80" s="328"/>
      <c r="I80" s="333"/>
      <c r="J80" s="332"/>
      <c r="K80" s="327"/>
      <c r="L80" s="332"/>
      <c r="M80" s="335"/>
    </row>
    <row r="81" spans="1:13" s="326" customFormat="1">
      <c r="A81" s="329"/>
      <c r="B81" s="328"/>
      <c r="C81" s="330"/>
      <c r="D81" s="328"/>
      <c r="E81" s="334"/>
      <c r="G81" s="331"/>
      <c r="H81" s="328"/>
      <c r="I81" s="333"/>
      <c r="J81" s="332"/>
      <c r="K81" s="327"/>
      <c r="L81" s="332"/>
      <c r="M81" s="335"/>
    </row>
    <row r="82" spans="1:13">
      <c r="A82" s="49" t="s">
        <v>94</v>
      </c>
      <c r="B82" s="5"/>
      <c r="C82" s="8"/>
      <c r="D82" s="5"/>
      <c r="E82" s="338">
        <f>ROUND(E76-E80,0)</f>
        <v>727490</v>
      </c>
      <c r="G82" s="82"/>
      <c r="H82" s="5"/>
      <c r="I82" s="267"/>
      <c r="J82" s="98"/>
      <c r="K82" s="3"/>
      <c r="L82" s="98"/>
      <c r="M82" s="274"/>
    </row>
    <row r="83" spans="1:13">
      <c r="A83" s="51"/>
      <c r="B83" s="5"/>
      <c r="C83" s="8"/>
      <c r="D83" s="5"/>
      <c r="E83" s="75"/>
      <c r="I83" s="265"/>
      <c r="J83" s="98"/>
      <c r="K83" s="3"/>
      <c r="L83" s="98"/>
      <c r="M83" s="274"/>
    </row>
    <row r="84" spans="1:13">
      <c r="A84" s="51"/>
      <c r="B84" s="5"/>
      <c r="C84" s="8"/>
      <c r="D84" s="5"/>
      <c r="E84" s="75"/>
      <c r="I84" s="265"/>
      <c r="J84" s="98"/>
      <c r="K84" s="3"/>
      <c r="L84" s="98"/>
      <c r="M84" s="274"/>
    </row>
    <row r="85" spans="1:13">
      <c r="A85" s="51" t="s">
        <v>142</v>
      </c>
      <c r="B85" s="5"/>
      <c r="C85" s="8"/>
      <c r="D85" s="5"/>
      <c r="E85" s="59">
        <f>IF(E82&gt;0,$C$10,$C$9)</f>
        <v>1.5169999999999999E-3</v>
      </c>
      <c r="I85" s="265"/>
      <c r="J85" s="98"/>
      <c r="K85" s="3"/>
      <c r="L85" s="98"/>
      <c r="M85" s="59"/>
    </row>
    <row r="86" spans="1:13">
      <c r="A86" s="51" t="s">
        <v>3</v>
      </c>
      <c r="B86" s="5"/>
      <c r="C86" s="8"/>
      <c r="D86" s="5"/>
      <c r="E86" s="75">
        <f>ROUND(E82*(E85*24),0)</f>
        <v>26486</v>
      </c>
      <c r="I86" s="265"/>
      <c r="J86" s="98"/>
      <c r="K86" s="3"/>
      <c r="L86" s="98"/>
      <c r="M86" s="274"/>
    </row>
    <row r="87" spans="1:13" ht="26.4" customHeight="1">
      <c r="A87" s="51"/>
      <c r="B87" s="5"/>
      <c r="C87" s="8"/>
      <c r="D87" s="5"/>
      <c r="E87" s="75"/>
      <c r="F87" s="351" t="s">
        <v>103</v>
      </c>
      <c r="G87" s="352"/>
      <c r="H87" s="258"/>
      <c r="I87" s="265"/>
      <c r="J87" s="98"/>
      <c r="K87" s="3"/>
      <c r="L87" s="98"/>
      <c r="M87" s="274"/>
    </row>
    <row r="88" spans="1:13" ht="13.8">
      <c r="A88" s="49" t="s">
        <v>95</v>
      </c>
      <c r="B88" s="5"/>
      <c r="C88" s="8"/>
      <c r="D88" s="5"/>
      <c r="E88" s="121">
        <f>ROUND(E82+E86,0)</f>
        <v>753976</v>
      </c>
      <c r="F88" s="190">
        <f>'2016 GG TU Weighted ROE'!L80</f>
        <v>753976</v>
      </c>
      <c r="G88" s="191">
        <f>E88-F88</f>
        <v>0</v>
      </c>
      <c r="H88" s="191"/>
      <c r="I88" s="267"/>
      <c r="J88" s="98"/>
      <c r="K88" s="3"/>
      <c r="L88" s="98"/>
      <c r="M88" s="122"/>
    </row>
    <row r="89" spans="1:13" ht="16.2">
      <c r="A89" s="220" t="s">
        <v>149</v>
      </c>
      <c r="B89" s="5"/>
      <c r="C89" s="8"/>
      <c r="D89" s="5"/>
      <c r="E89" s="75"/>
      <c r="I89" s="220"/>
      <c r="J89" s="98"/>
      <c r="K89" s="3"/>
      <c r="L89" s="98"/>
      <c r="M89" s="274"/>
    </row>
    <row r="90" spans="1:13" ht="15" thickBot="1">
      <c r="A90" s="222"/>
      <c r="B90" s="62"/>
      <c r="C90" s="76"/>
      <c r="D90" s="62"/>
      <c r="E90" s="77"/>
      <c r="I90" s="222"/>
      <c r="J90" s="275"/>
      <c r="K90" s="276"/>
      <c r="L90" s="275"/>
      <c r="M90" s="277"/>
    </row>
    <row r="91" spans="1:13">
      <c r="A91" s="5"/>
      <c r="B91" s="5"/>
      <c r="C91" s="8"/>
      <c r="D91" s="5"/>
      <c r="E91" s="73"/>
      <c r="I91" s="5"/>
      <c r="J91" s="5"/>
      <c r="K91" s="8"/>
      <c r="L91" s="5"/>
      <c r="M91" s="73"/>
    </row>
    <row r="92" spans="1:13">
      <c r="A92" s="5"/>
      <c r="B92" s="5" t="s">
        <v>211</v>
      </c>
      <c r="C92" s="8"/>
      <c r="D92" s="5"/>
      <c r="E92" s="73"/>
      <c r="I92" s="5" t="s">
        <v>211</v>
      </c>
      <c r="K92" s="8"/>
      <c r="L92" s="5"/>
      <c r="M92" s="73"/>
    </row>
    <row r="93" spans="1:13">
      <c r="A93" s="5"/>
      <c r="B93" s="82" t="s">
        <v>169</v>
      </c>
      <c r="C93" s="8"/>
      <c r="D93" s="5"/>
      <c r="E93" s="73"/>
      <c r="I93" s="82" t="s">
        <v>169</v>
      </c>
      <c r="K93" s="8"/>
      <c r="L93" s="5"/>
      <c r="M93" s="73"/>
    </row>
    <row r="94" spans="1:13" ht="15" thickBot="1">
      <c r="A94" s="5"/>
      <c r="B94" s="5"/>
      <c r="C94" s="5"/>
      <c r="D94" s="5"/>
      <c r="E94" s="2"/>
      <c r="I94" s="5"/>
      <c r="J94" s="5"/>
      <c r="K94" s="5"/>
      <c r="L94" s="5"/>
      <c r="M94" s="2"/>
    </row>
    <row r="95" spans="1:13" ht="15.6">
      <c r="A95" s="90" t="s">
        <v>202</v>
      </c>
      <c r="B95" s="91"/>
      <c r="C95" s="92"/>
      <c r="D95" s="92"/>
      <c r="E95" s="93"/>
      <c r="I95" s="90" t="s">
        <v>201</v>
      </c>
      <c r="J95" s="91"/>
      <c r="K95" s="92"/>
      <c r="L95" s="92"/>
      <c r="M95" s="93"/>
    </row>
    <row r="96" spans="1:13">
      <c r="A96" s="355"/>
      <c r="B96" s="356"/>
      <c r="C96" s="356"/>
      <c r="D96" s="356"/>
      <c r="E96" s="357"/>
      <c r="I96" s="355"/>
      <c r="J96" s="356"/>
      <c r="K96" s="356"/>
      <c r="L96" s="356"/>
      <c r="M96" s="357"/>
    </row>
    <row r="97" spans="1:15" ht="12.75" customHeight="1">
      <c r="A97" s="49"/>
      <c r="B97" s="5"/>
      <c r="C97" s="195" t="s">
        <v>134</v>
      </c>
      <c r="D97" s="195" t="s">
        <v>134</v>
      </c>
      <c r="E97" s="196" t="s">
        <v>76</v>
      </c>
      <c r="F97" s="5"/>
      <c r="I97" s="49"/>
      <c r="J97" s="5"/>
      <c r="K97" s="195" t="s">
        <v>134</v>
      </c>
      <c r="L97" s="195" t="s">
        <v>134</v>
      </c>
      <c r="M97" s="196" t="s">
        <v>76</v>
      </c>
    </row>
    <row r="98" spans="1:15">
      <c r="A98" s="49" t="s">
        <v>96</v>
      </c>
      <c r="B98" s="5"/>
      <c r="C98" s="219">
        <f>VLOOKUP($A$1,'List of ROE by TO'!$B$8:$E$29,3,FALSE)</f>
        <v>0.12379999999999999</v>
      </c>
      <c r="D98" s="219">
        <f>VLOOKUP($A$1,'List of ROE by TO'!$B$8:$E$29,4,FALSE)</f>
        <v>0.1082</v>
      </c>
      <c r="E98" s="196" t="s">
        <v>136</v>
      </c>
      <c r="F98" s="5"/>
      <c r="I98" s="49" t="s">
        <v>96</v>
      </c>
      <c r="J98" s="5"/>
      <c r="K98" s="219">
        <f>VLOOKUP($A$1,'List of ROE by TO'!$B$8:$E$29,3,FALSE)</f>
        <v>0.12379999999999999</v>
      </c>
      <c r="L98" s="219">
        <f>VLOOKUP($A$1,'List of ROE by TO'!$B$8:$E$29,4,FALSE)</f>
        <v>0.1082</v>
      </c>
      <c r="M98" s="196" t="s">
        <v>136</v>
      </c>
    </row>
    <row r="99" spans="1:15" ht="27.6" customHeight="1">
      <c r="A99" s="353" t="s">
        <v>229</v>
      </c>
      <c r="B99" s="354"/>
      <c r="C99" s="115">
        <f>'2016 ZZ TU Weighted ROE'!H22</f>
        <v>9936381.7548884284</v>
      </c>
      <c r="D99" s="115">
        <f>'2016 ZZ TU Weighted ROE'!H47</f>
        <v>9307592.1717885546</v>
      </c>
      <c r="E99" s="50"/>
      <c r="F99" s="5"/>
      <c r="I99" s="353" t="s">
        <v>229</v>
      </c>
      <c r="J99" s="354"/>
      <c r="K99" s="115">
        <f>'2016 ZZ TU Weighted ROE'!U22</f>
        <v>1477351.9572040625</v>
      </c>
      <c r="L99" s="115">
        <f>'2016 ZZ TU Weighted ROE'!U47</f>
        <v>1370368.6815790439</v>
      </c>
      <c r="M99" s="50"/>
    </row>
    <row r="100" spans="1:15">
      <c r="A100" s="51" t="s">
        <v>172</v>
      </c>
      <c r="B100" s="5"/>
      <c r="C100" s="9">
        <f>$F$29</f>
        <v>0.74039999999999995</v>
      </c>
      <c r="D100" s="9">
        <f>$F$33</f>
        <v>0.2596</v>
      </c>
      <c r="E100" s="50"/>
      <c r="F100" s="5"/>
      <c r="I100" s="51" t="s">
        <v>172</v>
      </c>
      <c r="J100" s="5"/>
      <c r="K100" s="9">
        <f>$F$29</f>
        <v>0.74039999999999995</v>
      </c>
      <c r="L100" s="9">
        <f>$F$33</f>
        <v>0.2596</v>
      </c>
      <c r="M100" s="50"/>
    </row>
    <row r="101" spans="1:15">
      <c r="A101" s="51" t="s">
        <v>189</v>
      </c>
      <c r="B101" s="6"/>
      <c r="C101" s="7">
        <f>ROUND(C99*C100,0)</f>
        <v>7356897</v>
      </c>
      <c r="D101" s="7">
        <f>ROUND(D99*D100,0)</f>
        <v>2416251</v>
      </c>
      <c r="E101" s="53">
        <f>ROUND(C101+D101,0)</f>
        <v>9773148</v>
      </c>
      <c r="F101" s="5"/>
      <c r="I101" s="51" t="s">
        <v>189</v>
      </c>
      <c r="J101" s="6"/>
      <c r="K101" s="7">
        <f>ROUND(K99*K100,0)</f>
        <v>1093831</v>
      </c>
      <c r="L101" s="7">
        <f>ROUND(L99*L100,0)</f>
        <v>355748</v>
      </c>
      <c r="M101" s="53">
        <f>ROUND(K101+L101,0)</f>
        <v>1449579</v>
      </c>
    </row>
    <row r="102" spans="1:15">
      <c r="A102" s="51"/>
      <c r="B102" s="6"/>
      <c r="C102" s="7"/>
      <c r="D102" s="7"/>
      <c r="E102" s="53"/>
      <c r="F102" s="5"/>
      <c r="I102" s="51"/>
      <c r="J102" s="6"/>
      <c r="K102" s="7"/>
      <c r="L102" s="7"/>
      <c r="M102" s="53"/>
    </row>
    <row r="103" spans="1:15" ht="15.6">
      <c r="A103" s="51" t="s">
        <v>190</v>
      </c>
      <c r="B103" s="5"/>
      <c r="C103" s="120"/>
      <c r="D103" s="5"/>
      <c r="E103" s="119">
        <v>11031321</v>
      </c>
      <c r="F103" s="5"/>
      <c r="G103" s="5" t="s">
        <v>212</v>
      </c>
      <c r="H103" s="5"/>
      <c r="I103" s="51" t="s">
        <v>190</v>
      </c>
      <c r="J103" s="5"/>
      <c r="K103" s="120"/>
      <c r="L103" s="5"/>
      <c r="M103" s="119">
        <v>1793288</v>
      </c>
    </row>
    <row r="104" spans="1:15" s="339" customFormat="1">
      <c r="A104" s="342" t="s">
        <v>228</v>
      </c>
      <c r="B104" s="341"/>
      <c r="C104" s="343"/>
      <c r="D104" s="341"/>
      <c r="E104" s="344">
        <v>3260753</v>
      </c>
      <c r="F104" s="340"/>
      <c r="G104" s="340"/>
      <c r="H104" s="340"/>
      <c r="I104" s="347" t="s">
        <v>228</v>
      </c>
      <c r="J104" s="346"/>
      <c r="K104" s="348"/>
      <c r="L104" s="346"/>
      <c r="M104" s="350">
        <v>-423087</v>
      </c>
    </row>
    <row r="105" spans="1:15" s="339" customFormat="1">
      <c r="A105" s="342"/>
      <c r="B105" s="341"/>
      <c r="C105" s="343"/>
      <c r="D105" s="341"/>
      <c r="E105" s="345">
        <f>SUM(E103:E104)</f>
        <v>14292074</v>
      </c>
      <c r="F105" s="340"/>
      <c r="G105" s="340"/>
      <c r="H105" s="340"/>
      <c r="I105" s="347"/>
      <c r="J105" s="346"/>
      <c r="K105" s="348"/>
      <c r="L105" s="346"/>
      <c r="M105" s="349">
        <f>SUM(M103:M104)</f>
        <v>1370201</v>
      </c>
    </row>
    <row r="106" spans="1:15">
      <c r="A106" s="329"/>
      <c r="B106" s="328"/>
      <c r="C106" s="8"/>
      <c r="D106" s="328"/>
      <c r="E106" s="50"/>
      <c r="F106" s="328"/>
      <c r="G106" s="331" t="s">
        <v>194</v>
      </c>
      <c r="H106" s="328"/>
      <c r="I106" s="329"/>
      <c r="J106" s="328"/>
      <c r="K106" s="8"/>
      <c r="L106" s="328"/>
      <c r="M106" s="50"/>
      <c r="N106" s="326"/>
      <c r="O106" s="326"/>
    </row>
    <row r="107" spans="1:15">
      <c r="A107" s="49" t="s">
        <v>191</v>
      </c>
      <c r="B107" s="328"/>
      <c r="C107" s="8"/>
      <c r="D107" s="328"/>
      <c r="E107" s="338">
        <f>ROUND(E101-E105,0)</f>
        <v>-4518926</v>
      </c>
      <c r="F107" s="328"/>
      <c r="G107" s="331"/>
      <c r="H107" s="328"/>
      <c r="I107" s="49" t="s">
        <v>191</v>
      </c>
      <c r="J107" s="328"/>
      <c r="K107" s="8"/>
      <c r="L107" s="328"/>
      <c r="M107" s="338">
        <f>ROUND(M101-M105,0)</f>
        <v>79378</v>
      </c>
      <c r="N107" s="326"/>
      <c r="O107" s="326"/>
    </row>
    <row r="108" spans="1:15">
      <c r="A108" s="51"/>
      <c r="B108" s="5"/>
      <c r="C108" s="8"/>
      <c r="D108" s="5"/>
      <c r="E108" s="50"/>
      <c r="F108" s="5"/>
      <c r="I108" s="51"/>
      <c r="J108" s="5"/>
      <c r="K108" s="8"/>
      <c r="L108" s="5"/>
      <c r="M108" s="50"/>
    </row>
    <row r="109" spans="1:15">
      <c r="A109" s="51" t="s">
        <v>142</v>
      </c>
      <c r="B109" s="5"/>
      <c r="C109" s="8"/>
      <c r="D109" s="5"/>
      <c r="E109" s="242">
        <f>IF($E$107&gt;0,$C$10,$C$9)</f>
        <v>2.921E-3</v>
      </c>
      <c r="F109" s="5"/>
      <c r="I109" s="51" t="s">
        <v>142</v>
      </c>
      <c r="J109" s="5"/>
      <c r="K109" s="8"/>
      <c r="L109" s="5"/>
      <c r="M109" s="242">
        <f>IF($M$107&gt;0,$C$10,$C$9)</f>
        <v>1.5169999999999999E-3</v>
      </c>
    </row>
    <row r="110" spans="1:15">
      <c r="A110" s="51" t="s">
        <v>3</v>
      </c>
      <c r="B110" s="5"/>
      <c r="C110" s="8"/>
      <c r="D110" s="5"/>
      <c r="E110" s="75">
        <f>ROUND(E107*(E109*24),0)</f>
        <v>-316795</v>
      </c>
      <c r="F110" s="5"/>
      <c r="I110" s="51" t="s">
        <v>3</v>
      </c>
      <c r="J110" s="5"/>
      <c r="K110" s="8"/>
      <c r="L110" s="5"/>
      <c r="M110" s="75">
        <f>ROUND(M107*(M109*24),0)</f>
        <v>2890</v>
      </c>
    </row>
    <row r="111" spans="1:15" ht="28.95" customHeight="1">
      <c r="A111" s="51"/>
      <c r="B111" s="5"/>
      <c r="C111" s="8"/>
      <c r="D111" s="5"/>
      <c r="E111" s="50"/>
      <c r="F111" s="351" t="s">
        <v>213</v>
      </c>
      <c r="G111" s="352"/>
      <c r="I111" s="51"/>
      <c r="J111" s="5"/>
      <c r="K111" s="8"/>
      <c r="L111" s="5"/>
      <c r="M111" s="50"/>
      <c r="N111" s="351" t="s">
        <v>213</v>
      </c>
      <c r="O111" s="352"/>
    </row>
    <row r="112" spans="1:15" ht="13.8">
      <c r="A112" s="49" t="s">
        <v>192</v>
      </c>
      <c r="B112" s="5"/>
      <c r="C112" s="8"/>
      <c r="D112" s="5"/>
      <c r="E112" s="213">
        <f>ROUND(E107+E110,0)</f>
        <v>-4835721</v>
      </c>
      <c r="F112" s="209">
        <f>'2016 ZZ TU Weighted ROE'!L70</f>
        <v>-4835721</v>
      </c>
      <c r="G112" s="259">
        <f>E112-F112</f>
        <v>0</v>
      </c>
      <c r="H112" s="191"/>
      <c r="I112" s="49" t="s">
        <v>192</v>
      </c>
      <c r="J112" s="5"/>
      <c r="K112" s="8"/>
      <c r="L112" s="5"/>
      <c r="M112" s="213">
        <f>ROUND(M107+M110,0)</f>
        <v>82268</v>
      </c>
      <c r="N112" s="314">
        <f>'2016 ZZ TU Weighted ROE'!Y70</f>
        <v>82268</v>
      </c>
      <c r="O112" s="259">
        <f>M112-N112</f>
        <v>0</v>
      </c>
    </row>
    <row r="113" spans="1:13" ht="16.2">
      <c r="A113" s="223" t="s">
        <v>105</v>
      </c>
      <c r="B113" s="5"/>
      <c r="C113" s="8"/>
      <c r="D113" s="5"/>
      <c r="E113" s="50"/>
      <c r="F113" s="5"/>
      <c r="I113" s="223" t="s">
        <v>105</v>
      </c>
      <c r="J113" s="5"/>
      <c r="K113" s="8"/>
      <c r="L113" s="5"/>
      <c r="M113" s="50"/>
    </row>
    <row r="114" spans="1:13" ht="14.4">
      <c r="A114" s="221"/>
      <c r="B114" s="5"/>
      <c r="C114" s="8"/>
      <c r="D114" s="5"/>
      <c r="E114" s="50"/>
      <c r="F114" s="5"/>
      <c r="I114" s="221"/>
      <c r="J114" s="5"/>
      <c r="K114" s="8"/>
      <c r="L114" s="5"/>
      <c r="M114" s="50"/>
    </row>
    <row r="115" spans="1:13" ht="15" thickBot="1">
      <c r="A115" s="222"/>
      <c r="B115" s="62"/>
      <c r="C115" s="76"/>
      <c r="D115" s="62"/>
      <c r="E115" s="85"/>
      <c r="I115" s="222"/>
      <c r="J115" s="62"/>
      <c r="K115" s="76"/>
      <c r="L115" s="62"/>
      <c r="M115" s="85"/>
    </row>
    <row r="116" spans="1:13">
      <c r="A116" s="99"/>
      <c r="B116" s="98"/>
      <c r="C116" s="3"/>
      <c r="D116" s="182"/>
    </row>
    <row r="117" spans="1:13">
      <c r="A117" s="184"/>
      <c r="B117" s="182"/>
      <c r="C117" s="182"/>
      <c r="D117" s="182"/>
    </row>
    <row r="118" spans="1:13">
      <c r="A118" s="184"/>
      <c r="B118" s="182"/>
      <c r="C118" s="182"/>
      <c r="D118" s="182"/>
    </row>
    <row r="119" spans="1:13">
      <c r="A119" s="4"/>
      <c r="B119" s="182"/>
      <c r="C119" s="182"/>
      <c r="D119" s="182"/>
    </row>
    <row r="120" spans="1:13">
      <c r="A120" s="4"/>
      <c r="B120" s="182"/>
      <c r="C120" s="182"/>
      <c r="D120" s="182"/>
    </row>
    <row r="121" spans="1:13">
      <c r="A121" s="182"/>
      <c r="B121" s="182"/>
      <c r="C121" s="182"/>
      <c r="D121" s="182"/>
    </row>
    <row r="122" spans="1:13">
      <c r="A122" s="182"/>
      <c r="B122" s="182"/>
      <c r="C122" s="182"/>
      <c r="D122" s="182"/>
    </row>
  </sheetData>
  <mergeCells count="11">
    <mergeCell ref="F111:G111"/>
    <mergeCell ref="N111:O111"/>
    <mergeCell ref="A99:B99"/>
    <mergeCell ref="A74:B74"/>
    <mergeCell ref="A71:E71"/>
    <mergeCell ref="A96:E96"/>
    <mergeCell ref="I71:M71"/>
    <mergeCell ref="I74:J74"/>
    <mergeCell ref="I96:M96"/>
    <mergeCell ref="I99:J99"/>
    <mergeCell ref="F87:G87"/>
  </mergeCells>
  <pageMargins left="0.45" right="0.45" top="0.25" bottom="0.5" header="0.3" footer="0.1"/>
  <pageSetup scale="80" orientation="landscape" r:id="rId1"/>
  <headerFooter>
    <oddHeader>&amp;R&amp;A</oddHeader>
    <oddFooter>&amp;R&amp;D  Filename:  &amp;F &amp;  Tab: &amp;A</oddFooter>
  </headerFooter>
  <rowBreaks count="2" manualBreakCount="2">
    <brk id="35" max="12" man="1"/>
    <brk id="68" max="16383" man="1"/>
  </rowBreaks>
  <colBreaks count="1" manualBreakCount="1">
    <brk id="7" max="1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62"/>
  <sheetViews>
    <sheetView topLeftCell="A37" workbookViewId="0">
      <selection activeCell="G22" sqref="G22"/>
    </sheetView>
  </sheetViews>
  <sheetFormatPr defaultColWidth="11.44140625" defaultRowHeight="14.4"/>
  <cols>
    <col min="1" max="1" width="1.6640625" style="16" customWidth="1"/>
    <col min="2" max="2" width="5.44140625" style="16" customWidth="1"/>
    <col min="3" max="3" width="23.77734375" style="16" customWidth="1"/>
    <col min="4" max="4" width="10.5546875" style="16" customWidth="1"/>
    <col min="5" max="5" width="13" style="16" customWidth="1"/>
    <col min="6" max="6" width="15.44140625" style="16" customWidth="1"/>
    <col min="7" max="7" width="16.6640625" style="16" customWidth="1"/>
    <col min="8" max="8" width="15.88671875" style="16" customWidth="1"/>
    <col min="9" max="9" width="13.44140625" style="16" customWidth="1"/>
    <col min="10" max="10" width="11.6640625" style="16" customWidth="1"/>
    <col min="11" max="11" width="13" style="16" customWidth="1"/>
    <col min="12" max="12" width="14.44140625" style="16" customWidth="1"/>
    <col min="13" max="13" width="2.5546875" style="16" customWidth="1"/>
    <col min="14" max="14" width="9.33203125" style="16" customWidth="1"/>
    <col min="15" max="15" width="16.44140625" style="16" customWidth="1"/>
    <col min="16" max="16" width="13.88671875" style="16" customWidth="1"/>
    <col min="17" max="17" width="14.109375" style="16" bestFit="1" customWidth="1"/>
    <col min="18" max="16384" width="11.44140625" style="16"/>
  </cols>
  <sheetData>
    <row r="1" spans="2:33">
      <c r="B1" s="181" t="s">
        <v>133</v>
      </c>
      <c r="O1" s="292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33">
      <c r="B2" s="280" t="s">
        <v>204</v>
      </c>
      <c r="C2" s="281"/>
      <c r="D2" s="281"/>
      <c r="E2" s="281"/>
      <c r="F2" s="281"/>
      <c r="O2" s="293"/>
      <c r="P2" s="294"/>
      <c r="Q2" s="294"/>
      <c r="R2" s="294"/>
      <c r="S2" s="294"/>
      <c r="T2" s="31"/>
      <c r="U2" s="31"/>
      <c r="V2" s="31"/>
      <c r="W2" s="31"/>
      <c r="X2" s="31"/>
      <c r="Y2" s="31"/>
      <c r="Z2" s="31"/>
      <c r="AA2" s="31"/>
    </row>
    <row r="3" spans="2:33">
      <c r="B3" s="181" t="s">
        <v>106</v>
      </c>
      <c r="O3" s="292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2:33" ht="15" thickBot="1"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2:33" s="15" customFormat="1" ht="18">
      <c r="B5" s="127" t="s">
        <v>131</v>
      </c>
      <c r="C5" s="128"/>
      <c r="D5" s="128"/>
      <c r="E5" s="128"/>
      <c r="F5" s="203">
        <f>VLOOKUP($D$7,'List of ROE by TO'!$B$8:$E$29,3,FALSE)</f>
        <v>0.12379999999999999</v>
      </c>
      <c r="G5" s="278" t="s">
        <v>203</v>
      </c>
      <c r="H5" s="128"/>
      <c r="I5" s="128"/>
      <c r="J5" s="128"/>
      <c r="K5" s="128"/>
      <c r="L5" s="129"/>
      <c r="N5" s="192"/>
      <c r="O5" s="295"/>
      <c r="P5" s="192"/>
      <c r="Q5" s="192"/>
      <c r="R5" s="192"/>
      <c r="S5" s="296"/>
      <c r="T5" s="297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</row>
    <row r="6" spans="2:33">
      <c r="B6" s="130" t="s">
        <v>20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2:33" ht="18">
      <c r="B7" s="130"/>
      <c r="C7" s="133" t="s">
        <v>21</v>
      </c>
      <c r="D7" s="175" t="str">
        <f>'2016 TU'!$A$1</f>
        <v>ALLETE (MP)</v>
      </c>
      <c r="E7" s="131"/>
      <c r="F7" s="131"/>
      <c r="G7" s="131"/>
      <c r="H7" s="131"/>
      <c r="I7" s="131"/>
      <c r="J7" s="131"/>
      <c r="K7" s="131"/>
      <c r="L7" s="132"/>
      <c r="N7" s="31"/>
      <c r="O7" s="31"/>
      <c r="P7" s="283"/>
      <c r="Q7" s="284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>
      <c r="B8" s="136" t="s">
        <v>23</v>
      </c>
      <c r="C8" s="20" t="s">
        <v>24</v>
      </c>
      <c r="D8" s="20" t="s">
        <v>25</v>
      </c>
      <c r="E8" s="20" t="s">
        <v>26</v>
      </c>
      <c r="F8" s="20" t="s">
        <v>27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137" t="s">
        <v>33</v>
      </c>
      <c r="N8" s="3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31"/>
      <c r="AA8" s="31"/>
      <c r="AB8" s="31"/>
      <c r="AC8" s="31"/>
      <c r="AD8" s="31"/>
      <c r="AE8" s="31"/>
      <c r="AF8" s="31"/>
      <c r="AG8" s="31"/>
    </row>
    <row r="9" spans="2:33">
      <c r="B9" s="138"/>
      <c r="C9" s="17"/>
      <c r="D9" s="17"/>
      <c r="E9" s="17"/>
      <c r="F9" s="17"/>
      <c r="G9" s="18" t="s">
        <v>34</v>
      </c>
      <c r="H9" s="17"/>
      <c r="I9" s="17"/>
      <c r="J9" s="17"/>
      <c r="K9" s="17"/>
      <c r="L9" s="139"/>
      <c r="N9" s="31"/>
      <c r="O9" s="31"/>
      <c r="P9" s="31"/>
      <c r="Q9" s="31"/>
      <c r="R9" s="31"/>
      <c r="S9" s="31"/>
      <c r="T9" s="22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2:33">
      <c r="B10" s="134"/>
      <c r="C10" s="19"/>
      <c r="D10" s="19"/>
      <c r="E10" s="19"/>
      <c r="F10" s="20" t="s">
        <v>35</v>
      </c>
      <c r="G10" s="20" t="s">
        <v>36</v>
      </c>
      <c r="H10" s="20" t="s">
        <v>34</v>
      </c>
      <c r="I10" s="20" t="s">
        <v>37</v>
      </c>
      <c r="J10" s="20"/>
      <c r="K10" s="20"/>
      <c r="L10" s="135"/>
      <c r="N10" s="31"/>
      <c r="O10" s="31"/>
      <c r="P10" s="31"/>
      <c r="Q10" s="31"/>
      <c r="R10" s="31"/>
      <c r="S10" s="22"/>
      <c r="T10" s="22"/>
      <c r="U10" s="22"/>
      <c r="V10" s="22"/>
      <c r="W10" s="22"/>
      <c r="X10" s="22"/>
      <c r="Y10" s="31"/>
      <c r="Z10" s="31"/>
      <c r="AA10" s="31"/>
      <c r="AB10" s="31"/>
      <c r="AC10" s="31"/>
      <c r="AD10" s="31"/>
      <c r="AE10" s="31"/>
      <c r="AF10" s="31"/>
      <c r="AG10" s="31"/>
    </row>
    <row r="11" spans="2:33">
      <c r="B11" s="134"/>
      <c r="C11" s="19"/>
      <c r="D11" s="20" t="s">
        <v>39</v>
      </c>
      <c r="E11" s="20" t="s">
        <v>34</v>
      </c>
      <c r="F11" s="20" t="s">
        <v>40</v>
      </c>
      <c r="G11" s="20" t="s">
        <v>41</v>
      </c>
      <c r="H11" s="20" t="s">
        <v>40</v>
      </c>
      <c r="I11" s="20" t="s">
        <v>42</v>
      </c>
      <c r="J11" s="20"/>
      <c r="K11" s="20"/>
      <c r="L11" s="137"/>
      <c r="N11" s="31"/>
      <c r="O11" s="31"/>
      <c r="P11" s="31"/>
      <c r="Q11" s="22"/>
      <c r="R11" s="22"/>
      <c r="S11" s="22"/>
      <c r="T11" s="22"/>
      <c r="U11" s="22"/>
      <c r="V11" s="22"/>
      <c r="W11" s="22"/>
      <c r="X11" s="22"/>
      <c r="Y11" s="22"/>
      <c r="Z11" s="31"/>
      <c r="AA11" s="31"/>
      <c r="AB11" s="31"/>
      <c r="AC11" s="31"/>
      <c r="AD11" s="31"/>
      <c r="AE11" s="31"/>
      <c r="AF11" s="31"/>
      <c r="AG11" s="31"/>
    </row>
    <row r="12" spans="2:33">
      <c r="B12" s="136" t="s">
        <v>44</v>
      </c>
      <c r="C12" s="20" t="s">
        <v>45</v>
      </c>
      <c r="D12" s="20" t="s">
        <v>45</v>
      </c>
      <c r="E12" s="20" t="s">
        <v>36</v>
      </c>
      <c r="F12" s="20" t="s">
        <v>6</v>
      </c>
      <c r="G12" s="20" t="s">
        <v>46</v>
      </c>
      <c r="H12" s="20" t="s">
        <v>6</v>
      </c>
      <c r="I12" s="20" t="s">
        <v>47</v>
      </c>
      <c r="J12" s="20"/>
      <c r="K12" s="20"/>
      <c r="L12" s="137"/>
      <c r="N12" s="36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31"/>
      <c r="AA12" s="31"/>
      <c r="AB12" s="31"/>
      <c r="AC12" s="31"/>
      <c r="AD12" s="31"/>
      <c r="AE12" s="31"/>
      <c r="AF12" s="31"/>
      <c r="AG12" s="31"/>
    </row>
    <row r="13" spans="2:33" ht="17.25" customHeight="1">
      <c r="B13" s="140" t="s">
        <v>49</v>
      </c>
      <c r="C13" s="21" t="s">
        <v>50</v>
      </c>
      <c r="D13" s="21" t="s">
        <v>51</v>
      </c>
      <c r="E13" s="217" t="s">
        <v>150</v>
      </c>
      <c r="F13" s="21" t="s">
        <v>52</v>
      </c>
      <c r="G13" s="21" t="s">
        <v>53</v>
      </c>
      <c r="H13" s="21" t="s">
        <v>52</v>
      </c>
      <c r="I13" s="21" t="s">
        <v>54</v>
      </c>
      <c r="J13" s="21"/>
      <c r="K13" s="21"/>
      <c r="L13" s="141"/>
      <c r="N13" s="365"/>
      <c r="O13" s="22"/>
      <c r="P13" s="22"/>
      <c r="Q13" s="22"/>
      <c r="R13" s="261"/>
      <c r="S13" s="22"/>
      <c r="T13" s="22"/>
      <c r="U13" s="22"/>
      <c r="V13" s="22"/>
      <c r="W13" s="22"/>
      <c r="X13" s="22"/>
      <c r="Y13" s="22"/>
      <c r="Z13" s="31"/>
      <c r="AA13" s="31"/>
      <c r="AB13" s="31"/>
      <c r="AC13" s="31"/>
      <c r="AD13" s="31"/>
      <c r="AE13" s="31"/>
      <c r="AF13" s="31"/>
      <c r="AG13" s="31"/>
    </row>
    <row r="14" spans="2:33" ht="15" customHeight="1">
      <c r="B14" s="134"/>
      <c r="C14" s="19"/>
      <c r="D14" s="19"/>
      <c r="E14" s="19"/>
      <c r="F14" s="22" t="s">
        <v>35</v>
      </c>
      <c r="G14" s="22" t="s">
        <v>55</v>
      </c>
      <c r="H14" s="22" t="s">
        <v>34</v>
      </c>
      <c r="I14" s="19"/>
      <c r="J14" s="19"/>
      <c r="K14" s="19"/>
      <c r="L14" s="135"/>
      <c r="N14" s="365"/>
      <c r="O14" s="31"/>
      <c r="P14" s="31"/>
      <c r="Q14" s="31"/>
      <c r="R14" s="31"/>
      <c r="S14" s="22"/>
      <c r="T14" s="22"/>
      <c r="U14" s="22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2:33" ht="15" customHeight="1">
      <c r="B15" s="134"/>
      <c r="C15" s="19"/>
      <c r="D15" s="19"/>
      <c r="E15" s="19"/>
      <c r="F15" s="22" t="s">
        <v>36</v>
      </c>
      <c r="G15" s="22" t="s">
        <v>56</v>
      </c>
      <c r="H15" s="22" t="s">
        <v>36</v>
      </c>
      <c r="I15" s="19"/>
      <c r="J15" s="22"/>
      <c r="K15" s="22"/>
      <c r="L15" s="135"/>
      <c r="N15" s="365"/>
      <c r="O15" s="31"/>
      <c r="P15" s="31"/>
      <c r="Q15" s="31"/>
      <c r="R15" s="31"/>
      <c r="S15" s="22"/>
      <c r="T15" s="22"/>
      <c r="U15" s="22"/>
      <c r="V15" s="31"/>
      <c r="W15" s="22"/>
      <c r="X15" s="22"/>
      <c r="Y15" s="31"/>
      <c r="Z15" s="31"/>
      <c r="AA15" s="31"/>
      <c r="AB15" s="31"/>
      <c r="AC15" s="31"/>
      <c r="AD15" s="31"/>
      <c r="AE15" s="31"/>
      <c r="AF15" s="31"/>
      <c r="AG15" s="31"/>
    </row>
    <row r="16" spans="2:33" ht="16.2">
      <c r="B16" s="142"/>
      <c r="C16" s="23"/>
      <c r="D16" s="23"/>
      <c r="E16" s="23"/>
      <c r="F16" s="319" t="s">
        <v>227</v>
      </c>
      <c r="G16" s="24" t="s">
        <v>58</v>
      </c>
      <c r="H16" s="319" t="s">
        <v>227</v>
      </c>
      <c r="I16" s="24" t="s">
        <v>59</v>
      </c>
      <c r="J16" s="24"/>
      <c r="K16" s="24"/>
      <c r="L16" s="141"/>
      <c r="N16" s="365"/>
      <c r="O16" s="31"/>
      <c r="P16" s="31"/>
      <c r="Q16" s="31"/>
      <c r="R16" s="31"/>
      <c r="S16" s="22"/>
      <c r="T16" s="22"/>
      <c r="U16" s="22"/>
      <c r="V16" s="22"/>
      <c r="W16" s="22"/>
      <c r="X16" s="22"/>
      <c r="Y16" s="22"/>
      <c r="Z16" s="31"/>
      <c r="AA16" s="31"/>
      <c r="AB16" s="31"/>
      <c r="AC16" s="31"/>
      <c r="AD16" s="31"/>
      <c r="AE16" s="31"/>
      <c r="AF16" s="31"/>
      <c r="AG16" s="31"/>
    </row>
    <row r="17" spans="2:33" ht="9.75" customHeight="1">
      <c r="B17" s="138"/>
      <c r="C17" s="17"/>
      <c r="D17" s="17"/>
      <c r="E17" s="17"/>
      <c r="F17" s="17"/>
      <c r="G17" s="17"/>
      <c r="H17" s="17"/>
      <c r="I17" s="17"/>
      <c r="J17" s="17"/>
      <c r="K17" s="17"/>
      <c r="L17" s="13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2:33" ht="32.25" customHeight="1">
      <c r="B18" s="143">
        <v>1</v>
      </c>
      <c r="C18" s="363" t="s">
        <v>63</v>
      </c>
      <c r="D18" s="363"/>
      <c r="E18" s="32">
        <f>'2016 TU'!$E$80</f>
        <v>25260059</v>
      </c>
      <c r="F18" s="19"/>
      <c r="G18" s="19"/>
      <c r="H18" s="19"/>
      <c r="I18" s="19"/>
      <c r="J18" s="19"/>
      <c r="K18" s="19"/>
      <c r="L18" s="135"/>
      <c r="N18" s="31"/>
      <c r="O18" s="298"/>
      <c r="P18" s="364"/>
      <c r="Q18" s="364"/>
      <c r="R18" s="3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2:33" ht="13.5" customHeight="1">
      <c r="B19" s="136"/>
      <c r="C19" s="19"/>
      <c r="D19" s="19"/>
      <c r="E19" s="19"/>
      <c r="F19" s="19"/>
      <c r="G19" s="19"/>
      <c r="H19" s="19"/>
      <c r="I19" s="19"/>
      <c r="J19" s="19"/>
      <c r="K19" s="19"/>
      <c r="L19" s="135"/>
      <c r="N19" s="193"/>
      <c r="O19" s="22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2:33">
      <c r="B20" s="136" t="s">
        <v>64</v>
      </c>
      <c r="C20" s="317" t="s">
        <v>215</v>
      </c>
      <c r="D20" s="186">
        <v>277</v>
      </c>
      <c r="E20" s="26"/>
      <c r="F20" s="187">
        <v>4095617.9691658169</v>
      </c>
      <c r="G20" s="26">
        <f>IF(F20=0,0,ROUND($E$18*(F20/$F$26),0))</f>
        <v>4063223</v>
      </c>
      <c r="H20" s="187">
        <v>3964114.1934161698</v>
      </c>
      <c r="I20" s="27">
        <f>ROUND(+H20-G20,0)</f>
        <v>-99109</v>
      </c>
      <c r="J20" s="28"/>
      <c r="K20" s="27"/>
      <c r="L20" s="144"/>
      <c r="N20" s="194"/>
      <c r="O20" s="22"/>
      <c r="P20" s="125"/>
      <c r="Q20" s="286"/>
      <c r="R20" s="29"/>
      <c r="S20" s="287"/>
      <c r="T20" s="29"/>
      <c r="U20" s="287"/>
      <c r="V20" s="288"/>
      <c r="W20" s="289"/>
      <c r="X20" s="288"/>
      <c r="Y20" s="288"/>
      <c r="Z20" s="31"/>
      <c r="AA20" s="31"/>
      <c r="AB20" s="31"/>
      <c r="AC20" s="31"/>
      <c r="AD20" s="31"/>
      <c r="AE20" s="31"/>
      <c r="AF20" s="31"/>
      <c r="AG20" s="31"/>
    </row>
    <row r="21" spans="2:33">
      <c r="B21" s="136" t="s">
        <v>65</v>
      </c>
      <c r="C21" s="317" t="s">
        <v>216</v>
      </c>
      <c r="D21" s="186">
        <v>279</v>
      </c>
      <c r="E21" s="26"/>
      <c r="F21" s="187">
        <v>2142391.0734762633</v>
      </c>
      <c r="G21" s="26">
        <f>IF(F21=0,0,ROUND($E$18*(F21/$F$26),0))</f>
        <v>2125445</v>
      </c>
      <c r="H21" s="187">
        <v>2090282.79990878</v>
      </c>
      <c r="I21" s="27">
        <f>ROUND(+H21-G21,0)</f>
        <v>-35162</v>
      </c>
      <c r="J21" s="28"/>
      <c r="K21" s="27"/>
      <c r="L21" s="144"/>
      <c r="N21" s="194"/>
      <c r="O21" s="22"/>
      <c r="P21" s="125"/>
      <c r="Q21" s="286"/>
      <c r="R21" s="29"/>
      <c r="S21" s="287"/>
      <c r="T21" s="29"/>
      <c r="U21" s="287"/>
      <c r="V21" s="288"/>
      <c r="W21" s="289"/>
      <c r="X21" s="288"/>
      <c r="Y21" s="288"/>
      <c r="Z21" s="31"/>
      <c r="AA21" s="31"/>
      <c r="AB21" s="31"/>
      <c r="AC21" s="31"/>
      <c r="AD21" s="31"/>
      <c r="AE21" s="31"/>
      <c r="AF21" s="31"/>
      <c r="AG21" s="31"/>
    </row>
    <row r="22" spans="2:33">
      <c r="B22" s="136" t="s">
        <v>66</v>
      </c>
      <c r="C22" s="317" t="s">
        <v>217</v>
      </c>
      <c r="D22" s="186">
        <v>286</v>
      </c>
      <c r="E22" s="26"/>
      <c r="F22" s="187">
        <v>17787240.110487763</v>
      </c>
      <c r="G22" s="26">
        <f>IF(F22=0,0,ROUND($E$18*(F22/$F$26),0))</f>
        <v>17646548</v>
      </c>
      <c r="H22" s="187">
        <v>18459966.737849556</v>
      </c>
      <c r="I22" s="27">
        <f>ROUND(+H22-G22,0)</f>
        <v>813419</v>
      </c>
      <c r="J22" s="28"/>
      <c r="K22" s="27"/>
      <c r="L22" s="144"/>
      <c r="N22" s="194"/>
      <c r="O22" s="22"/>
      <c r="P22" s="125"/>
      <c r="Q22" s="325"/>
      <c r="R22" s="29"/>
      <c r="S22" s="287"/>
      <c r="T22" s="29"/>
      <c r="U22" s="287"/>
      <c r="V22" s="288"/>
      <c r="W22" s="289"/>
      <c r="X22" s="288"/>
      <c r="Y22" s="288"/>
      <c r="Z22" s="31"/>
      <c r="AA22" s="31"/>
      <c r="AB22" s="31"/>
      <c r="AC22" s="31"/>
      <c r="AD22" s="31"/>
      <c r="AE22" s="31"/>
      <c r="AF22" s="31"/>
      <c r="AG22" s="31"/>
    </row>
    <row r="23" spans="2:33" s="30" customFormat="1">
      <c r="B23" s="145" t="s">
        <v>73</v>
      </c>
      <c r="C23" s="317" t="s">
        <v>218</v>
      </c>
      <c r="D23" s="186">
        <v>2634</v>
      </c>
      <c r="E23" s="31"/>
      <c r="F23" s="187">
        <v>84857.523693068943</v>
      </c>
      <c r="G23" s="26">
        <f>IF(F23=0,0,ROUND($E$18*(F23/$F$26),0))</f>
        <v>84186</v>
      </c>
      <c r="H23" s="187">
        <v>789777.61451137508</v>
      </c>
      <c r="I23" s="27">
        <f>ROUND(+H23-G23,0)</f>
        <v>705592</v>
      </c>
      <c r="J23" s="28"/>
      <c r="K23" s="27"/>
      <c r="L23" s="144"/>
      <c r="N23" s="194"/>
      <c r="O23" s="33"/>
      <c r="P23" s="125"/>
      <c r="Q23" s="286"/>
      <c r="R23" s="31"/>
      <c r="S23" s="287"/>
      <c r="T23" s="29"/>
      <c r="U23" s="287"/>
      <c r="V23" s="288"/>
      <c r="W23" s="289"/>
      <c r="X23" s="288"/>
      <c r="Y23" s="288"/>
      <c r="Z23" s="31"/>
      <c r="AA23" s="31"/>
      <c r="AB23" s="31"/>
      <c r="AC23" s="31"/>
      <c r="AD23" s="31"/>
      <c r="AE23" s="31"/>
      <c r="AF23" s="31"/>
      <c r="AG23" s="31"/>
    </row>
    <row r="24" spans="2:33" s="30" customFormat="1">
      <c r="B24" s="212" t="s">
        <v>74</v>
      </c>
      <c r="C24" s="318" t="s">
        <v>219</v>
      </c>
      <c r="D24" s="186">
        <v>3373</v>
      </c>
      <c r="E24" s="31"/>
      <c r="F24" s="187">
        <v>1351344.7342050991</v>
      </c>
      <c r="G24" s="26">
        <f>IF(F24=0,0,ROUND($E$18*(F24/$F$26),0))</f>
        <v>1340656</v>
      </c>
      <c r="H24" s="187">
        <v>1114190.6874881964</v>
      </c>
      <c r="I24" s="27">
        <f>ROUND(+H24-G24,0)</f>
        <v>-226465</v>
      </c>
      <c r="J24" s="28"/>
      <c r="K24" s="27"/>
      <c r="L24" s="144"/>
      <c r="N24" s="194"/>
      <c r="O24" s="299"/>
      <c r="P24" s="25"/>
      <c r="Q24" s="286"/>
      <c r="R24" s="31"/>
      <c r="S24" s="287"/>
      <c r="T24" s="29"/>
      <c r="U24" s="287"/>
      <c r="V24" s="288"/>
      <c r="W24" s="289"/>
      <c r="X24" s="288"/>
      <c r="Y24" s="288"/>
      <c r="Z24" s="31"/>
      <c r="AA24" s="31"/>
      <c r="AB24" s="31"/>
      <c r="AC24" s="31"/>
      <c r="AD24" s="31"/>
      <c r="AE24" s="31"/>
      <c r="AF24" s="31"/>
      <c r="AG24" s="31"/>
    </row>
    <row r="25" spans="2:33">
      <c r="B25" s="140"/>
      <c r="C25" s="23"/>
      <c r="D25" s="23"/>
      <c r="E25" s="23"/>
      <c r="F25" s="320" t="s">
        <v>220</v>
      </c>
      <c r="G25" s="23"/>
      <c r="H25" s="23"/>
      <c r="I25" s="23"/>
      <c r="J25" s="23"/>
      <c r="K25" s="23"/>
      <c r="L25" s="146"/>
      <c r="N25" s="31"/>
      <c r="O25" s="22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2:33">
      <c r="B26" s="136">
        <v>3</v>
      </c>
      <c r="C26" s="19" t="s">
        <v>67</v>
      </c>
      <c r="D26" s="19"/>
      <c r="E26" s="147"/>
      <c r="F26" s="147">
        <f>SUM(F20:F25)</f>
        <v>25461451.411028013</v>
      </c>
      <c r="G26" s="147">
        <f>SUM(G20:G25)</f>
        <v>25260058</v>
      </c>
      <c r="H26" s="147">
        <f>SUM(H20:H25)</f>
        <v>26418332.033174075</v>
      </c>
      <c r="I26" s="147"/>
      <c r="J26" s="19"/>
      <c r="K26" s="19"/>
      <c r="L26" s="135"/>
      <c r="N26" s="31"/>
      <c r="O26" s="22"/>
      <c r="P26" s="31"/>
      <c r="Q26" s="31"/>
      <c r="R26" s="32"/>
      <c r="S26" s="32"/>
      <c r="T26" s="32"/>
      <c r="U26" s="32"/>
      <c r="V26" s="32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2:33">
      <c r="B27" s="136">
        <v>4</v>
      </c>
      <c r="C27" s="19" t="s">
        <v>68</v>
      </c>
      <c r="D27" s="19"/>
      <c r="E27" s="19"/>
      <c r="F27" s="19"/>
      <c r="G27" s="19"/>
      <c r="H27" s="19"/>
      <c r="I27" s="147">
        <f>SUM(I20:I25)</f>
        <v>1158275</v>
      </c>
      <c r="J27" s="19"/>
      <c r="K27" s="147"/>
      <c r="L27" s="148"/>
      <c r="N27" s="32"/>
      <c r="O27" s="22"/>
      <c r="P27" s="31"/>
      <c r="Q27" s="31"/>
      <c r="R27" s="31"/>
      <c r="S27" s="31"/>
      <c r="T27" s="31"/>
      <c r="U27" s="31"/>
      <c r="V27" s="32"/>
      <c r="W27" s="31"/>
      <c r="X27" s="32"/>
      <c r="Y27" s="32"/>
      <c r="Z27" s="31"/>
      <c r="AA27" s="31"/>
      <c r="AB27" s="31"/>
      <c r="AC27" s="31"/>
      <c r="AD27" s="31"/>
      <c r="AE27" s="31"/>
      <c r="AF27" s="31"/>
      <c r="AG27" s="31"/>
    </row>
    <row r="28" spans="2:33">
      <c r="B28" s="136"/>
      <c r="C28" s="19"/>
      <c r="D28" s="19"/>
      <c r="E28" s="19"/>
      <c r="F28" s="19"/>
      <c r="G28" s="19"/>
      <c r="H28" s="19"/>
      <c r="I28" s="147"/>
      <c r="J28" s="19"/>
      <c r="K28" s="147"/>
      <c r="L28" s="148"/>
      <c r="N28" s="32"/>
      <c r="O28" s="22"/>
      <c r="P28" s="31"/>
      <c r="Q28" s="31"/>
      <c r="R28" s="31"/>
      <c r="S28" s="31"/>
      <c r="T28" s="31"/>
      <c r="U28" s="31"/>
      <c r="V28" s="32"/>
      <c r="W28" s="31"/>
      <c r="X28" s="32"/>
      <c r="Y28" s="32"/>
      <c r="Z28" s="31"/>
      <c r="AA28" s="31"/>
      <c r="AB28" s="31"/>
      <c r="AC28" s="31"/>
      <c r="AD28" s="31"/>
      <c r="AE28" s="31"/>
      <c r="AF28" s="31"/>
      <c r="AG28" s="31"/>
    </row>
    <row r="29" spans="2:33" ht="15.75" customHeight="1">
      <c r="B29" s="149" t="s">
        <v>70</v>
      </c>
      <c r="C29" s="218" t="s">
        <v>187</v>
      </c>
      <c r="D29" s="31"/>
      <c r="E29" s="31"/>
      <c r="F29" s="31"/>
      <c r="G29" s="31"/>
      <c r="H29" s="19"/>
      <c r="I29" s="19"/>
      <c r="J29" s="150"/>
      <c r="K29" s="19"/>
      <c r="L29" s="135"/>
      <c r="N29" s="31"/>
      <c r="O29" s="300"/>
      <c r="P29" s="218"/>
      <c r="Q29" s="31"/>
      <c r="R29" s="31"/>
      <c r="S29" s="31"/>
      <c r="T29" s="31"/>
      <c r="U29" s="31"/>
      <c r="V29" s="31"/>
      <c r="W29" s="150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2:33" ht="15.75" customHeight="1" thickBot="1">
      <c r="B30" s="151" t="s">
        <v>71</v>
      </c>
      <c r="C30" s="152" t="s">
        <v>72</v>
      </c>
      <c r="D30" s="152"/>
      <c r="E30" s="152"/>
      <c r="F30" s="152"/>
      <c r="G30" s="152"/>
      <c r="H30" s="152"/>
      <c r="I30" s="152"/>
      <c r="J30" s="152"/>
      <c r="K30" s="152"/>
      <c r="L30" s="153"/>
      <c r="N30" s="31"/>
      <c r="O30" s="30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2:33" ht="15.75" customHeight="1" thickBot="1"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2:33" s="15" customFormat="1" ht="18">
      <c r="B32" s="154" t="s">
        <v>132</v>
      </c>
      <c r="C32" s="155"/>
      <c r="D32" s="155"/>
      <c r="E32" s="155"/>
      <c r="F32" s="204">
        <f>VLOOKUP($D$34,'List of ROE by TO'!$B$8:$E$29,4,FALSE)</f>
        <v>0.1082</v>
      </c>
      <c r="G32" s="279" t="s">
        <v>203</v>
      </c>
      <c r="H32" s="155"/>
      <c r="I32" s="155"/>
      <c r="J32" s="155"/>
      <c r="K32" s="155"/>
      <c r="L32" s="156"/>
      <c r="N32" s="192"/>
      <c r="O32" s="295"/>
      <c r="P32" s="192"/>
      <c r="Q32" s="192"/>
      <c r="R32" s="192"/>
      <c r="S32" s="296"/>
      <c r="T32" s="297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</row>
    <row r="33" spans="2:33">
      <c r="B33" s="157" t="s">
        <v>20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9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2:33" ht="18">
      <c r="B34" s="157"/>
      <c r="C34" s="160" t="s">
        <v>21</v>
      </c>
      <c r="D34" s="176" t="str">
        <f>$D$7</f>
        <v>ALLETE (MP)</v>
      </c>
      <c r="E34" s="158"/>
      <c r="F34" s="158"/>
      <c r="G34" s="158"/>
      <c r="H34" s="158"/>
      <c r="I34" s="158"/>
      <c r="J34" s="158"/>
      <c r="K34" s="158"/>
      <c r="L34" s="159"/>
      <c r="N34" s="31"/>
      <c r="O34" s="31"/>
      <c r="P34" s="283"/>
      <c r="Q34" s="284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2:33">
      <c r="B35" s="157"/>
      <c r="C35" s="160" t="s">
        <v>22</v>
      </c>
      <c r="D35" s="161">
        <v>2016</v>
      </c>
      <c r="E35" s="158"/>
      <c r="F35" s="158"/>
      <c r="G35" s="158"/>
      <c r="H35" s="158"/>
      <c r="I35" s="158"/>
      <c r="J35" s="158"/>
      <c r="K35" s="158"/>
      <c r="L35" s="159"/>
      <c r="N35" s="31"/>
      <c r="O35" s="31"/>
      <c r="P35" s="283"/>
      <c r="Q35" s="290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2:33">
      <c r="B36" s="136" t="s">
        <v>23</v>
      </c>
      <c r="C36" s="20" t="s">
        <v>24</v>
      </c>
      <c r="D36" s="20" t="s">
        <v>25</v>
      </c>
      <c r="E36" s="20" t="s">
        <v>26</v>
      </c>
      <c r="F36" s="20" t="s">
        <v>27</v>
      </c>
      <c r="G36" s="20" t="s">
        <v>28</v>
      </c>
      <c r="H36" s="20" t="s">
        <v>29</v>
      </c>
      <c r="I36" s="20" t="s">
        <v>30</v>
      </c>
      <c r="J36" s="20" t="s">
        <v>31</v>
      </c>
      <c r="K36" s="20" t="s">
        <v>32</v>
      </c>
      <c r="L36" s="137" t="s">
        <v>33</v>
      </c>
      <c r="N36" s="3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31"/>
      <c r="AA36" s="31"/>
      <c r="AB36" s="31"/>
      <c r="AC36" s="31"/>
      <c r="AD36" s="31"/>
      <c r="AE36" s="31"/>
      <c r="AF36" s="31"/>
      <c r="AG36" s="31"/>
    </row>
    <row r="37" spans="2:33">
      <c r="B37" s="138"/>
      <c r="C37" s="17"/>
      <c r="D37" s="17"/>
      <c r="E37" s="17"/>
      <c r="F37" s="17"/>
      <c r="G37" s="18" t="s">
        <v>34</v>
      </c>
      <c r="H37" s="17"/>
      <c r="I37" s="17"/>
      <c r="J37" s="17"/>
      <c r="K37" s="17"/>
      <c r="L37" s="139"/>
      <c r="N37" s="31"/>
      <c r="O37" s="31"/>
      <c r="P37" s="31"/>
      <c r="Q37" s="31"/>
      <c r="R37" s="31"/>
      <c r="S37" s="31"/>
      <c r="T37" s="22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2:33">
      <c r="B38" s="134"/>
      <c r="C38" s="19"/>
      <c r="D38" s="19"/>
      <c r="E38" s="19"/>
      <c r="F38" s="20" t="s">
        <v>35</v>
      </c>
      <c r="G38" s="20" t="s">
        <v>36</v>
      </c>
      <c r="H38" s="20" t="s">
        <v>34</v>
      </c>
      <c r="I38" s="20" t="s">
        <v>37</v>
      </c>
      <c r="J38" s="20"/>
      <c r="K38" s="20"/>
      <c r="L38" s="135"/>
      <c r="N38" s="31"/>
      <c r="O38" s="31"/>
      <c r="P38" s="31"/>
      <c r="Q38" s="31"/>
      <c r="R38" s="31"/>
      <c r="S38" s="22"/>
      <c r="T38" s="22"/>
      <c r="U38" s="22"/>
      <c r="V38" s="22"/>
      <c r="W38" s="22"/>
      <c r="X38" s="22"/>
      <c r="Y38" s="31"/>
      <c r="Z38" s="31"/>
      <c r="AA38" s="31"/>
      <c r="AB38" s="31"/>
      <c r="AC38" s="31"/>
      <c r="AD38" s="31"/>
      <c r="AE38" s="31"/>
      <c r="AF38" s="31"/>
      <c r="AG38" s="31"/>
    </row>
    <row r="39" spans="2:33">
      <c r="B39" s="134"/>
      <c r="C39" s="19"/>
      <c r="D39" s="20" t="s">
        <v>39</v>
      </c>
      <c r="E39" s="20" t="s">
        <v>34</v>
      </c>
      <c r="F39" s="20" t="s">
        <v>40</v>
      </c>
      <c r="G39" s="20" t="s">
        <v>41</v>
      </c>
      <c r="H39" s="20" t="s">
        <v>40</v>
      </c>
      <c r="I39" s="20" t="s">
        <v>42</v>
      </c>
      <c r="J39" s="20"/>
      <c r="K39" s="20"/>
      <c r="L39" s="137"/>
      <c r="N39" s="31"/>
      <c r="O39" s="31"/>
      <c r="P39" s="31"/>
      <c r="Q39" s="22"/>
      <c r="R39" s="22"/>
      <c r="S39" s="22"/>
      <c r="T39" s="22"/>
      <c r="U39" s="22"/>
      <c r="V39" s="22"/>
      <c r="W39" s="22"/>
      <c r="X39" s="22"/>
      <c r="Y39" s="22"/>
      <c r="Z39" s="31"/>
      <c r="AA39" s="31"/>
      <c r="AB39" s="31"/>
      <c r="AC39" s="31"/>
      <c r="AD39" s="31"/>
      <c r="AE39" s="31"/>
      <c r="AF39" s="31"/>
      <c r="AG39" s="31"/>
    </row>
    <row r="40" spans="2:33">
      <c r="B40" s="136" t="s">
        <v>44</v>
      </c>
      <c r="C40" s="20" t="s">
        <v>45</v>
      </c>
      <c r="D40" s="20" t="s">
        <v>45</v>
      </c>
      <c r="E40" s="20" t="s">
        <v>36</v>
      </c>
      <c r="F40" s="20" t="s">
        <v>6</v>
      </c>
      <c r="G40" s="20" t="s">
        <v>46</v>
      </c>
      <c r="H40" s="20" t="s">
        <v>6</v>
      </c>
      <c r="I40" s="20" t="s">
        <v>47</v>
      </c>
      <c r="J40" s="20"/>
      <c r="K40" s="20"/>
      <c r="L40" s="137"/>
      <c r="N40" s="365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31"/>
      <c r="AA40" s="31"/>
      <c r="AB40" s="31"/>
      <c r="AC40" s="31"/>
      <c r="AD40" s="31"/>
      <c r="AE40" s="31"/>
      <c r="AF40" s="31"/>
      <c r="AG40" s="31"/>
    </row>
    <row r="41" spans="2:33" ht="17.25" customHeight="1">
      <c r="B41" s="140" t="s">
        <v>49</v>
      </c>
      <c r="C41" s="21" t="s">
        <v>50</v>
      </c>
      <c r="D41" s="21" t="s">
        <v>51</v>
      </c>
      <c r="E41" s="217" t="s">
        <v>150</v>
      </c>
      <c r="F41" s="21" t="s">
        <v>52</v>
      </c>
      <c r="G41" s="21" t="s">
        <v>53</v>
      </c>
      <c r="H41" s="21" t="s">
        <v>52</v>
      </c>
      <c r="I41" s="21" t="s">
        <v>54</v>
      </c>
      <c r="J41" s="21"/>
      <c r="K41" s="21"/>
      <c r="L41" s="141"/>
      <c r="N41" s="365"/>
      <c r="O41" s="22"/>
      <c r="P41" s="22"/>
      <c r="Q41" s="22"/>
      <c r="R41" s="261"/>
      <c r="S41" s="22"/>
      <c r="T41" s="22"/>
      <c r="U41" s="22"/>
      <c r="V41" s="22"/>
      <c r="W41" s="22"/>
      <c r="X41" s="22"/>
      <c r="Y41" s="22"/>
      <c r="Z41" s="31"/>
      <c r="AA41" s="31"/>
      <c r="AB41" s="31"/>
      <c r="AC41" s="31"/>
      <c r="AD41" s="31"/>
      <c r="AE41" s="31"/>
      <c r="AF41" s="31"/>
      <c r="AG41" s="31"/>
    </row>
    <row r="42" spans="2:33" ht="15" customHeight="1">
      <c r="B42" s="134"/>
      <c r="C42" s="19"/>
      <c r="D42" s="19"/>
      <c r="E42" s="19"/>
      <c r="F42" s="22" t="s">
        <v>35</v>
      </c>
      <c r="G42" s="22" t="s">
        <v>55</v>
      </c>
      <c r="H42" s="22" t="s">
        <v>34</v>
      </c>
      <c r="I42" s="19"/>
      <c r="J42" s="19"/>
      <c r="K42" s="19"/>
      <c r="L42" s="135"/>
      <c r="N42" s="365"/>
      <c r="O42" s="31"/>
      <c r="P42" s="31"/>
      <c r="Q42" s="31"/>
      <c r="R42" s="31"/>
      <c r="S42" s="22"/>
      <c r="T42" s="22"/>
      <c r="U42" s="22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2:33" ht="15" customHeight="1">
      <c r="B43" s="134"/>
      <c r="C43" s="19"/>
      <c r="D43" s="19"/>
      <c r="E43" s="19"/>
      <c r="F43" s="22" t="s">
        <v>36</v>
      </c>
      <c r="G43" s="22" t="s">
        <v>56</v>
      </c>
      <c r="H43" s="22" t="s">
        <v>36</v>
      </c>
      <c r="I43" s="19"/>
      <c r="J43" s="22"/>
      <c r="K43" s="22"/>
      <c r="L43" s="135"/>
      <c r="N43" s="365"/>
      <c r="O43" s="31"/>
      <c r="P43" s="31"/>
      <c r="Q43" s="31"/>
      <c r="R43" s="31"/>
      <c r="S43" s="22"/>
      <c r="T43" s="22"/>
      <c r="U43" s="22"/>
      <c r="V43" s="31"/>
      <c r="W43" s="22"/>
      <c r="X43" s="22"/>
      <c r="Y43" s="31"/>
      <c r="Z43" s="31"/>
      <c r="AA43" s="31"/>
      <c r="AB43" s="31"/>
      <c r="AC43" s="31"/>
      <c r="AD43" s="31"/>
      <c r="AE43" s="31"/>
      <c r="AF43" s="31"/>
      <c r="AG43" s="31"/>
    </row>
    <row r="44" spans="2:33" ht="16.2">
      <c r="B44" s="142"/>
      <c r="C44" s="23"/>
      <c r="D44" s="23"/>
      <c r="E44" s="23"/>
      <c r="F44" s="319" t="s">
        <v>227</v>
      </c>
      <c r="G44" s="24" t="s">
        <v>58</v>
      </c>
      <c r="H44" s="319" t="s">
        <v>227</v>
      </c>
      <c r="I44" s="24" t="s">
        <v>59</v>
      </c>
      <c r="J44" s="24"/>
      <c r="K44" s="24"/>
      <c r="L44" s="141"/>
      <c r="N44" s="365"/>
      <c r="O44" s="31"/>
      <c r="P44" s="31"/>
      <c r="Q44" s="31"/>
      <c r="R44" s="31"/>
      <c r="S44" s="22"/>
      <c r="T44" s="22"/>
      <c r="U44" s="22"/>
      <c r="V44" s="22"/>
      <c r="W44" s="22"/>
      <c r="X44" s="22"/>
      <c r="Y44" s="22"/>
      <c r="Z44" s="31"/>
      <c r="AA44" s="31"/>
      <c r="AB44" s="31"/>
      <c r="AC44" s="31"/>
      <c r="AD44" s="31"/>
      <c r="AE44" s="31"/>
      <c r="AF44" s="31"/>
      <c r="AG44" s="31"/>
    </row>
    <row r="45" spans="2:33" ht="9.75" customHeight="1">
      <c r="B45" s="138"/>
      <c r="C45" s="17"/>
      <c r="D45" s="17"/>
      <c r="E45" s="17"/>
      <c r="F45" s="17"/>
      <c r="G45" s="17"/>
      <c r="H45" s="17"/>
      <c r="I45" s="17"/>
      <c r="J45" s="17"/>
      <c r="K45" s="17"/>
      <c r="L45" s="139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2:33" ht="32.25" customHeight="1">
      <c r="B46" s="143">
        <v>1</v>
      </c>
      <c r="C46" s="363" t="s">
        <v>63</v>
      </c>
      <c r="D46" s="363"/>
      <c r="E46" s="32">
        <f>$E$18</f>
        <v>25260059</v>
      </c>
      <c r="F46" s="19"/>
      <c r="G46" s="19"/>
      <c r="H46" s="19"/>
      <c r="I46" s="19"/>
      <c r="J46" s="19"/>
      <c r="K46" s="19"/>
      <c r="L46" s="135"/>
      <c r="N46" s="31"/>
      <c r="O46" s="298"/>
      <c r="P46" s="364"/>
      <c r="Q46" s="364"/>
      <c r="R46" s="32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2:33" ht="13.5" customHeight="1">
      <c r="B47" s="136"/>
      <c r="C47" s="19"/>
      <c r="D47" s="19"/>
      <c r="E47" s="19"/>
      <c r="F47" s="19"/>
      <c r="G47" s="19"/>
      <c r="H47" s="19"/>
      <c r="I47" s="19"/>
      <c r="J47" s="19"/>
      <c r="K47" s="19"/>
      <c r="L47" s="135"/>
      <c r="N47" s="193"/>
      <c r="O47" s="22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2:33">
      <c r="B48" s="136" t="s">
        <v>64</v>
      </c>
      <c r="C48" s="25" t="str">
        <f t="shared" ref="C48:D52" si="0">C20</f>
        <v>MTEP07 - Badoura</v>
      </c>
      <c r="D48" s="189">
        <f t="shared" si="0"/>
        <v>277</v>
      </c>
      <c r="E48" s="26"/>
      <c r="F48" s="187">
        <v>3853958.6048536603</v>
      </c>
      <c r="G48" s="26">
        <f>IF(F48=0,0,ROUND($E$46*(F48/$F$54),0))</f>
        <v>4073339</v>
      </c>
      <c r="H48" s="187">
        <v>3722299.4194003055</v>
      </c>
      <c r="I48" s="27">
        <f>ROUND(+H48-G48,0)</f>
        <v>-351040</v>
      </c>
      <c r="J48" s="28"/>
      <c r="K48" s="27"/>
      <c r="L48" s="144"/>
      <c r="N48" s="194"/>
      <c r="O48" s="22"/>
      <c r="P48" s="125"/>
      <c r="Q48" s="188"/>
      <c r="R48" s="29"/>
      <c r="S48" s="287"/>
      <c r="T48" s="29"/>
      <c r="U48" s="287"/>
      <c r="V48" s="288"/>
      <c r="W48" s="289"/>
      <c r="X48" s="288"/>
      <c r="Y48" s="288"/>
      <c r="Z48" s="31"/>
      <c r="AA48" s="31"/>
      <c r="AB48" s="31"/>
      <c r="AC48" s="31"/>
      <c r="AD48" s="31"/>
      <c r="AE48" s="31"/>
      <c r="AF48" s="31"/>
      <c r="AG48" s="31"/>
    </row>
    <row r="49" spans="1:33">
      <c r="B49" s="136" t="s">
        <v>65</v>
      </c>
      <c r="C49" s="25" t="str">
        <f t="shared" si="0"/>
        <v>MTEP06 - Boswell / Bemidji</v>
      </c>
      <c r="D49" s="189">
        <f t="shared" si="0"/>
        <v>279</v>
      </c>
      <c r="E49" s="26"/>
      <c r="F49" s="187">
        <v>2013212.1550201625</v>
      </c>
      <c r="G49" s="26">
        <f>IF(F49=0,0,ROUND($E$46*(F49/$F$54),0))</f>
        <v>2127811</v>
      </c>
      <c r="H49" s="187">
        <v>1960807.4447289039</v>
      </c>
      <c r="I49" s="27">
        <f>ROUND(+H49-G49,0)</f>
        <v>-167004</v>
      </c>
      <c r="J49" s="28"/>
      <c r="K49" s="27"/>
      <c r="L49" s="144"/>
      <c r="N49" s="194"/>
      <c r="O49" s="22"/>
      <c r="P49" s="125"/>
      <c r="Q49" s="188"/>
      <c r="R49" s="29"/>
      <c r="S49" s="287"/>
      <c r="T49" s="29"/>
      <c r="U49" s="287"/>
      <c r="V49" s="288"/>
      <c r="W49" s="289"/>
      <c r="X49" s="288"/>
      <c r="Y49" s="288"/>
      <c r="Z49" s="31"/>
      <c r="AA49" s="31"/>
      <c r="AB49" s="31"/>
      <c r="AC49" s="31"/>
      <c r="AD49" s="31"/>
      <c r="AE49" s="31"/>
      <c r="AF49" s="31"/>
      <c r="AG49" s="31"/>
    </row>
    <row r="50" spans="1:33">
      <c r="B50" s="136" t="s">
        <v>66</v>
      </c>
      <c r="C50" s="25" t="str">
        <f t="shared" si="0"/>
        <v>MTEP08 - Fargo Phase 1</v>
      </c>
      <c r="D50" s="189">
        <f t="shared" si="0"/>
        <v>286</v>
      </c>
      <c r="E50" s="26"/>
      <c r="F50" s="187">
        <v>16686310.184866633</v>
      </c>
      <c r="G50" s="26">
        <f>IF(F50=0,0,ROUND($E$46*(F50/$F$54),0))</f>
        <v>17636154</v>
      </c>
      <c r="H50" s="187">
        <v>17293417.112141661</v>
      </c>
      <c r="I50" s="27">
        <f>ROUND(+H50-G50,0)</f>
        <v>-342737</v>
      </c>
      <c r="J50" s="28"/>
      <c r="K50" s="27"/>
      <c r="L50" s="144"/>
      <c r="N50" s="194"/>
      <c r="O50" s="22"/>
      <c r="P50" s="125"/>
      <c r="Q50" s="189"/>
      <c r="R50" s="29"/>
      <c r="S50" s="287"/>
      <c r="T50" s="29"/>
      <c r="U50" s="287"/>
      <c r="V50" s="288"/>
      <c r="W50" s="289"/>
      <c r="X50" s="288"/>
      <c r="Y50" s="288"/>
      <c r="Z50" s="31"/>
      <c r="AA50" s="31"/>
      <c r="AB50" s="31"/>
      <c r="AC50" s="31"/>
      <c r="AD50" s="31"/>
      <c r="AE50" s="31"/>
      <c r="AF50" s="31"/>
      <c r="AG50" s="31"/>
    </row>
    <row r="51" spans="1:33" s="30" customFormat="1">
      <c r="B51" s="145" t="s">
        <v>73</v>
      </c>
      <c r="C51" s="25" t="str">
        <f t="shared" si="0"/>
        <v>MTEP11 - Savanna Project</v>
      </c>
      <c r="D51" s="189">
        <f t="shared" si="0"/>
        <v>2634</v>
      </c>
      <c r="E51" s="31"/>
      <c r="F51" s="187">
        <v>79201.384875193908</v>
      </c>
      <c r="G51" s="26">
        <f>IF(F51=0,0,ROUND($E$46*(F51/$F$54),0))</f>
        <v>83710</v>
      </c>
      <c r="H51" s="187">
        <v>739173.08184243832</v>
      </c>
      <c r="I51" s="27">
        <f>ROUND(+H51-G51,0)</f>
        <v>655463</v>
      </c>
      <c r="J51" s="28"/>
      <c r="K51" s="27"/>
      <c r="L51" s="144"/>
      <c r="N51" s="194"/>
      <c r="O51" s="33"/>
      <c r="P51" s="125"/>
      <c r="Q51" s="188"/>
      <c r="R51" s="31"/>
      <c r="S51" s="287"/>
      <c r="T51" s="29"/>
      <c r="U51" s="287"/>
      <c r="V51" s="288"/>
      <c r="W51" s="289"/>
      <c r="X51" s="288"/>
      <c r="Y51" s="288"/>
      <c r="Z51" s="31"/>
      <c r="AA51" s="31"/>
      <c r="AB51" s="31"/>
      <c r="AC51" s="31"/>
      <c r="AD51" s="31"/>
      <c r="AE51" s="31"/>
      <c r="AF51" s="31"/>
      <c r="AG51" s="31"/>
    </row>
    <row r="52" spans="1:33" s="30" customFormat="1">
      <c r="B52" s="212" t="s">
        <v>74</v>
      </c>
      <c r="C52" s="25" t="str">
        <f t="shared" si="0"/>
        <v>MTEP11 - 9 Line Upgrade</v>
      </c>
      <c r="D52" s="189">
        <f t="shared" si="0"/>
        <v>3373</v>
      </c>
      <c r="E52" s="31"/>
      <c r="F52" s="187">
        <v>1266926.8745036884</v>
      </c>
      <c r="G52" s="26">
        <f>IF(F52=0,0,ROUND($E$46*(F52/$F$54),0))</f>
        <v>1339045</v>
      </c>
      <c r="H52" s="187">
        <v>1043223.0895389057</v>
      </c>
      <c r="I52" s="27">
        <f>ROUND(+H52-G52,0)</f>
        <v>-295822</v>
      </c>
      <c r="J52" s="28"/>
      <c r="K52" s="27"/>
      <c r="L52" s="144"/>
      <c r="N52" s="194"/>
      <c r="O52" s="299"/>
      <c r="P52" s="25"/>
      <c r="Q52" s="188"/>
      <c r="R52" s="31"/>
      <c r="S52" s="287"/>
      <c r="T52" s="29"/>
      <c r="U52" s="287"/>
      <c r="V52" s="288"/>
      <c r="W52" s="289"/>
      <c r="X52" s="288"/>
      <c r="Y52" s="288"/>
      <c r="Z52" s="31"/>
      <c r="AA52" s="31"/>
      <c r="AB52" s="31"/>
      <c r="AC52" s="31"/>
      <c r="AD52" s="31"/>
      <c r="AE52" s="31"/>
      <c r="AF52" s="31"/>
      <c r="AG52" s="31"/>
    </row>
    <row r="53" spans="1:33">
      <c r="B53" s="140"/>
      <c r="C53" s="23"/>
      <c r="D53" s="23"/>
      <c r="E53" s="23"/>
      <c r="F53" s="23"/>
      <c r="G53" s="23"/>
      <c r="H53" s="23"/>
      <c r="I53" s="23"/>
      <c r="J53" s="23"/>
      <c r="K53" s="23"/>
      <c r="L53" s="146"/>
      <c r="N53" s="31"/>
      <c r="O53" s="22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>
      <c r="B54" s="136">
        <v>3</v>
      </c>
      <c r="C54" s="19" t="s">
        <v>67</v>
      </c>
      <c r="D54" s="19"/>
      <c r="E54" s="147"/>
      <c r="F54" s="147">
        <f>SUM(F48:F53)</f>
        <v>23899609.204119336</v>
      </c>
      <c r="G54" s="147">
        <f>SUM(G48:G53)</f>
        <v>25260059</v>
      </c>
      <c r="H54" s="147">
        <f>SUM(H48:H53)</f>
        <v>24758920.147652213</v>
      </c>
      <c r="I54" s="147"/>
      <c r="J54" s="19"/>
      <c r="K54" s="19"/>
      <c r="L54" s="135"/>
      <c r="N54" s="31"/>
      <c r="O54" s="22"/>
      <c r="P54" s="31"/>
      <c r="Q54" s="31"/>
      <c r="R54" s="32"/>
      <c r="S54" s="32"/>
      <c r="T54" s="32"/>
      <c r="U54" s="32"/>
      <c r="V54" s="32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5" thickBot="1">
      <c r="B55" s="162">
        <v>4</v>
      </c>
      <c r="C55" s="152" t="s">
        <v>68</v>
      </c>
      <c r="D55" s="152"/>
      <c r="E55" s="152"/>
      <c r="F55" s="152"/>
      <c r="G55" s="152"/>
      <c r="H55" s="152"/>
      <c r="I55" s="163">
        <f>SUM(I48:I53)</f>
        <v>-501140</v>
      </c>
      <c r="J55" s="152"/>
      <c r="K55" s="163"/>
      <c r="L55" s="164"/>
      <c r="N55" s="32"/>
      <c r="O55" s="22"/>
      <c r="P55" s="31"/>
      <c r="Q55" s="31"/>
      <c r="R55" s="31"/>
      <c r="S55" s="31"/>
      <c r="T55" s="31"/>
      <c r="U55" s="31"/>
      <c r="V55" s="32"/>
      <c r="W55" s="31"/>
      <c r="X55" s="32"/>
      <c r="Y55" s="32"/>
      <c r="Z55" s="31"/>
      <c r="AA55" s="31"/>
      <c r="AB55" s="31"/>
      <c r="AC55" s="31"/>
      <c r="AD55" s="31"/>
      <c r="AE55" s="31"/>
      <c r="AF55" s="31"/>
      <c r="AG55" s="31"/>
    </row>
    <row r="56" spans="1:33" ht="15" thickBot="1"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8">
      <c r="A57" s="15"/>
      <c r="B57" s="167" t="s">
        <v>101</v>
      </c>
      <c r="C57" s="168"/>
      <c r="D57" s="168"/>
      <c r="E57" s="168"/>
      <c r="F57" s="168"/>
      <c r="G57" s="282" t="s">
        <v>203</v>
      </c>
      <c r="H57" s="168"/>
      <c r="I57" s="168"/>
      <c r="J57" s="168"/>
      <c r="K57" s="168"/>
      <c r="L57" s="169"/>
      <c r="M57" s="15"/>
      <c r="N57" s="192"/>
      <c r="O57" s="295"/>
      <c r="P57" s="192"/>
      <c r="Q57" s="192"/>
      <c r="R57" s="192"/>
      <c r="S57" s="192"/>
      <c r="T57" s="297"/>
      <c r="U57" s="192"/>
      <c r="V57" s="192"/>
      <c r="W57" s="192"/>
      <c r="X57" s="192"/>
      <c r="Y57" s="192"/>
      <c r="Z57" s="31"/>
      <c r="AA57" s="31"/>
      <c r="AB57" s="31"/>
      <c r="AC57" s="31"/>
      <c r="AD57" s="31"/>
      <c r="AE57" s="31"/>
      <c r="AF57" s="31"/>
      <c r="AG57" s="31"/>
    </row>
    <row r="58" spans="1:33">
      <c r="B58" s="170" t="s">
        <v>20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8">
      <c r="B59" s="170"/>
      <c r="C59" s="173" t="s">
        <v>21</v>
      </c>
      <c r="D59" s="177" t="str">
        <f>$D$7</f>
        <v>ALLETE (MP)</v>
      </c>
      <c r="E59" s="171"/>
      <c r="F59" s="171"/>
      <c r="G59" s="171"/>
      <c r="H59" s="171"/>
      <c r="I59" s="171"/>
      <c r="J59" s="171"/>
      <c r="K59" s="171"/>
      <c r="L59" s="172"/>
      <c r="N59" s="31"/>
      <c r="O59" s="31"/>
      <c r="P59" s="283"/>
      <c r="Q59" s="284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>
      <c r="B60" s="170"/>
      <c r="C60" s="173" t="s">
        <v>22</v>
      </c>
      <c r="D60" s="174">
        <v>2016</v>
      </c>
      <c r="E60" s="171"/>
      <c r="F60" s="171"/>
      <c r="G60" s="171"/>
      <c r="H60" s="171"/>
      <c r="I60" s="171"/>
      <c r="J60" s="171"/>
      <c r="K60" s="171"/>
      <c r="L60" s="172"/>
      <c r="N60" s="31"/>
      <c r="O60" s="31"/>
      <c r="P60" s="283"/>
      <c r="Q60" s="290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>
      <c r="B61" s="136" t="s">
        <v>23</v>
      </c>
      <c r="C61" s="20" t="s">
        <v>24</v>
      </c>
      <c r="D61" s="20" t="s">
        <v>25</v>
      </c>
      <c r="E61" s="20" t="s">
        <v>26</v>
      </c>
      <c r="F61" s="20" t="s">
        <v>27</v>
      </c>
      <c r="G61" s="20" t="s">
        <v>28</v>
      </c>
      <c r="H61" s="20" t="s">
        <v>29</v>
      </c>
      <c r="I61" s="20" t="s">
        <v>30</v>
      </c>
      <c r="J61" s="20" t="s">
        <v>31</v>
      </c>
      <c r="K61" s="20" t="s">
        <v>32</v>
      </c>
      <c r="L61" s="137" t="s">
        <v>33</v>
      </c>
      <c r="N61" s="3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31"/>
      <c r="AA61" s="31"/>
      <c r="AB61" s="31"/>
      <c r="AC61" s="31"/>
      <c r="AD61" s="31"/>
      <c r="AE61" s="31"/>
      <c r="AF61" s="31"/>
      <c r="AG61" s="31"/>
    </row>
    <row r="62" spans="1:33">
      <c r="B62" s="138"/>
      <c r="C62" s="17"/>
      <c r="D62" s="17"/>
      <c r="E62" s="17"/>
      <c r="F62" s="17"/>
      <c r="G62" s="18" t="s">
        <v>34</v>
      </c>
      <c r="H62" s="17"/>
      <c r="I62" s="17"/>
      <c r="J62" s="17"/>
      <c r="K62" s="17"/>
      <c r="L62" s="139"/>
      <c r="N62" s="31"/>
      <c r="O62" s="31"/>
      <c r="P62" s="31"/>
      <c r="Q62" s="31"/>
      <c r="R62" s="31"/>
      <c r="S62" s="31"/>
      <c r="T62" s="22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>
      <c r="B63" s="134"/>
      <c r="C63" s="19"/>
      <c r="D63" s="19"/>
      <c r="E63" s="19"/>
      <c r="F63" s="20" t="s">
        <v>35</v>
      </c>
      <c r="G63" s="20" t="s">
        <v>36</v>
      </c>
      <c r="H63" s="20" t="s">
        <v>34</v>
      </c>
      <c r="I63" s="20" t="s">
        <v>37</v>
      </c>
      <c r="J63" s="20" t="s">
        <v>38</v>
      </c>
      <c r="K63" s="20" t="s">
        <v>37</v>
      </c>
      <c r="L63" s="135"/>
      <c r="N63" s="31"/>
      <c r="O63" s="31"/>
      <c r="P63" s="31"/>
      <c r="Q63" s="31"/>
      <c r="R63" s="31"/>
      <c r="S63" s="22"/>
      <c r="T63" s="22"/>
      <c r="U63" s="22"/>
      <c r="V63" s="22"/>
      <c r="W63" s="22"/>
      <c r="X63" s="22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>
      <c r="B64" s="134"/>
      <c r="C64" s="19"/>
      <c r="D64" s="20" t="s">
        <v>39</v>
      </c>
      <c r="E64" s="20" t="s">
        <v>34</v>
      </c>
      <c r="F64" s="20" t="s">
        <v>40</v>
      </c>
      <c r="G64" s="20" t="s">
        <v>41</v>
      </c>
      <c r="H64" s="20" t="s">
        <v>40</v>
      </c>
      <c r="I64" s="20" t="s">
        <v>42</v>
      </c>
      <c r="J64" s="20" t="s">
        <v>43</v>
      </c>
      <c r="K64" s="20" t="s">
        <v>42</v>
      </c>
      <c r="L64" s="137" t="s">
        <v>19</v>
      </c>
      <c r="N64" s="31"/>
      <c r="O64" s="31"/>
      <c r="P64" s="31"/>
      <c r="Q64" s="22"/>
      <c r="R64" s="22"/>
      <c r="S64" s="22"/>
      <c r="T64" s="22"/>
      <c r="U64" s="22"/>
      <c r="V64" s="22"/>
      <c r="W64" s="22"/>
      <c r="X64" s="22"/>
      <c r="Y64" s="22"/>
      <c r="Z64" s="31"/>
      <c r="AA64" s="31"/>
      <c r="AB64" s="31"/>
      <c r="AC64" s="31"/>
      <c r="AD64" s="31"/>
      <c r="AE64" s="31"/>
      <c r="AF64" s="31"/>
      <c r="AG64" s="31"/>
    </row>
    <row r="65" spans="1:33">
      <c r="B65" s="136" t="s">
        <v>44</v>
      </c>
      <c r="C65" s="20" t="s">
        <v>45</v>
      </c>
      <c r="D65" s="20" t="s">
        <v>45</v>
      </c>
      <c r="E65" s="20" t="s">
        <v>36</v>
      </c>
      <c r="F65" s="20" t="s">
        <v>6</v>
      </c>
      <c r="G65" s="20" t="s">
        <v>46</v>
      </c>
      <c r="H65" s="20" t="s">
        <v>6</v>
      </c>
      <c r="I65" s="20" t="s">
        <v>47</v>
      </c>
      <c r="J65" s="20" t="s">
        <v>48</v>
      </c>
      <c r="K65" s="20" t="s">
        <v>43</v>
      </c>
      <c r="L65" s="137" t="s">
        <v>37</v>
      </c>
      <c r="N65" s="365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31"/>
      <c r="AA65" s="31"/>
      <c r="AB65" s="31"/>
      <c r="AC65" s="31"/>
      <c r="AD65" s="31"/>
      <c r="AE65" s="31"/>
      <c r="AF65" s="31"/>
      <c r="AG65" s="31"/>
    </row>
    <row r="66" spans="1:33" ht="16.2">
      <c r="B66" s="140" t="s">
        <v>49</v>
      </c>
      <c r="C66" s="21" t="s">
        <v>50</v>
      </c>
      <c r="D66" s="21" t="s">
        <v>51</v>
      </c>
      <c r="E66" s="217" t="s">
        <v>151</v>
      </c>
      <c r="F66" s="21" t="s">
        <v>52</v>
      </c>
      <c r="G66" s="21" t="s">
        <v>53</v>
      </c>
      <c r="H66" s="21" t="s">
        <v>52</v>
      </c>
      <c r="I66" s="21" t="s">
        <v>54</v>
      </c>
      <c r="J66" s="21" t="s">
        <v>54</v>
      </c>
      <c r="K66" s="21" t="s">
        <v>54</v>
      </c>
      <c r="L66" s="141" t="s">
        <v>42</v>
      </c>
      <c r="N66" s="365"/>
      <c r="O66" s="22"/>
      <c r="P66" s="22"/>
      <c r="Q66" s="22"/>
      <c r="R66" s="261"/>
      <c r="S66" s="22"/>
      <c r="T66" s="22"/>
      <c r="U66" s="22"/>
      <c r="V66" s="22"/>
      <c r="W66" s="22"/>
      <c r="X66" s="22"/>
      <c r="Y66" s="22"/>
      <c r="Z66" s="31"/>
      <c r="AA66" s="31"/>
      <c r="AB66" s="31"/>
      <c r="AC66" s="31"/>
      <c r="AD66" s="31"/>
      <c r="AE66" s="31"/>
      <c r="AF66" s="31"/>
      <c r="AG66" s="31"/>
    </row>
    <row r="67" spans="1:33">
      <c r="B67" s="134"/>
      <c r="C67" s="19"/>
      <c r="D67" s="19"/>
      <c r="E67" s="19"/>
      <c r="F67" s="22" t="s">
        <v>35</v>
      </c>
      <c r="G67" s="22" t="s">
        <v>55</v>
      </c>
      <c r="H67" s="22" t="s">
        <v>34</v>
      </c>
      <c r="I67" s="19"/>
      <c r="J67" s="19"/>
      <c r="K67" s="19"/>
      <c r="L67" s="135"/>
      <c r="N67" s="365"/>
      <c r="O67" s="31"/>
      <c r="P67" s="31"/>
      <c r="Q67" s="31"/>
      <c r="R67" s="31"/>
      <c r="S67" s="22"/>
      <c r="T67" s="22"/>
      <c r="U67" s="22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>
      <c r="B68" s="134"/>
      <c r="C68" s="19"/>
      <c r="D68" s="19"/>
      <c r="E68" s="19"/>
      <c r="F68" s="22" t="s">
        <v>36</v>
      </c>
      <c r="G68" s="22" t="s">
        <v>56</v>
      </c>
      <c r="H68" s="22" t="s">
        <v>36</v>
      </c>
      <c r="I68" s="19"/>
      <c r="J68" s="22"/>
      <c r="K68" s="22" t="s">
        <v>57</v>
      </c>
      <c r="L68" s="135"/>
      <c r="N68" s="365"/>
      <c r="O68" s="31"/>
      <c r="P68" s="31"/>
      <c r="Q68" s="31"/>
      <c r="R68" s="31"/>
      <c r="S68" s="22"/>
      <c r="T68" s="22"/>
      <c r="U68" s="22"/>
      <c r="V68" s="31"/>
      <c r="W68" s="22"/>
      <c r="X68" s="22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6.2">
      <c r="B69" s="142"/>
      <c r="C69" s="23"/>
      <c r="D69" s="23"/>
      <c r="E69" s="23"/>
      <c r="F69" s="319" t="s">
        <v>227</v>
      </c>
      <c r="G69" s="24" t="s">
        <v>58</v>
      </c>
      <c r="H69" s="319" t="s">
        <v>227</v>
      </c>
      <c r="I69" s="24" t="s">
        <v>59</v>
      </c>
      <c r="J69" s="24" t="s">
        <v>60</v>
      </c>
      <c r="K69" s="24" t="s">
        <v>61</v>
      </c>
      <c r="L69" s="141" t="s">
        <v>62</v>
      </c>
      <c r="N69" s="365"/>
      <c r="O69" s="31"/>
      <c r="P69" s="31"/>
      <c r="Q69" s="31"/>
      <c r="R69" s="31"/>
      <c r="S69" s="22"/>
      <c r="T69" s="22"/>
      <c r="U69" s="22"/>
      <c r="V69" s="22"/>
      <c r="W69" s="22"/>
      <c r="X69" s="22"/>
      <c r="Y69" s="22"/>
      <c r="Z69" s="31"/>
      <c r="AA69" s="31"/>
      <c r="AB69" s="31"/>
      <c r="AC69" s="31"/>
      <c r="AD69" s="31"/>
      <c r="AE69" s="31"/>
      <c r="AF69" s="31"/>
      <c r="AG69" s="31"/>
    </row>
    <row r="70" spans="1:33">
      <c r="B70" s="138"/>
      <c r="C70" s="17"/>
      <c r="D70" s="17"/>
      <c r="E70" s="17"/>
      <c r="F70" s="17"/>
      <c r="G70" s="17"/>
      <c r="H70" s="17"/>
      <c r="I70" s="17"/>
      <c r="J70" s="17"/>
      <c r="K70" s="17"/>
      <c r="L70" s="139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33.6" customHeight="1">
      <c r="B71" s="143">
        <v>1</v>
      </c>
      <c r="C71" s="363" t="s">
        <v>63</v>
      </c>
      <c r="D71" s="363"/>
      <c r="E71" s="32">
        <f>$E$18</f>
        <v>25260059</v>
      </c>
      <c r="F71" s="19"/>
      <c r="G71" s="19"/>
      <c r="H71" s="19"/>
      <c r="I71" s="19"/>
      <c r="J71" s="19"/>
      <c r="K71" s="19"/>
      <c r="L71" s="135"/>
      <c r="N71" s="31"/>
      <c r="O71" s="298"/>
      <c r="P71" s="364"/>
      <c r="Q71" s="364"/>
      <c r="R71" s="32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>
      <c r="B72" s="136"/>
      <c r="C72" s="19"/>
      <c r="D72" s="19"/>
      <c r="E72" s="19"/>
      <c r="F72" s="19"/>
      <c r="G72" s="19"/>
      <c r="H72" s="19"/>
      <c r="I72" s="19"/>
      <c r="J72" s="19"/>
      <c r="K72" s="19"/>
      <c r="L72" s="135"/>
      <c r="N72" s="193"/>
      <c r="O72" s="2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>
      <c r="B73" s="136" t="s">
        <v>64</v>
      </c>
      <c r="C73" s="25" t="str">
        <f t="shared" ref="C73:D77" si="1">C20</f>
        <v>MTEP07 - Badoura</v>
      </c>
      <c r="D73" s="189">
        <f t="shared" si="1"/>
        <v>277</v>
      </c>
      <c r="E73" s="26"/>
      <c r="F73" s="29">
        <f>ROUND((F20*'2016 TU'!$F$29)+(F48*'2016 TU'!$F$33),0)</f>
        <v>4032883</v>
      </c>
      <c r="G73" s="26">
        <f>IF(F73=0,0,ROUND($E$71*(F73/$F$79),0))</f>
        <v>4065728</v>
      </c>
      <c r="H73" s="29">
        <f>ROUND((H20*'2016 TU'!$F$29)+(H48*'2016 TU'!$F$33),0)</f>
        <v>3901339</v>
      </c>
      <c r="I73" s="27">
        <f>ROUND(+H73-G73,0)</f>
        <v>-164389</v>
      </c>
      <c r="J73" s="126">
        <f>+$J$81</f>
        <v>1.5169999999999999E-3</v>
      </c>
      <c r="K73" s="27">
        <f>ROUND((I73*J73)*24,0)</f>
        <v>-5985</v>
      </c>
      <c r="L73" s="144">
        <f>ROUND(+I73+K73,0)</f>
        <v>-170374</v>
      </c>
      <c r="N73" s="194"/>
      <c r="O73" s="22"/>
      <c r="P73" s="125"/>
      <c r="Q73" s="188"/>
      <c r="R73" s="29"/>
      <c r="S73" s="29"/>
      <c r="T73" s="29"/>
      <c r="U73" s="29"/>
      <c r="V73" s="288"/>
      <c r="W73" s="291"/>
      <c r="X73" s="288"/>
      <c r="Y73" s="288"/>
      <c r="Z73" s="31"/>
      <c r="AA73" s="31"/>
      <c r="AB73" s="31"/>
      <c r="AC73" s="31"/>
      <c r="AD73" s="31"/>
      <c r="AE73" s="31"/>
      <c r="AF73" s="31"/>
      <c r="AG73" s="31"/>
    </row>
    <row r="74" spans="1:33">
      <c r="B74" s="136" t="s">
        <v>65</v>
      </c>
      <c r="C74" s="25" t="str">
        <f t="shared" si="1"/>
        <v>MTEP06 - Boswell / Bemidji</v>
      </c>
      <c r="D74" s="189">
        <f t="shared" si="1"/>
        <v>279</v>
      </c>
      <c r="E74" s="26"/>
      <c r="F74" s="29">
        <f>ROUND((F21*'2016 TU'!$F$29)+(F49*'2016 TU'!$F$33),0)</f>
        <v>2108856</v>
      </c>
      <c r="G74" s="26">
        <f>IF(F74=0,0,ROUND($E$71*(F74/$F$79),0))</f>
        <v>2126031</v>
      </c>
      <c r="H74" s="29">
        <f>ROUND((H21*'2016 TU'!$F$29)+(H49*'2016 TU'!$F$33),0)</f>
        <v>2056671</v>
      </c>
      <c r="I74" s="27">
        <f>ROUND(+H74-G74,0)</f>
        <v>-69360</v>
      </c>
      <c r="J74" s="126">
        <f>+$J$81</f>
        <v>1.5169999999999999E-3</v>
      </c>
      <c r="K74" s="27">
        <f>ROUND((I74*J74)*24,0)</f>
        <v>-2525</v>
      </c>
      <c r="L74" s="144">
        <f>ROUND(+I74+K74,0)</f>
        <v>-71885</v>
      </c>
      <c r="N74" s="194"/>
      <c r="O74" s="22"/>
      <c r="P74" s="125"/>
      <c r="Q74" s="188"/>
      <c r="R74" s="29"/>
      <c r="S74" s="29"/>
      <c r="T74" s="29"/>
      <c r="U74" s="29"/>
      <c r="V74" s="288"/>
      <c r="W74" s="291"/>
      <c r="X74" s="288"/>
      <c r="Y74" s="288"/>
      <c r="Z74" s="31"/>
      <c r="AA74" s="31"/>
      <c r="AB74" s="31"/>
      <c r="AC74" s="31"/>
      <c r="AD74" s="31"/>
      <c r="AE74" s="31"/>
      <c r="AF74" s="31"/>
      <c r="AG74" s="31"/>
    </row>
    <row r="75" spans="1:33">
      <c r="B75" s="136" t="s">
        <v>66</v>
      </c>
      <c r="C75" s="25" t="str">
        <f t="shared" si="1"/>
        <v>MTEP08 - Fargo Phase 1</v>
      </c>
      <c r="D75" s="189">
        <f t="shared" si="1"/>
        <v>286</v>
      </c>
      <c r="E75" s="26"/>
      <c r="F75" s="29">
        <f>ROUND((F22*'2016 TU'!$F$29)+(F50*'2016 TU'!$F$33),0)</f>
        <v>17501439</v>
      </c>
      <c r="G75" s="26">
        <f>IF(F75=0,0,ROUND($E$71*(F75/$F$79),0))</f>
        <v>17643975</v>
      </c>
      <c r="H75" s="29">
        <f>ROUND((H22*'2016 TU'!$F$29)+(H50*'2016 TU'!$F$33),0)</f>
        <v>18157130</v>
      </c>
      <c r="I75" s="27">
        <f>ROUND(+H75-G75,0)</f>
        <v>513155</v>
      </c>
      <c r="J75" s="126">
        <f>+$J$81</f>
        <v>1.5169999999999999E-3</v>
      </c>
      <c r="K75" s="27">
        <f>ROUND((I75*J75)*24,0)</f>
        <v>18683</v>
      </c>
      <c r="L75" s="144">
        <f>ROUND(+I75+K75,0)</f>
        <v>531838</v>
      </c>
      <c r="N75" s="194"/>
      <c r="O75" s="22"/>
      <c r="P75" s="125"/>
      <c r="Q75" s="189"/>
      <c r="R75" s="29"/>
      <c r="S75" s="29"/>
      <c r="T75" s="29"/>
      <c r="U75" s="29"/>
      <c r="V75" s="288"/>
      <c r="W75" s="291"/>
      <c r="X75" s="288"/>
      <c r="Y75" s="288"/>
      <c r="Z75" s="31"/>
      <c r="AA75" s="31"/>
      <c r="AB75" s="31"/>
      <c r="AC75" s="31"/>
      <c r="AD75" s="31"/>
      <c r="AE75" s="31"/>
      <c r="AF75" s="31"/>
      <c r="AG75" s="31"/>
    </row>
    <row r="76" spans="1:33">
      <c r="A76" s="30"/>
      <c r="B76" s="145" t="s">
        <v>73</v>
      </c>
      <c r="C76" s="25" t="str">
        <f t="shared" si="1"/>
        <v>MTEP11 - Savanna Project</v>
      </c>
      <c r="D76" s="189">
        <f t="shared" si="1"/>
        <v>2634</v>
      </c>
      <c r="E76" s="31"/>
      <c r="F76" s="29">
        <f>ROUND((F23*'2016 TU'!$F$29)+(F51*'2016 TU'!$F$33),0)</f>
        <v>83389</v>
      </c>
      <c r="G76" s="26">
        <f>IF(F76=0,0,ROUND($E$71*(F76/$F$79),0))</f>
        <v>84068</v>
      </c>
      <c r="H76" s="29">
        <f>ROUND((H23*'2016 TU'!$F$29)+(H51*'2016 TU'!$F$33),0)</f>
        <v>776641</v>
      </c>
      <c r="I76" s="27">
        <f>ROUND(+H76-G76,0)</f>
        <v>692573</v>
      </c>
      <c r="J76" s="126">
        <f>+$J$81</f>
        <v>1.5169999999999999E-3</v>
      </c>
      <c r="K76" s="27">
        <f>ROUND((I76*J76)*24,0)</f>
        <v>25215</v>
      </c>
      <c r="L76" s="144">
        <f>ROUND(+I76+K76,0)</f>
        <v>717788</v>
      </c>
      <c r="M76" s="30"/>
      <c r="N76" s="194"/>
      <c r="O76" s="33"/>
      <c r="P76" s="125"/>
      <c r="Q76" s="188"/>
      <c r="R76" s="31"/>
      <c r="S76" s="29"/>
      <c r="T76" s="29"/>
      <c r="U76" s="29"/>
      <c r="V76" s="288"/>
      <c r="W76" s="291"/>
      <c r="X76" s="288"/>
      <c r="Y76" s="288"/>
      <c r="Z76" s="31"/>
      <c r="AA76" s="31"/>
      <c r="AB76" s="31"/>
      <c r="AC76" s="31"/>
      <c r="AD76" s="31"/>
      <c r="AE76" s="31"/>
      <c r="AF76" s="31"/>
      <c r="AG76" s="31"/>
    </row>
    <row r="77" spans="1:33">
      <c r="A77" s="30"/>
      <c r="B77" s="212" t="s">
        <v>74</v>
      </c>
      <c r="C77" s="25" t="str">
        <f t="shared" si="1"/>
        <v>MTEP11 - 9 Line Upgrade</v>
      </c>
      <c r="D77" s="189">
        <f t="shared" si="1"/>
        <v>3373</v>
      </c>
      <c r="E77" s="31"/>
      <c r="F77" s="29">
        <f>ROUND((F24*'2016 TU'!$F$29)+(F52*'2016 TU'!$F$33),0)</f>
        <v>1329430</v>
      </c>
      <c r="G77" s="26">
        <f>IF(F77=0,0,ROUND($E$71*(F77/$F$79),0))</f>
        <v>1340257</v>
      </c>
      <c r="H77" s="29">
        <f>ROUND((H24*'2016 TU'!$F$29)+(H52*'2016 TU'!$F$33),0)</f>
        <v>1095767</v>
      </c>
      <c r="I77" s="27">
        <f>ROUND(+H77-G77,0)</f>
        <v>-244490</v>
      </c>
      <c r="J77" s="126">
        <f>+$J$81</f>
        <v>1.5169999999999999E-3</v>
      </c>
      <c r="K77" s="27">
        <f>ROUND((I77*J77)*24,0)</f>
        <v>-8901</v>
      </c>
      <c r="L77" s="144">
        <f>ROUND(+I77+K77,0)</f>
        <v>-253391</v>
      </c>
      <c r="M77" s="30"/>
      <c r="N77" s="194"/>
      <c r="O77" s="299"/>
      <c r="P77" s="25"/>
      <c r="Q77" s="188"/>
      <c r="R77" s="31"/>
      <c r="S77" s="29"/>
      <c r="T77" s="29"/>
      <c r="U77" s="29"/>
      <c r="V77" s="288"/>
      <c r="W77" s="291"/>
      <c r="X77" s="288"/>
      <c r="Y77" s="288"/>
      <c r="Z77" s="31"/>
      <c r="AA77" s="31"/>
      <c r="AB77" s="31"/>
      <c r="AC77" s="31"/>
      <c r="AD77" s="31"/>
      <c r="AE77" s="31"/>
      <c r="AF77" s="31"/>
      <c r="AG77" s="31"/>
    </row>
    <row r="78" spans="1:33">
      <c r="B78" s="140"/>
      <c r="C78" s="23"/>
      <c r="D78" s="23"/>
      <c r="E78" s="23"/>
      <c r="F78" s="23"/>
      <c r="G78" s="23"/>
      <c r="H78" s="23"/>
      <c r="I78" s="23"/>
      <c r="J78" s="23"/>
      <c r="K78" s="23"/>
      <c r="L78" s="146"/>
      <c r="N78" s="31"/>
      <c r="O78" s="2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>
      <c r="B79" s="136">
        <v>3</v>
      </c>
      <c r="C79" s="19" t="s">
        <v>67</v>
      </c>
      <c r="D79" s="19"/>
      <c r="E79" s="147"/>
      <c r="F79" s="147">
        <f>SUM(F73:F78)</f>
        <v>25055997</v>
      </c>
      <c r="G79" s="147">
        <f>SUM(G73:G78)</f>
        <v>25260059</v>
      </c>
      <c r="H79" s="147">
        <f>SUM(H73:H78)</f>
        <v>25987548</v>
      </c>
      <c r="I79" s="147"/>
      <c r="J79" s="19"/>
      <c r="K79" s="19"/>
      <c r="L79" s="135"/>
      <c r="N79" s="31"/>
      <c r="O79" s="22"/>
      <c r="P79" s="31"/>
      <c r="Q79" s="31"/>
      <c r="R79" s="32"/>
      <c r="S79" s="32"/>
      <c r="T79" s="32"/>
      <c r="U79" s="32"/>
      <c r="V79" s="32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ht="15.6">
      <c r="B80" s="136">
        <v>4</v>
      </c>
      <c r="C80" s="19" t="s">
        <v>68</v>
      </c>
      <c r="D80" s="19"/>
      <c r="E80" s="19"/>
      <c r="F80" s="19"/>
      <c r="G80" s="19"/>
      <c r="H80" s="19"/>
      <c r="I80" s="147">
        <f>SUM(I73:I78)</f>
        <v>727489</v>
      </c>
      <c r="J80" s="19"/>
      <c r="K80" s="147">
        <f>SUM(K73:K78)</f>
        <v>26487</v>
      </c>
      <c r="L80" s="241">
        <f>SUM(L73:L78)</f>
        <v>753976</v>
      </c>
      <c r="N80" s="32"/>
      <c r="O80" s="22"/>
      <c r="P80" s="31"/>
      <c r="Q80" s="31"/>
      <c r="R80" s="31"/>
      <c r="S80" s="31"/>
      <c r="T80" s="31"/>
      <c r="U80" s="31"/>
      <c r="V80" s="32"/>
      <c r="W80" s="31"/>
      <c r="X80" s="32"/>
      <c r="Y80" s="301"/>
      <c r="Z80" s="31"/>
      <c r="AA80" s="31"/>
      <c r="AB80" s="31"/>
      <c r="AC80" s="31"/>
      <c r="AD80" s="31"/>
      <c r="AE80" s="31"/>
      <c r="AF80" s="31"/>
      <c r="AG80" s="31"/>
    </row>
    <row r="81" spans="2:98" ht="15" thickBot="1">
      <c r="B81" s="162">
        <v>5</v>
      </c>
      <c r="C81" s="165" t="s">
        <v>69</v>
      </c>
      <c r="D81" s="152"/>
      <c r="E81" s="152"/>
      <c r="F81" s="166"/>
      <c r="G81" s="152"/>
      <c r="H81" s="152"/>
      <c r="I81" s="152"/>
      <c r="J81" s="107">
        <f>IF(I80&gt;0,'2016 TU'!$C$10,'2016 TU'!$C$9)</f>
        <v>1.5169999999999999E-3</v>
      </c>
      <c r="K81" s="152"/>
      <c r="L81" s="153"/>
      <c r="N81" s="31"/>
      <c r="O81" s="22"/>
      <c r="P81" s="218"/>
      <c r="Q81" s="31"/>
      <c r="R81" s="31"/>
      <c r="S81" s="302"/>
      <c r="T81" s="31"/>
      <c r="U81" s="31"/>
      <c r="V81" s="31"/>
      <c r="W81" s="14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2:98"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2:98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</row>
    <row r="84" spans="2:98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</row>
    <row r="85" spans="2:98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</row>
    <row r="86" spans="2:98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</row>
    <row r="87" spans="2:9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</row>
    <row r="88" spans="2:9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</row>
    <row r="89" spans="2:98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</row>
    <row r="90" spans="2:98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</row>
    <row r="91" spans="2:98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</row>
    <row r="92" spans="2:98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</row>
    <row r="93" spans="2:98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</row>
    <row r="94" spans="2:98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</row>
    <row r="95" spans="2:98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</row>
    <row r="96" spans="2:98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</row>
    <row r="97" spans="2:98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</row>
    <row r="98" spans="2:98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</row>
    <row r="99" spans="2:98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</row>
    <row r="100" spans="2:98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</row>
    <row r="101" spans="2:98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</row>
    <row r="102" spans="2:98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</row>
    <row r="103" spans="2:98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</row>
    <row r="104" spans="2:98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</row>
    <row r="105" spans="2:98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</row>
    <row r="106" spans="2:98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</row>
    <row r="107" spans="2:98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</row>
    <row r="108" spans="2:98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</row>
    <row r="109" spans="2:98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</row>
    <row r="110" spans="2:98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</row>
    <row r="111" spans="2:98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</row>
    <row r="112" spans="2:98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</row>
    <row r="113" spans="2:98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</row>
    <row r="114" spans="2:98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</row>
    <row r="115" spans="2:98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</row>
    <row r="116" spans="2:98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</row>
    <row r="117" spans="2:98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</row>
    <row r="118" spans="2:98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</row>
    <row r="119" spans="2:98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</row>
    <row r="120" spans="2:98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</row>
    <row r="121" spans="2:98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</row>
    <row r="122" spans="2:98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</row>
    <row r="123" spans="2:98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</row>
    <row r="124" spans="2:98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</row>
    <row r="125" spans="2:98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</row>
    <row r="126" spans="2:98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</row>
    <row r="127" spans="2:98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</row>
    <row r="128" spans="2:98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</row>
    <row r="129" spans="2:98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</row>
    <row r="130" spans="2:98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</row>
    <row r="131" spans="2:98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</row>
    <row r="132" spans="2:98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</row>
    <row r="133" spans="2:98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</row>
    <row r="134" spans="2:98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</row>
    <row r="135" spans="2:98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</row>
    <row r="136" spans="2:98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</row>
    <row r="137" spans="2:98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</row>
    <row r="138" spans="2:98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</row>
    <row r="139" spans="2:98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</row>
    <row r="140" spans="2:98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</row>
    <row r="141" spans="2:98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</row>
    <row r="142" spans="2:98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</row>
    <row r="143" spans="2:98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</row>
    <row r="144" spans="2:98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</row>
    <row r="145" spans="2:98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</row>
    <row r="146" spans="2:98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</row>
    <row r="147" spans="2:98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</row>
    <row r="148" spans="2:98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</row>
    <row r="149" spans="2:98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</row>
    <row r="150" spans="2:98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</row>
    <row r="151" spans="2:98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</row>
    <row r="152" spans="2:98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</row>
    <row r="153" spans="2:98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</row>
    <row r="154" spans="2:98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</row>
    <row r="155" spans="2:98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</row>
    <row r="156" spans="2:98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</row>
    <row r="157" spans="2:98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</row>
    <row r="158" spans="2:98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</row>
    <row r="159" spans="2:98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</row>
    <row r="160" spans="2:98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</row>
    <row r="161" spans="2:98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</row>
    <row r="162" spans="2:98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</row>
    <row r="163" spans="2:98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</row>
    <row r="164" spans="2:98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</row>
    <row r="165" spans="2:98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</row>
    <row r="166" spans="2:98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</row>
    <row r="167" spans="2:98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</row>
    <row r="168" spans="2:98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</row>
    <row r="169" spans="2:98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</row>
    <row r="170" spans="2:98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</row>
    <row r="171" spans="2:98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</row>
    <row r="172" spans="2:98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</row>
    <row r="173" spans="2:98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</row>
    <row r="174" spans="2:98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</row>
    <row r="175" spans="2:98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</row>
    <row r="176" spans="2:98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</row>
    <row r="177" spans="2:98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</row>
    <row r="178" spans="2:98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</row>
    <row r="179" spans="2:98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</row>
    <row r="180" spans="2:98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</row>
    <row r="181" spans="2:98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</row>
    <row r="182" spans="2:98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</row>
    <row r="183" spans="2:98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</row>
    <row r="184" spans="2:98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</row>
    <row r="185" spans="2:98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</row>
    <row r="186" spans="2:98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</row>
    <row r="187" spans="2:98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</row>
    <row r="188" spans="2:98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</row>
    <row r="189" spans="2:98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</row>
    <row r="190" spans="2:98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</row>
    <row r="191" spans="2:98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</row>
    <row r="192" spans="2:98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</row>
    <row r="193" spans="2:98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</row>
    <row r="194" spans="2:98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</row>
    <row r="195" spans="2:98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</row>
    <row r="196" spans="2:98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</row>
    <row r="197" spans="2:98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</row>
    <row r="198" spans="2:98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</row>
    <row r="199" spans="2:98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</row>
    <row r="200" spans="2:98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</row>
    <row r="201" spans="2:98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</row>
    <row r="202" spans="2:98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</row>
    <row r="203" spans="2:98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</row>
    <row r="204" spans="2:98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</row>
    <row r="205" spans="2:98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</row>
    <row r="206" spans="2:98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</row>
    <row r="207" spans="2:98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</row>
    <row r="208" spans="2:98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</row>
    <row r="209" spans="2:98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</row>
    <row r="210" spans="2:98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</row>
    <row r="211" spans="2:98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</row>
    <row r="212" spans="2:98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</row>
    <row r="213" spans="2:98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</row>
    <row r="214" spans="2:98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</row>
    <row r="215" spans="2:98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</row>
    <row r="216" spans="2:98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</row>
    <row r="217" spans="2:98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</row>
    <row r="218" spans="2:98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</row>
    <row r="219" spans="2:98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</row>
    <row r="220" spans="2:98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</row>
    <row r="221" spans="2:98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</row>
    <row r="222" spans="2:98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</row>
    <row r="223" spans="2:98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</row>
    <row r="224" spans="2:98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</row>
    <row r="225" spans="2:98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</row>
    <row r="226" spans="2:98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</row>
    <row r="227" spans="2:98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</row>
    <row r="228" spans="2:98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</row>
    <row r="229" spans="2:98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</row>
    <row r="230" spans="2:98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</row>
    <row r="231" spans="2:98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</row>
    <row r="232" spans="2:98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</row>
    <row r="233" spans="2:98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</row>
    <row r="234" spans="2:98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</row>
    <row r="235" spans="2:98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</row>
    <row r="236" spans="2:98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</row>
    <row r="237" spans="2:98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</row>
    <row r="238" spans="2:98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</row>
    <row r="239" spans="2:98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</row>
    <row r="240" spans="2:98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</row>
    <row r="241" spans="2:98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</row>
    <row r="242" spans="2:98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</row>
    <row r="243" spans="2:98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</row>
    <row r="244" spans="2:98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</row>
    <row r="245" spans="2:98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</row>
    <row r="246" spans="2:98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</row>
    <row r="247" spans="2:98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</row>
    <row r="248" spans="2:98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</row>
    <row r="249" spans="2:98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</row>
    <row r="250" spans="2:98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</row>
    <row r="251" spans="2:98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</row>
    <row r="252" spans="2:98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</row>
    <row r="253" spans="2:98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</row>
    <row r="254" spans="2:98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</row>
    <row r="255" spans="2:98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</row>
    <row r="256" spans="2:98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</row>
    <row r="257" spans="2:98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</row>
    <row r="258" spans="2:98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</row>
    <row r="259" spans="2:98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</row>
    <row r="260" spans="2:98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</row>
    <row r="261" spans="2:98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</row>
    <row r="262" spans="2:98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</row>
    <row r="263" spans="2:98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</row>
    <row r="264" spans="2:98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</row>
    <row r="265" spans="2:98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</row>
    <row r="266" spans="2:98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</row>
    <row r="267" spans="2:98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</row>
    <row r="268" spans="2:98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</row>
    <row r="269" spans="2:98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</row>
    <row r="270" spans="2:98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</row>
    <row r="271" spans="2:98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</row>
    <row r="272" spans="2:98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</row>
    <row r="273" spans="2:98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</row>
    <row r="274" spans="2:98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</row>
    <row r="275" spans="2:98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</row>
    <row r="276" spans="2:98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</row>
    <row r="277" spans="2:98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</row>
    <row r="278" spans="2:98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</row>
    <row r="279" spans="2:98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</row>
    <row r="280" spans="2:98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</row>
    <row r="281" spans="2:98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</row>
    <row r="282" spans="2:98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</row>
    <row r="283" spans="2:98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</row>
    <row r="284" spans="2:98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</row>
    <row r="285" spans="2:98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</row>
    <row r="286" spans="2:98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</row>
    <row r="287" spans="2:98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</row>
    <row r="288" spans="2:98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</row>
    <row r="289" spans="2:98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</row>
    <row r="290" spans="2:98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</row>
    <row r="291" spans="2:98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</row>
    <row r="292" spans="2:98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</row>
    <row r="293" spans="2:98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</row>
    <row r="294" spans="2:98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</row>
    <row r="295" spans="2:98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</row>
    <row r="296" spans="2:98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</row>
    <row r="297" spans="2:98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</row>
    <row r="298" spans="2:98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</row>
    <row r="299" spans="2:98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</row>
    <row r="300" spans="2:98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</row>
    <row r="301" spans="2:98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</row>
    <row r="302" spans="2:98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</row>
    <row r="303" spans="2:98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</row>
    <row r="304" spans="2:98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</row>
    <row r="305" spans="2:98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</row>
    <row r="306" spans="2:98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</row>
    <row r="307" spans="2:98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</row>
    <row r="308" spans="2:98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</row>
    <row r="309" spans="2:98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</row>
    <row r="310" spans="2:98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</row>
    <row r="311" spans="2:98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</row>
    <row r="312" spans="2:98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</row>
    <row r="313" spans="2:98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</row>
    <row r="314" spans="2:98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</row>
    <row r="315" spans="2:98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</row>
    <row r="316" spans="2:98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</row>
    <row r="317" spans="2:98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</row>
    <row r="318" spans="2:98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</row>
    <row r="319" spans="2:98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</row>
    <row r="320" spans="2:98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</row>
    <row r="321" spans="2:98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</row>
    <row r="322" spans="2:98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</row>
    <row r="323" spans="2:98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</row>
    <row r="324" spans="2:98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</row>
    <row r="325" spans="2:98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</row>
    <row r="326" spans="2:98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</row>
    <row r="327" spans="2:98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</row>
    <row r="328" spans="2:98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</row>
    <row r="329" spans="2:98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</row>
    <row r="330" spans="2:98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</row>
    <row r="331" spans="2:98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</row>
    <row r="332" spans="2:98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</row>
    <row r="333" spans="2:98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</row>
    <row r="334" spans="2:98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</row>
    <row r="335" spans="2:98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</row>
    <row r="336" spans="2:98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</row>
    <row r="337" spans="2:98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</row>
    <row r="338" spans="2:98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</row>
    <row r="339" spans="2:98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</row>
    <row r="340" spans="2:98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</row>
    <row r="341" spans="2:98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</row>
    <row r="342" spans="2:98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</row>
    <row r="343" spans="2:98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</row>
    <row r="344" spans="2:98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</row>
    <row r="345" spans="2:98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</row>
    <row r="346" spans="2:98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</row>
    <row r="347" spans="2:98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</row>
    <row r="348" spans="2:98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</row>
    <row r="349" spans="2:98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</row>
    <row r="350" spans="2:98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</row>
    <row r="351" spans="2:98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</row>
    <row r="352" spans="2:98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</row>
    <row r="353" spans="2:98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</row>
    <row r="354" spans="2:98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</row>
    <row r="355" spans="2:98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</row>
    <row r="356" spans="2:98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</row>
    <row r="357" spans="2:98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</row>
    <row r="358" spans="2:98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</row>
    <row r="359" spans="2:98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</row>
    <row r="360" spans="2:98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</row>
    <row r="361" spans="2:98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</row>
    <row r="362" spans="2:98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</row>
    <row r="363" spans="2:98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</row>
    <row r="364" spans="2:98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</row>
    <row r="365" spans="2:98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</row>
    <row r="366" spans="2:98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</row>
    <row r="367" spans="2:98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</row>
    <row r="368" spans="2:98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</row>
    <row r="369" spans="2:98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</row>
    <row r="370" spans="2:98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</row>
    <row r="371" spans="2:98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</row>
    <row r="372" spans="2:98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</row>
    <row r="373" spans="2:98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</row>
    <row r="374" spans="2:98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</row>
    <row r="375" spans="2:98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</row>
    <row r="376" spans="2:98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</row>
    <row r="377" spans="2:98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</row>
    <row r="378" spans="2:98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</row>
    <row r="379" spans="2:98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</row>
    <row r="380" spans="2:98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</row>
    <row r="381" spans="2:98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</row>
    <row r="382" spans="2:98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</row>
    <row r="383" spans="2:98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</row>
    <row r="384" spans="2:98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</row>
    <row r="385" spans="2:98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</row>
    <row r="386" spans="2:98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</row>
    <row r="387" spans="2:98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</row>
    <row r="388" spans="2:98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</row>
    <row r="389" spans="2:98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</row>
    <row r="390" spans="2:98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</row>
    <row r="391" spans="2:98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</row>
    <row r="392" spans="2:98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</row>
    <row r="393" spans="2:98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</row>
    <row r="394" spans="2:98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</row>
    <row r="395" spans="2:98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</row>
    <row r="396" spans="2:98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</row>
    <row r="397" spans="2:98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</row>
    <row r="398" spans="2:98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</row>
    <row r="399" spans="2:98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</row>
    <row r="400" spans="2:98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</row>
    <row r="401" spans="2:98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</row>
    <row r="402" spans="2:98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</row>
    <row r="403" spans="2:98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</row>
    <row r="404" spans="2:98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</row>
    <row r="405" spans="2:98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</row>
    <row r="406" spans="2:98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</row>
    <row r="407" spans="2:98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</row>
    <row r="408" spans="2:98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</row>
    <row r="409" spans="2:98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</row>
    <row r="410" spans="2:98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</row>
    <row r="411" spans="2:98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</row>
    <row r="412" spans="2:98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</row>
    <row r="413" spans="2:98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</row>
    <row r="414" spans="2:98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</row>
    <row r="415" spans="2:98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</row>
    <row r="416" spans="2:98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</row>
    <row r="417" spans="2:98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</row>
    <row r="418" spans="2:98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</row>
    <row r="419" spans="2:98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</row>
    <row r="420" spans="2:98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</row>
    <row r="421" spans="2:98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</row>
    <row r="422" spans="2:98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</row>
    <row r="423" spans="2:98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</row>
    <row r="424" spans="2:98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</row>
    <row r="425" spans="2:98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</row>
    <row r="426" spans="2:98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</row>
    <row r="427" spans="2:98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</row>
    <row r="428" spans="2:98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</row>
    <row r="429" spans="2:98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</row>
    <row r="430" spans="2:98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</row>
    <row r="431" spans="2:98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</row>
    <row r="432" spans="2:98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</row>
    <row r="433" spans="2:98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</row>
    <row r="434" spans="2:98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</row>
    <row r="435" spans="2:98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</row>
    <row r="436" spans="2:98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</row>
    <row r="437" spans="2:98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</row>
    <row r="438" spans="2:98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</row>
    <row r="439" spans="2:98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</row>
    <row r="440" spans="2:98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</row>
    <row r="441" spans="2:98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</row>
    <row r="442" spans="2:98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</row>
    <row r="443" spans="2:98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</row>
    <row r="444" spans="2:98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</row>
    <row r="445" spans="2:98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</row>
    <row r="446" spans="2:98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</row>
    <row r="447" spans="2:98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</row>
    <row r="448" spans="2:98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</row>
    <row r="449" spans="2:98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</row>
    <row r="450" spans="2:98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</row>
    <row r="451" spans="2:98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</row>
    <row r="452" spans="2:98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</row>
    <row r="453" spans="2:98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</row>
    <row r="454" spans="2:98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</row>
    <row r="455" spans="2:98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</row>
    <row r="456" spans="2:98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</row>
    <row r="457" spans="2:98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</row>
    <row r="458" spans="2:98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</row>
    <row r="459" spans="2:98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</row>
    <row r="460" spans="2:98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</row>
    <row r="461" spans="2:98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</row>
    <row r="462" spans="2:98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</row>
    <row r="463" spans="2:98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</row>
    <row r="464" spans="2:98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</row>
    <row r="465" spans="2:98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</row>
    <row r="466" spans="2:98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</row>
    <row r="467" spans="2:98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</row>
    <row r="468" spans="2:98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</row>
    <row r="469" spans="2:98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</row>
    <row r="470" spans="2:98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</row>
    <row r="471" spans="2:98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</row>
    <row r="472" spans="2:98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</row>
    <row r="473" spans="2:98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</row>
    <row r="474" spans="2:98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</row>
    <row r="475" spans="2:98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</row>
    <row r="476" spans="2:98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</row>
    <row r="477" spans="2:98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</row>
    <row r="478" spans="2:98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</row>
    <row r="479" spans="2:98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</row>
    <row r="480" spans="2:98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</row>
    <row r="481" spans="2:98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</row>
    <row r="482" spans="2:98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</row>
    <row r="483" spans="2:98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</row>
    <row r="484" spans="2:98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</row>
    <row r="485" spans="2:98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</row>
    <row r="486" spans="2:98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</row>
    <row r="487" spans="2:98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</row>
    <row r="488" spans="2:98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</row>
    <row r="489" spans="2:98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</row>
    <row r="490" spans="2:98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</row>
    <row r="491" spans="2:98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</row>
    <row r="492" spans="2:98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</row>
    <row r="493" spans="2:98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</row>
    <row r="494" spans="2:98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</row>
    <row r="495" spans="2:98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</row>
    <row r="496" spans="2:98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</row>
    <row r="497" spans="2:98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</row>
    <row r="498" spans="2:98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</row>
    <row r="499" spans="2:98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</row>
    <row r="500" spans="2:98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</row>
    <row r="501" spans="2:98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</row>
    <row r="502" spans="2:98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</row>
    <row r="503" spans="2:98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</row>
    <row r="504" spans="2:98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</row>
    <row r="505" spans="2:98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</row>
    <row r="506" spans="2:98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</row>
    <row r="507" spans="2:98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</row>
    <row r="508" spans="2:98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</row>
    <row r="509" spans="2:98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</row>
    <row r="510" spans="2:98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</row>
    <row r="511" spans="2:98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</row>
    <row r="512" spans="2:98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</row>
    <row r="513" spans="2:98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</row>
    <row r="514" spans="2:98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</row>
    <row r="515" spans="2:98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</row>
    <row r="516" spans="2:98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</row>
    <row r="517" spans="2:98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</row>
    <row r="518" spans="2:98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</row>
    <row r="519" spans="2:98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</row>
    <row r="520" spans="2:98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</row>
    <row r="521" spans="2:98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</row>
    <row r="522" spans="2:98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</row>
    <row r="523" spans="2:98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</row>
    <row r="524" spans="2:98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</row>
    <row r="525" spans="2:98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</row>
    <row r="526" spans="2:98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</row>
    <row r="527" spans="2:98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</row>
    <row r="528" spans="2:98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</row>
    <row r="529" spans="2:98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</row>
    <row r="530" spans="2:98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</row>
    <row r="531" spans="2:98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</row>
    <row r="532" spans="2:98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</row>
    <row r="533" spans="2:98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</row>
    <row r="534" spans="2:98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</row>
    <row r="535" spans="2:98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</row>
    <row r="536" spans="2:98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</row>
    <row r="537" spans="2:98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</row>
    <row r="538" spans="2:98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</row>
    <row r="539" spans="2:98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</row>
    <row r="540" spans="2:98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</row>
    <row r="541" spans="2:98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</row>
    <row r="542" spans="2:98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</row>
    <row r="543" spans="2:98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</row>
    <row r="544" spans="2:98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</row>
    <row r="545" spans="2:98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</row>
    <row r="546" spans="2:98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</row>
    <row r="547" spans="2:98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</row>
    <row r="548" spans="2:98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</row>
    <row r="549" spans="2:98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</row>
    <row r="550" spans="2:98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</row>
    <row r="551" spans="2:98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</row>
    <row r="552" spans="2:98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</row>
    <row r="553" spans="2:98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</row>
    <row r="554" spans="2:98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</row>
    <row r="555" spans="2:98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</row>
    <row r="556" spans="2:98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</row>
    <row r="557" spans="2:98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</row>
    <row r="558" spans="2:98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</row>
    <row r="559" spans="2:98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</row>
    <row r="560" spans="2:98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</row>
    <row r="561" spans="2:98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</row>
    <row r="562" spans="2:98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</row>
    <row r="563" spans="2:98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</row>
    <row r="564" spans="2:98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</row>
    <row r="565" spans="2:98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</row>
    <row r="566" spans="2:98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</row>
    <row r="567" spans="2:98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</row>
    <row r="568" spans="2:98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</row>
    <row r="569" spans="2:98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</row>
    <row r="570" spans="2:98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</row>
    <row r="571" spans="2:98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</row>
    <row r="572" spans="2:98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</row>
    <row r="573" spans="2:98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</row>
    <row r="574" spans="2:98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</row>
    <row r="575" spans="2:98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</row>
    <row r="576" spans="2:98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</row>
    <row r="577" spans="2:98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</row>
    <row r="578" spans="2:98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</row>
    <row r="579" spans="2:98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</row>
    <row r="580" spans="2:98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</row>
    <row r="581" spans="2:98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</row>
    <row r="582" spans="2:98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</row>
    <row r="583" spans="2:98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</row>
    <row r="584" spans="2:98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</row>
    <row r="585" spans="2:98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</row>
    <row r="586" spans="2:98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</row>
    <row r="587" spans="2:98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</row>
    <row r="588" spans="2:98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</row>
    <row r="589" spans="2:98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</row>
    <row r="590" spans="2:98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</row>
    <row r="591" spans="2:98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</row>
    <row r="592" spans="2:98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</row>
    <row r="593" spans="2:98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</row>
    <row r="594" spans="2:98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</row>
    <row r="595" spans="2:98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</row>
    <row r="596" spans="2:98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</row>
    <row r="597" spans="2:98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</row>
    <row r="598" spans="2:98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</row>
    <row r="599" spans="2:98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</row>
    <row r="600" spans="2:98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</row>
    <row r="601" spans="2:98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</row>
    <row r="602" spans="2:98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</row>
    <row r="603" spans="2:98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</row>
    <row r="604" spans="2:98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</row>
    <row r="605" spans="2:98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</row>
    <row r="606" spans="2:98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</row>
    <row r="607" spans="2:98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</row>
    <row r="608" spans="2:98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</row>
    <row r="609" spans="2:98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</row>
    <row r="610" spans="2:98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</row>
    <row r="611" spans="2:98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</row>
    <row r="612" spans="2:98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</row>
    <row r="613" spans="2:98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</row>
    <row r="614" spans="2:98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</row>
    <row r="615" spans="2:98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</row>
    <row r="616" spans="2:98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</row>
    <row r="617" spans="2:98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</row>
    <row r="618" spans="2:98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</row>
    <row r="619" spans="2:98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</row>
    <row r="620" spans="2:98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</row>
    <row r="621" spans="2:98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</row>
    <row r="622" spans="2:98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</row>
    <row r="623" spans="2:98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</row>
    <row r="624" spans="2:98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</row>
    <row r="625" spans="2:98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</row>
    <row r="626" spans="2:98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</row>
    <row r="627" spans="2:98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</row>
    <row r="628" spans="2:98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</row>
    <row r="629" spans="2:98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</row>
    <row r="630" spans="2:98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</row>
    <row r="631" spans="2:98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</row>
    <row r="632" spans="2:98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</row>
    <row r="633" spans="2:98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</row>
    <row r="634" spans="2:98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</row>
    <row r="635" spans="2:98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</row>
    <row r="636" spans="2:98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</row>
    <row r="637" spans="2:98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</row>
    <row r="638" spans="2:98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</row>
    <row r="639" spans="2:98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</row>
    <row r="640" spans="2:98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</row>
    <row r="641" spans="2:98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</row>
    <row r="642" spans="2:98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</row>
    <row r="643" spans="2:98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</row>
    <row r="644" spans="2:98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</row>
    <row r="645" spans="2:98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</row>
    <row r="646" spans="2:98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</row>
    <row r="647" spans="2:98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</row>
    <row r="648" spans="2:98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</row>
    <row r="649" spans="2:98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</row>
    <row r="650" spans="2:98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</row>
    <row r="651" spans="2:98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</row>
    <row r="652" spans="2:98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</row>
    <row r="653" spans="2:98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</row>
    <row r="654" spans="2:98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</row>
    <row r="655" spans="2:98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</row>
    <row r="656" spans="2:98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</row>
    <row r="657" spans="2:98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</row>
    <row r="658" spans="2:98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</row>
    <row r="659" spans="2:98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</row>
    <row r="660" spans="2:98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</row>
    <row r="661" spans="2:98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</row>
    <row r="662" spans="2:98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</row>
    <row r="663" spans="2:98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</row>
    <row r="664" spans="2:98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</row>
    <row r="665" spans="2:98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</row>
    <row r="666" spans="2:98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</row>
    <row r="667" spans="2:98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</row>
    <row r="668" spans="2:98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</row>
    <row r="669" spans="2:98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</row>
    <row r="670" spans="2:98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</row>
    <row r="671" spans="2:98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</row>
    <row r="672" spans="2:98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</row>
    <row r="673" spans="2:98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</row>
    <row r="674" spans="2:98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</row>
    <row r="675" spans="2:98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</row>
    <row r="676" spans="2:98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</row>
    <row r="677" spans="2:98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</row>
    <row r="678" spans="2:98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</row>
    <row r="679" spans="2:98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</row>
    <row r="680" spans="2:98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</row>
    <row r="681" spans="2:98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</row>
    <row r="682" spans="2:98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</row>
    <row r="683" spans="2:98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</row>
    <row r="684" spans="2:98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</row>
    <row r="685" spans="2:98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</row>
    <row r="686" spans="2:98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</row>
    <row r="687" spans="2:98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</row>
    <row r="688" spans="2:98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</row>
    <row r="689" spans="2:98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</row>
    <row r="690" spans="2:98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</row>
    <row r="691" spans="2:98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</row>
    <row r="692" spans="2:98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</row>
    <row r="693" spans="2:98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</row>
    <row r="694" spans="2:98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</row>
    <row r="695" spans="2:98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</row>
    <row r="696" spans="2:98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</row>
    <row r="697" spans="2:98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</row>
    <row r="698" spans="2:98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</row>
    <row r="699" spans="2:98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</row>
    <row r="700" spans="2:98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</row>
    <row r="701" spans="2:98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</row>
    <row r="702" spans="2:98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</row>
    <row r="703" spans="2:98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</row>
    <row r="704" spans="2:98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</row>
    <row r="705" spans="2:98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</row>
    <row r="706" spans="2:98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</row>
    <row r="707" spans="2:98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</row>
    <row r="708" spans="2:98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</row>
    <row r="709" spans="2:98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</row>
    <row r="710" spans="2:98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</row>
    <row r="711" spans="2:98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</row>
    <row r="712" spans="2:98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</row>
    <row r="713" spans="2:98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</row>
    <row r="714" spans="2:98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</row>
    <row r="715" spans="2:98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</row>
    <row r="716" spans="2:98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</row>
    <row r="717" spans="2:98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</row>
    <row r="718" spans="2:98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</row>
    <row r="719" spans="2:98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</row>
    <row r="720" spans="2:98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</row>
    <row r="721" spans="2:98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</row>
    <row r="722" spans="2:98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</row>
    <row r="723" spans="2:98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</row>
    <row r="724" spans="2:98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</row>
    <row r="725" spans="2:98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</row>
    <row r="726" spans="2:98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</row>
    <row r="727" spans="2:98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</row>
    <row r="728" spans="2:98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</row>
    <row r="729" spans="2:98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</row>
    <row r="730" spans="2:98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</row>
    <row r="731" spans="2:98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</row>
    <row r="732" spans="2:98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</row>
    <row r="733" spans="2:98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</row>
    <row r="734" spans="2:98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</row>
    <row r="735" spans="2:98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</row>
    <row r="736" spans="2:98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</row>
    <row r="737" spans="2:98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</row>
    <row r="738" spans="2:98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</row>
    <row r="739" spans="2:98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</row>
    <row r="740" spans="2:98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</row>
    <row r="741" spans="2:98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</row>
    <row r="742" spans="2:98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</row>
    <row r="743" spans="2:98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</row>
    <row r="744" spans="2:98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</row>
    <row r="745" spans="2:98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</row>
    <row r="746" spans="2:98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</row>
    <row r="747" spans="2:98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</row>
    <row r="748" spans="2:98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</row>
    <row r="749" spans="2:98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</row>
    <row r="750" spans="2:98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</row>
    <row r="751" spans="2:98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</row>
    <row r="752" spans="2:98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</row>
    <row r="753" spans="2:98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</row>
    <row r="754" spans="2:98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</row>
    <row r="755" spans="2:98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</row>
    <row r="756" spans="2:98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</row>
    <row r="757" spans="2:98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</row>
    <row r="758" spans="2:98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</row>
    <row r="759" spans="2:98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</row>
    <row r="760" spans="2:98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</row>
    <row r="761" spans="2:98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</row>
    <row r="762" spans="2:98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</row>
    <row r="763" spans="2:98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</row>
    <row r="764" spans="2:98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</row>
    <row r="765" spans="2:98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</row>
    <row r="766" spans="2:98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</row>
    <row r="767" spans="2:98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</row>
    <row r="768" spans="2:98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</row>
    <row r="769" spans="2:98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</row>
    <row r="770" spans="2:98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</row>
    <row r="771" spans="2:98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</row>
    <row r="772" spans="2:98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</row>
    <row r="773" spans="2:98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</row>
    <row r="774" spans="2:98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</row>
    <row r="775" spans="2:98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</row>
    <row r="776" spans="2:98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</row>
    <row r="777" spans="2:98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</row>
    <row r="778" spans="2:98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</row>
    <row r="779" spans="2:98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</row>
    <row r="780" spans="2:98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</row>
    <row r="781" spans="2:98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</row>
    <row r="782" spans="2:98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</row>
    <row r="783" spans="2:98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</row>
    <row r="784" spans="2:98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</row>
    <row r="785" spans="2:98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</row>
    <row r="786" spans="2:98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</row>
    <row r="787" spans="2:98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</row>
    <row r="788" spans="2:98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</row>
    <row r="789" spans="2:98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</row>
    <row r="790" spans="2:98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</row>
    <row r="791" spans="2:98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</row>
    <row r="792" spans="2:98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</row>
    <row r="793" spans="2:98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</row>
    <row r="794" spans="2:98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</row>
    <row r="795" spans="2:98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</row>
    <row r="796" spans="2:98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</row>
    <row r="797" spans="2:98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</row>
    <row r="798" spans="2:98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</row>
    <row r="799" spans="2:98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</row>
    <row r="800" spans="2:98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</row>
    <row r="801" spans="2:98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</row>
    <row r="802" spans="2:98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</row>
    <row r="803" spans="2:98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</row>
    <row r="804" spans="2:98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</row>
    <row r="805" spans="2:98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</row>
    <row r="806" spans="2:98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</row>
    <row r="807" spans="2:98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</row>
    <row r="808" spans="2:98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</row>
    <row r="809" spans="2:98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</row>
    <row r="810" spans="2:98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</row>
    <row r="811" spans="2:98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</row>
    <row r="812" spans="2:98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</row>
    <row r="813" spans="2:98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</row>
    <row r="814" spans="2:98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</row>
    <row r="815" spans="2:98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</row>
    <row r="816" spans="2:98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</row>
    <row r="817" spans="2:98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</row>
    <row r="818" spans="2:98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</row>
    <row r="819" spans="2:98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</row>
    <row r="820" spans="2:98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</row>
    <row r="821" spans="2:98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</row>
    <row r="822" spans="2:98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</row>
    <row r="823" spans="2:98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</row>
    <row r="824" spans="2:98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</row>
    <row r="825" spans="2:98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</row>
    <row r="826" spans="2:98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</row>
    <row r="827" spans="2:98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</row>
    <row r="828" spans="2:98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</row>
    <row r="829" spans="2:98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</row>
    <row r="830" spans="2:98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</row>
    <row r="831" spans="2:98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</row>
    <row r="832" spans="2:98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</row>
    <row r="833" spans="2:98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</row>
    <row r="834" spans="2:98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</row>
    <row r="835" spans="2:98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</row>
    <row r="836" spans="2:98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</row>
    <row r="837" spans="2:98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</row>
    <row r="838" spans="2:98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</row>
    <row r="839" spans="2:98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</row>
    <row r="840" spans="2:98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</row>
    <row r="841" spans="2:98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</row>
    <row r="842" spans="2:98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</row>
    <row r="843" spans="2:98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</row>
    <row r="844" spans="2:98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</row>
    <row r="845" spans="2:98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</row>
    <row r="846" spans="2:98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</row>
    <row r="847" spans="2:98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</row>
    <row r="848" spans="2:98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</row>
    <row r="849" spans="2:98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</row>
    <row r="850" spans="2:98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</row>
    <row r="851" spans="2:98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</row>
    <row r="852" spans="2:98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</row>
    <row r="853" spans="2:98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</row>
    <row r="854" spans="2:98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</row>
    <row r="855" spans="2:98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</row>
    <row r="856" spans="2:98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</row>
    <row r="857" spans="2:98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</row>
    <row r="858" spans="2:98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</row>
    <row r="859" spans="2:98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</row>
    <row r="860" spans="2:98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</row>
    <row r="861" spans="2:98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</row>
    <row r="862" spans="2:98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</row>
  </sheetData>
  <mergeCells count="9">
    <mergeCell ref="C71:D71"/>
    <mergeCell ref="P46:Q46"/>
    <mergeCell ref="P71:Q71"/>
    <mergeCell ref="C18:D18"/>
    <mergeCell ref="N12:N16"/>
    <mergeCell ref="N40:N44"/>
    <mergeCell ref="P18:Q18"/>
    <mergeCell ref="C46:D46"/>
    <mergeCell ref="N65:N69"/>
  </mergeCells>
  <pageMargins left="0.7" right="0.2" top="0.25" bottom="0.25" header="0.3" footer="0.3"/>
  <pageSetup scale="55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52"/>
  <sheetViews>
    <sheetView topLeftCell="K25" workbookViewId="0">
      <selection activeCell="W43" sqref="W43"/>
    </sheetView>
  </sheetViews>
  <sheetFormatPr defaultColWidth="11.44140625" defaultRowHeight="14.4"/>
  <cols>
    <col min="1" max="1" width="1.6640625" style="16" customWidth="1"/>
    <col min="2" max="2" width="5.44140625" style="16" customWidth="1"/>
    <col min="3" max="3" width="39.5546875" style="16" customWidth="1"/>
    <col min="4" max="4" width="9.6640625" style="16" customWidth="1"/>
    <col min="5" max="5" width="12.109375" style="16" customWidth="1"/>
    <col min="6" max="6" width="15" style="16" customWidth="1"/>
    <col min="7" max="7" width="16.6640625" style="16" customWidth="1"/>
    <col min="8" max="8" width="15.88671875" style="16" customWidth="1"/>
    <col min="9" max="9" width="13.44140625" style="16" customWidth="1"/>
    <col min="10" max="10" width="11.6640625" style="16" customWidth="1"/>
    <col min="11" max="11" width="12.6640625" style="16" customWidth="1"/>
    <col min="12" max="12" width="13.33203125" style="16" customWidth="1"/>
    <col min="13" max="13" width="2.5546875" style="16" customWidth="1"/>
    <col min="14" max="14" width="7.6640625" style="16" customWidth="1"/>
    <col min="15" max="15" width="16.44140625" style="16" customWidth="1"/>
    <col min="16" max="16" width="38" style="16" customWidth="1"/>
    <col min="17" max="18" width="11.44140625" style="16"/>
    <col min="19" max="19" width="14.33203125" style="16" customWidth="1"/>
    <col min="20" max="20" width="15.5546875" style="16" customWidth="1"/>
    <col min="21" max="21" width="15.33203125" style="16" customWidth="1"/>
    <col min="22" max="22" width="13.5546875" style="16" customWidth="1"/>
    <col min="23" max="24" width="11.44140625" style="16"/>
    <col min="25" max="25" width="14" style="16" customWidth="1"/>
    <col min="26" max="16384" width="11.44140625" style="16"/>
  </cols>
  <sheetData>
    <row r="1" spans="2:33">
      <c r="B1" s="181" t="s">
        <v>206</v>
      </c>
      <c r="O1" s="181"/>
    </row>
    <row r="2" spans="2:33">
      <c r="B2" s="181" t="s">
        <v>188</v>
      </c>
      <c r="O2" s="181"/>
    </row>
    <row r="3" spans="2:33" ht="15" thickBot="1"/>
    <row r="4" spans="2:33" s="15" customFormat="1" ht="21">
      <c r="B4" s="127" t="s">
        <v>181</v>
      </c>
      <c r="C4" s="128"/>
      <c r="D4" s="128"/>
      <c r="E4" s="128"/>
      <c r="F4" s="203">
        <f>VLOOKUP($D$6,'List of ROE by TO'!$B$8:$E$29,3,FALSE)</f>
        <v>0.12379999999999999</v>
      </c>
      <c r="G4" s="278"/>
      <c r="H4" s="303" t="s">
        <v>203</v>
      </c>
      <c r="I4" s="128"/>
      <c r="J4" s="128"/>
      <c r="K4" s="128"/>
      <c r="L4" s="129"/>
      <c r="N4" s="192"/>
      <c r="O4" s="127" t="s">
        <v>181</v>
      </c>
      <c r="P4" s="128"/>
      <c r="Q4" s="128"/>
      <c r="R4" s="128"/>
      <c r="S4" s="203">
        <f>VLOOKUP($D$6,'List of ROE by TO'!$B$8:$E$29,3,FALSE)</f>
        <v>0.12379999999999999</v>
      </c>
      <c r="T4" s="278"/>
      <c r="U4" s="303" t="s">
        <v>207</v>
      </c>
      <c r="V4" s="128"/>
      <c r="W4" s="128"/>
      <c r="X4" s="128"/>
      <c r="Y4" s="129"/>
      <c r="Z4" s="192"/>
      <c r="AA4" s="192"/>
      <c r="AB4" s="192"/>
      <c r="AC4" s="192"/>
      <c r="AD4" s="192"/>
      <c r="AE4" s="192"/>
      <c r="AF4" s="192"/>
      <c r="AG4" s="192"/>
    </row>
    <row r="5" spans="2:33">
      <c r="B5" s="260" t="s">
        <v>180</v>
      </c>
      <c r="C5" s="131"/>
      <c r="D5" s="131"/>
      <c r="E5" s="131"/>
      <c r="F5" s="131"/>
      <c r="G5" s="131"/>
      <c r="H5" s="131"/>
      <c r="I5" s="131"/>
      <c r="J5" s="131"/>
      <c r="K5" s="131"/>
      <c r="L5" s="132"/>
      <c r="N5" s="31"/>
      <c r="O5" s="260" t="s">
        <v>180</v>
      </c>
      <c r="P5" s="131"/>
      <c r="Q5" s="131"/>
      <c r="R5" s="131"/>
      <c r="S5" s="131"/>
      <c r="T5" s="131"/>
      <c r="U5" s="131"/>
      <c r="V5" s="131"/>
      <c r="W5" s="131"/>
      <c r="X5" s="131"/>
      <c r="Y5" s="132"/>
      <c r="Z5" s="31"/>
      <c r="AA5" s="31"/>
      <c r="AB5" s="31"/>
      <c r="AC5" s="31"/>
      <c r="AD5" s="31"/>
      <c r="AE5" s="31"/>
      <c r="AF5" s="31"/>
      <c r="AG5" s="31"/>
    </row>
    <row r="6" spans="2:33" ht="18">
      <c r="B6" s="130"/>
      <c r="C6" s="133" t="s">
        <v>21</v>
      </c>
      <c r="D6" s="175" t="str">
        <f>'2016 TU'!$A$1</f>
        <v>ALLETE (MP)</v>
      </c>
      <c r="E6" s="131"/>
      <c r="F6" s="131"/>
      <c r="G6" s="131"/>
      <c r="H6" s="131"/>
      <c r="I6" s="131"/>
      <c r="J6" s="131"/>
      <c r="K6" s="131"/>
      <c r="L6" s="132"/>
      <c r="N6" s="31"/>
      <c r="O6" s="130"/>
      <c r="P6" s="133" t="s">
        <v>21</v>
      </c>
      <c r="Q6" s="175" t="str">
        <f>'2016 TU'!$A$1</f>
        <v>ALLETE (MP)</v>
      </c>
      <c r="R6" s="131"/>
      <c r="S6" s="131"/>
      <c r="T6" s="131"/>
      <c r="U6" s="131"/>
      <c r="V6" s="131"/>
      <c r="W6" s="131"/>
      <c r="X6" s="131"/>
      <c r="Y6" s="132"/>
      <c r="Z6" s="31"/>
      <c r="AA6" s="31"/>
      <c r="AB6" s="31"/>
      <c r="AC6" s="31"/>
      <c r="AD6" s="31"/>
      <c r="AE6" s="31"/>
      <c r="AF6" s="31"/>
      <c r="AG6" s="31"/>
    </row>
    <row r="7" spans="2:33">
      <c r="B7" s="136" t="s">
        <v>23</v>
      </c>
      <c r="C7" s="20" t="s">
        <v>24</v>
      </c>
      <c r="D7" s="20" t="s">
        <v>25</v>
      </c>
      <c r="E7" s="20" t="s">
        <v>26</v>
      </c>
      <c r="F7" s="20" t="s">
        <v>27</v>
      </c>
      <c r="G7" s="20" t="s">
        <v>28</v>
      </c>
      <c r="H7" s="20" t="s">
        <v>29</v>
      </c>
      <c r="I7" s="20" t="s">
        <v>30</v>
      </c>
      <c r="J7" s="20" t="s">
        <v>31</v>
      </c>
      <c r="K7" s="20" t="s">
        <v>32</v>
      </c>
      <c r="L7" s="137" t="s">
        <v>33</v>
      </c>
      <c r="N7" s="31"/>
      <c r="O7" s="136" t="s">
        <v>23</v>
      </c>
      <c r="P7" s="20" t="s">
        <v>24</v>
      </c>
      <c r="Q7" s="20" t="s">
        <v>25</v>
      </c>
      <c r="R7" s="20" t="s">
        <v>26</v>
      </c>
      <c r="S7" s="20" t="s">
        <v>27</v>
      </c>
      <c r="T7" s="20" t="s">
        <v>28</v>
      </c>
      <c r="U7" s="20" t="s">
        <v>29</v>
      </c>
      <c r="V7" s="20" t="s">
        <v>30</v>
      </c>
      <c r="W7" s="20" t="s">
        <v>31</v>
      </c>
      <c r="X7" s="20" t="s">
        <v>32</v>
      </c>
      <c r="Y7" s="137" t="s">
        <v>33</v>
      </c>
      <c r="Z7" s="31"/>
      <c r="AA7" s="31"/>
      <c r="AB7" s="31"/>
      <c r="AC7" s="31"/>
      <c r="AD7" s="31"/>
      <c r="AE7" s="31"/>
      <c r="AF7" s="31"/>
      <c r="AG7" s="31"/>
    </row>
    <row r="8" spans="2:33">
      <c r="B8" s="138"/>
      <c r="C8" s="17"/>
      <c r="D8" s="17"/>
      <c r="E8" s="17"/>
      <c r="F8" s="17"/>
      <c r="G8" s="18" t="s">
        <v>34</v>
      </c>
      <c r="H8" s="17"/>
      <c r="I8" s="17"/>
      <c r="J8" s="17"/>
      <c r="K8" s="17"/>
      <c r="L8" s="139"/>
      <c r="N8" s="31"/>
      <c r="O8" s="138"/>
      <c r="P8" s="17"/>
      <c r="Q8" s="17"/>
      <c r="R8" s="17"/>
      <c r="S8" s="17"/>
      <c r="T8" s="18" t="s">
        <v>34</v>
      </c>
      <c r="U8" s="17"/>
      <c r="V8" s="17"/>
      <c r="W8" s="17"/>
      <c r="X8" s="17"/>
      <c r="Y8" s="139"/>
      <c r="Z8" s="31"/>
      <c r="AA8" s="31"/>
      <c r="AB8" s="31"/>
      <c r="AC8" s="31"/>
      <c r="AD8" s="31"/>
      <c r="AE8" s="31"/>
      <c r="AF8" s="31"/>
      <c r="AG8" s="31"/>
    </row>
    <row r="9" spans="2:33">
      <c r="B9" s="134"/>
      <c r="C9" s="19"/>
      <c r="D9" s="19"/>
      <c r="E9" s="19"/>
      <c r="F9" s="20" t="s">
        <v>35</v>
      </c>
      <c r="G9" s="262" t="s">
        <v>182</v>
      </c>
      <c r="H9" s="20" t="s">
        <v>34</v>
      </c>
      <c r="I9" s="20" t="s">
        <v>37</v>
      </c>
      <c r="J9" s="20"/>
      <c r="K9" s="20"/>
      <c r="L9" s="135"/>
      <c r="N9" s="31"/>
      <c r="O9" s="134"/>
      <c r="P9" s="19"/>
      <c r="Q9" s="19"/>
      <c r="R9" s="19"/>
      <c r="S9" s="20" t="s">
        <v>35</v>
      </c>
      <c r="T9" s="262" t="s">
        <v>182</v>
      </c>
      <c r="U9" s="20" t="s">
        <v>34</v>
      </c>
      <c r="V9" s="20" t="s">
        <v>37</v>
      </c>
      <c r="W9" s="20"/>
      <c r="X9" s="20"/>
      <c r="Y9" s="135"/>
      <c r="Z9" s="31"/>
      <c r="AA9" s="31"/>
      <c r="AB9" s="31"/>
      <c r="AC9" s="31"/>
      <c r="AD9" s="31"/>
      <c r="AE9" s="31"/>
      <c r="AF9" s="31"/>
      <c r="AG9" s="31"/>
    </row>
    <row r="10" spans="2:33">
      <c r="B10" s="134"/>
      <c r="C10" s="19"/>
      <c r="D10" s="20" t="s">
        <v>39</v>
      </c>
      <c r="E10" s="20" t="s">
        <v>34</v>
      </c>
      <c r="F10" s="20" t="s">
        <v>40</v>
      </c>
      <c r="G10" s="20" t="s">
        <v>41</v>
      </c>
      <c r="H10" s="20" t="s">
        <v>40</v>
      </c>
      <c r="I10" s="20" t="s">
        <v>42</v>
      </c>
      <c r="J10" s="20"/>
      <c r="K10" s="20"/>
      <c r="L10" s="137"/>
      <c r="N10" s="31"/>
      <c r="O10" s="134"/>
      <c r="P10" s="19"/>
      <c r="Q10" s="20" t="s">
        <v>39</v>
      </c>
      <c r="R10" s="20" t="s">
        <v>34</v>
      </c>
      <c r="S10" s="20" t="s">
        <v>40</v>
      </c>
      <c r="T10" s="20" t="s">
        <v>41</v>
      </c>
      <c r="U10" s="20" t="s">
        <v>40</v>
      </c>
      <c r="V10" s="20" t="s">
        <v>42</v>
      </c>
      <c r="W10" s="20"/>
      <c r="X10" s="20"/>
      <c r="Y10" s="137"/>
      <c r="Z10" s="31"/>
      <c r="AA10" s="31"/>
      <c r="AB10" s="31"/>
      <c r="AC10" s="31"/>
      <c r="AD10" s="31"/>
      <c r="AE10" s="31"/>
      <c r="AF10" s="31"/>
      <c r="AG10" s="31"/>
    </row>
    <row r="11" spans="2:33">
      <c r="B11" s="136" t="s">
        <v>44</v>
      </c>
      <c r="C11" s="20" t="s">
        <v>45</v>
      </c>
      <c r="D11" s="20" t="s">
        <v>45</v>
      </c>
      <c r="E11" s="262" t="s">
        <v>205</v>
      </c>
      <c r="F11" s="20" t="s">
        <v>6</v>
      </c>
      <c r="G11" s="20" t="s">
        <v>46</v>
      </c>
      <c r="H11" s="20" t="s">
        <v>6</v>
      </c>
      <c r="I11" s="20" t="s">
        <v>47</v>
      </c>
      <c r="J11" s="20"/>
      <c r="K11" s="20"/>
      <c r="L11" s="137"/>
      <c r="N11" s="365"/>
      <c r="O11" s="136" t="s">
        <v>44</v>
      </c>
      <c r="P11" s="20" t="s">
        <v>45</v>
      </c>
      <c r="Q11" s="20" t="s">
        <v>45</v>
      </c>
      <c r="R11" s="262" t="s">
        <v>205</v>
      </c>
      <c r="S11" s="20" t="s">
        <v>6</v>
      </c>
      <c r="T11" s="20" t="s">
        <v>46</v>
      </c>
      <c r="U11" s="20" t="s">
        <v>6</v>
      </c>
      <c r="V11" s="20" t="s">
        <v>47</v>
      </c>
      <c r="W11" s="20"/>
      <c r="X11" s="20"/>
      <c r="Y11" s="137"/>
      <c r="Z11" s="31"/>
      <c r="AA11" s="31"/>
      <c r="AB11" s="31"/>
      <c r="AC11" s="31"/>
      <c r="AD11" s="31"/>
      <c r="AE11" s="31"/>
      <c r="AF11" s="31"/>
      <c r="AG11" s="31"/>
    </row>
    <row r="12" spans="2:33" ht="17.25" customHeight="1">
      <c r="B12" s="140" t="s">
        <v>49</v>
      </c>
      <c r="C12" s="21" t="s">
        <v>50</v>
      </c>
      <c r="D12" s="21" t="s">
        <v>51</v>
      </c>
      <c r="E12" s="217" t="s">
        <v>150</v>
      </c>
      <c r="F12" s="21" t="s">
        <v>52</v>
      </c>
      <c r="G12" s="21" t="s">
        <v>53</v>
      </c>
      <c r="H12" s="21" t="s">
        <v>52</v>
      </c>
      <c r="I12" s="21" t="s">
        <v>54</v>
      </c>
      <c r="J12" s="21"/>
      <c r="K12" s="21"/>
      <c r="L12" s="141"/>
      <c r="N12" s="365"/>
      <c r="O12" s="140" t="s">
        <v>49</v>
      </c>
      <c r="P12" s="21" t="s">
        <v>50</v>
      </c>
      <c r="Q12" s="21" t="s">
        <v>51</v>
      </c>
      <c r="R12" s="217" t="s">
        <v>150</v>
      </c>
      <c r="S12" s="21" t="s">
        <v>52</v>
      </c>
      <c r="T12" s="21" t="s">
        <v>53</v>
      </c>
      <c r="U12" s="21" t="s">
        <v>52</v>
      </c>
      <c r="V12" s="21" t="s">
        <v>54</v>
      </c>
      <c r="W12" s="21"/>
      <c r="X12" s="21"/>
      <c r="Y12" s="141"/>
      <c r="Z12" s="31"/>
      <c r="AA12" s="31"/>
      <c r="AB12" s="31"/>
      <c r="AC12" s="31"/>
      <c r="AD12" s="31"/>
      <c r="AE12" s="31"/>
      <c r="AF12" s="31"/>
      <c r="AG12" s="31"/>
    </row>
    <row r="13" spans="2:33" ht="15" customHeight="1">
      <c r="B13" s="134"/>
      <c r="C13" s="19"/>
      <c r="D13" s="19"/>
      <c r="E13" s="19"/>
      <c r="F13" s="22" t="s">
        <v>35</v>
      </c>
      <c r="G13" s="22" t="s">
        <v>55</v>
      </c>
      <c r="H13" s="22" t="s">
        <v>34</v>
      </c>
      <c r="I13" s="19"/>
      <c r="J13" s="19"/>
      <c r="K13" s="19"/>
      <c r="L13" s="135"/>
      <c r="N13" s="365"/>
      <c r="O13" s="134"/>
      <c r="P13" s="19"/>
      <c r="Q13" s="19"/>
      <c r="R13" s="19"/>
      <c r="S13" s="22" t="s">
        <v>35</v>
      </c>
      <c r="T13" s="22" t="s">
        <v>55</v>
      </c>
      <c r="U13" s="22" t="s">
        <v>34</v>
      </c>
      <c r="V13" s="19"/>
      <c r="W13" s="19"/>
      <c r="X13" s="19"/>
      <c r="Y13" s="135"/>
      <c r="Z13" s="31"/>
      <c r="AA13" s="31"/>
      <c r="AB13" s="31"/>
      <c r="AC13" s="31"/>
      <c r="AD13" s="31"/>
      <c r="AE13" s="31"/>
      <c r="AF13" s="31"/>
      <c r="AG13" s="31"/>
    </row>
    <row r="14" spans="2:33" ht="15" customHeight="1">
      <c r="B14" s="134"/>
      <c r="C14" s="19"/>
      <c r="D14" s="19"/>
      <c r="E14" s="19"/>
      <c r="F14" s="261" t="s">
        <v>182</v>
      </c>
      <c r="G14" s="22" t="s">
        <v>56</v>
      </c>
      <c r="H14" s="261" t="s">
        <v>182</v>
      </c>
      <c r="I14" s="19"/>
      <c r="J14" s="22"/>
      <c r="K14" s="22"/>
      <c r="L14" s="135"/>
      <c r="N14" s="365"/>
      <c r="O14" s="134"/>
      <c r="P14" s="19"/>
      <c r="Q14" s="19"/>
      <c r="R14" s="19"/>
      <c r="S14" s="261" t="s">
        <v>182</v>
      </c>
      <c r="T14" s="22" t="s">
        <v>56</v>
      </c>
      <c r="U14" s="261" t="s">
        <v>182</v>
      </c>
      <c r="V14" s="19"/>
      <c r="W14" s="22"/>
      <c r="X14" s="22"/>
      <c r="Y14" s="135"/>
      <c r="Z14" s="31"/>
      <c r="AA14" s="31"/>
      <c r="AB14" s="31"/>
      <c r="AC14" s="31"/>
      <c r="AD14" s="31"/>
      <c r="AE14" s="31"/>
      <c r="AF14" s="31"/>
      <c r="AG14" s="31"/>
    </row>
    <row r="15" spans="2:33" ht="16.2">
      <c r="B15" s="142"/>
      <c r="C15" s="23"/>
      <c r="D15" s="23"/>
      <c r="E15" s="23"/>
      <c r="F15" s="319" t="s">
        <v>227</v>
      </c>
      <c r="G15" s="24" t="s">
        <v>58</v>
      </c>
      <c r="H15" s="319" t="s">
        <v>227</v>
      </c>
      <c r="I15" s="24" t="s">
        <v>59</v>
      </c>
      <c r="J15" s="24"/>
      <c r="K15" s="24"/>
      <c r="L15" s="141"/>
      <c r="N15" s="365"/>
      <c r="O15" s="142"/>
      <c r="P15" s="23"/>
      <c r="Q15" s="23"/>
      <c r="R15" s="23"/>
      <c r="S15" s="319" t="s">
        <v>227</v>
      </c>
      <c r="T15" s="24" t="s">
        <v>58</v>
      </c>
      <c r="U15" s="319" t="s">
        <v>227</v>
      </c>
      <c r="V15" s="24" t="s">
        <v>59</v>
      </c>
      <c r="W15" s="24"/>
      <c r="X15" s="24"/>
      <c r="Y15" s="141"/>
      <c r="Z15" s="31"/>
      <c r="AA15" s="31"/>
      <c r="AB15" s="31"/>
      <c r="AC15" s="31"/>
      <c r="AD15" s="31"/>
      <c r="AE15" s="31"/>
      <c r="AF15" s="31"/>
      <c r="AG15" s="31"/>
    </row>
    <row r="16" spans="2:33" ht="9.75" customHeight="1">
      <c r="B16" s="138"/>
      <c r="C16" s="17"/>
      <c r="D16" s="17"/>
      <c r="E16" s="17"/>
      <c r="F16" s="17"/>
      <c r="G16" s="17"/>
      <c r="H16" s="17"/>
      <c r="I16" s="17"/>
      <c r="J16" s="17"/>
      <c r="K16" s="17"/>
      <c r="L16" s="139"/>
      <c r="N16" s="31"/>
      <c r="O16" s="138"/>
      <c r="P16" s="17"/>
      <c r="Q16" s="17"/>
      <c r="R16" s="17"/>
      <c r="S16" s="17"/>
      <c r="T16" s="17"/>
      <c r="U16" s="17"/>
      <c r="V16" s="17"/>
      <c r="W16" s="17"/>
      <c r="X16" s="17"/>
      <c r="Y16" s="139"/>
      <c r="Z16" s="31"/>
      <c r="AA16" s="31"/>
      <c r="AB16" s="31"/>
      <c r="AC16" s="31"/>
      <c r="AD16" s="31"/>
      <c r="AE16" s="31"/>
      <c r="AF16" s="31"/>
      <c r="AG16" s="31"/>
    </row>
    <row r="17" spans="2:33" ht="32.25" customHeight="1">
      <c r="B17" s="143">
        <v>1</v>
      </c>
      <c r="C17" s="366" t="s">
        <v>183</v>
      </c>
      <c r="D17" s="363"/>
      <c r="E17" s="32">
        <f>'2016 TU'!$E$105</f>
        <v>14292074</v>
      </c>
      <c r="F17" s="19"/>
      <c r="G17" s="19"/>
      <c r="H17" s="19"/>
      <c r="I17" s="19"/>
      <c r="J17" s="19"/>
      <c r="K17" s="19"/>
      <c r="L17" s="135"/>
      <c r="N17" s="31"/>
      <c r="O17" s="143">
        <v>1</v>
      </c>
      <c r="P17" s="366" t="s">
        <v>183</v>
      </c>
      <c r="Q17" s="363"/>
      <c r="R17" s="32">
        <f>'2016 TU'!$M$105</f>
        <v>1370201</v>
      </c>
      <c r="S17" s="19"/>
      <c r="T17" s="19"/>
      <c r="U17" s="19"/>
      <c r="V17" s="19"/>
      <c r="W17" s="19"/>
      <c r="X17" s="19"/>
      <c r="Y17" s="135"/>
      <c r="Z17" s="31"/>
      <c r="AA17" s="31"/>
      <c r="AB17" s="31"/>
      <c r="AC17" s="31"/>
      <c r="AD17" s="31"/>
      <c r="AE17" s="31"/>
      <c r="AF17" s="31"/>
      <c r="AG17" s="31"/>
    </row>
    <row r="18" spans="2:33" ht="13.5" customHeight="1">
      <c r="B18" s="136"/>
      <c r="C18" s="19"/>
      <c r="D18" s="19"/>
      <c r="E18" s="19"/>
      <c r="F18" s="19"/>
      <c r="G18" s="19"/>
      <c r="H18" s="19"/>
      <c r="I18" s="19"/>
      <c r="J18" s="19"/>
      <c r="K18" s="19"/>
      <c r="L18" s="135"/>
      <c r="N18" s="193"/>
      <c r="O18" s="136"/>
      <c r="P18" s="19"/>
      <c r="Q18" s="19"/>
      <c r="R18" s="19"/>
      <c r="S18" s="19"/>
      <c r="T18" s="19"/>
      <c r="U18" s="19"/>
      <c r="V18" s="19"/>
      <c r="W18" s="19"/>
      <c r="X18" s="19"/>
      <c r="Y18" s="135"/>
      <c r="Z18" s="31"/>
      <c r="AA18" s="31"/>
      <c r="AB18" s="31"/>
      <c r="AC18" s="31"/>
      <c r="AD18" s="31"/>
      <c r="AE18" s="31"/>
      <c r="AF18" s="31"/>
      <c r="AG18" s="31"/>
    </row>
    <row r="19" spans="2:33">
      <c r="B19" s="136" t="s">
        <v>64</v>
      </c>
      <c r="C19" s="321" t="s">
        <v>221</v>
      </c>
      <c r="D19" s="185" t="s">
        <v>223</v>
      </c>
      <c r="E19" s="26"/>
      <c r="F19" s="187">
        <v>3550932.9856651248</v>
      </c>
      <c r="G19" s="26">
        <f>IF(F19=0,0,ROUND($E$17*(F19/$F$22),0))</f>
        <v>4075185</v>
      </c>
      <c r="H19" s="187">
        <v>3557145.0047050249</v>
      </c>
      <c r="I19" s="27">
        <f>ROUND(+H19-G19,0)</f>
        <v>-518040</v>
      </c>
      <c r="J19" s="28"/>
      <c r="K19" s="27"/>
      <c r="L19" s="144"/>
      <c r="N19" s="194"/>
      <c r="O19" s="136" t="s">
        <v>64</v>
      </c>
      <c r="P19" s="322" t="s">
        <v>221</v>
      </c>
      <c r="Q19" s="323" t="s">
        <v>223</v>
      </c>
      <c r="R19" s="26"/>
      <c r="S19" s="187">
        <v>1415870.8893233999</v>
      </c>
      <c r="T19" s="26">
        <f>IF(S19=0,0,ROUND($R$17*(S19/$S$22),0))</f>
        <v>1370201</v>
      </c>
      <c r="U19" s="187">
        <v>1477351.9572040625</v>
      </c>
      <c r="V19" s="27">
        <f>ROUND(+U19-T19,0)</f>
        <v>107151</v>
      </c>
      <c r="W19" s="28"/>
      <c r="X19" s="27"/>
      <c r="Y19" s="144"/>
      <c r="Z19" s="31"/>
      <c r="AA19" s="31"/>
      <c r="AB19" s="31"/>
      <c r="AC19" s="31"/>
      <c r="AD19" s="31"/>
      <c r="AE19" s="31"/>
      <c r="AF19" s="31"/>
      <c r="AG19" s="31"/>
    </row>
    <row r="20" spans="2:33">
      <c r="B20" s="136" t="s">
        <v>65</v>
      </c>
      <c r="C20" s="321" t="s">
        <v>222</v>
      </c>
      <c r="D20" s="185" t="s">
        <v>224</v>
      </c>
      <c r="E20" s="26"/>
      <c r="F20" s="187">
        <v>8902538.0012504365</v>
      </c>
      <c r="G20" s="26">
        <f>IF(F20=0,0,ROUND($E$17*(F20/$F$22),0))</f>
        <v>10216889</v>
      </c>
      <c r="H20" s="187">
        <v>6379236.7501834035</v>
      </c>
      <c r="I20" s="27">
        <f>ROUND(+H20-G20,0)</f>
        <v>-3837652</v>
      </c>
      <c r="J20" s="28"/>
      <c r="K20" s="27"/>
      <c r="L20" s="144"/>
      <c r="N20" s="194"/>
      <c r="O20" s="136"/>
      <c r="P20" s="125"/>
      <c r="Q20" s="286"/>
      <c r="R20" s="29"/>
      <c r="S20" s="287"/>
      <c r="T20" s="29"/>
      <c r="U20" s="287"/>
      <c r="V20" s="27">
        <f>ROUND(+U20-T20,0)</f>
        <v>0</v>
      </c>
      <c r="W20" s="28"/>
      <c r="X20" s="27"/>
      <c r="Y20" s="144"/>
      <c r="Z20" s="31"/>
      <c r="AA20" s="31"/>
      <c r="AB20" s="31"/>
      <c r="AC20" s="31"/>
      <c r="AD20" s="31"/>
      <c r="AE20" s="31"/>
      <c r="AF20" s="31"/>
      <c r="AG20" s="31"/>
    </row>
    <row r="21" spans="2:33">
      <c r="B21" s="140"/>
      <c r="C21" s="23"/>
      <c r="D21" s="23"/>
      <c r="E21" s="23"/>
      <c r="F21" s="23"/>
      <c r="G21" s="23"/>
      <c r="H21" s="23"/>
      <c r="I21" s="23"/>
      <c r="J21" s="23"/>
      <c r="K21" s="23"/>
      <c r="L21" s="146"/>
      <c r="N21" s="31"/>
      <c r="O21" s="140"/>
      <c r="P21" s="23"/>
      <c r="Q21" s="285"/>
      <c r="R21" s="285"/>
      <c r="S21" s="285"/>
      <c r="T21" s="285"/>
      <c r="U21" s="285"/>
      <c r="V21" s="23"/>
      <c r="W21" s="23"/>
      <c r="X21" s="23"/>
      <c r="Y21" s="146"/>
      <c r="Z21" s="31"/>
      <c r="AA21" s="31"/>
      <c r="AB21" s="31"/>
      <c r="AC21" s="31"/>
      <c r="AD21" s="31"/>
      <c r="AE21" s="31"/>
      <c r="AF21" s="31"/>
      <c r="AG21" s="31"/>
    </row>
    <row r="22" spans="2:33">
      <c r="B22" s="136">
        <v>3</v>
      </c>
      <c r="C22" s="19" t="s">
        <v>67</v>
      </c>
      <c r="D22" s="19"/>
      <c r="E22" s="147"/>
      <c r="F22" s="147">
        <f>SUM(F19:F21)</f>
        <v>12453470.986915562</v>
      </c>
      <c r="G22" s="147">
        <f>SUM(G19:G21)</f>
        <v>14292074</v>
      </c>
      <c r="H22" s="147">
        <f>SUM(H19:H21)</f>
        <v>9936381.7548884284</v>
      </c>
      <c r="I22" s="147"/>
      <c r="J22" s="19"/>
      <c r="K22" s="19"/>
      <c r="L22" s="135"/>
      <c r="N22" s="31"/>
      <c r="O22" s="136">
        <v>3</v>
      </c>
      <c r="P22" s="19" t="s">
        <v>67</v>
      </c>
      <c r="Q22" s="19"/>
      <c r="R22" s="147"/>
      <c r="S22" s="147">
        <f>SUM(S19:S21)</f>
        <v>1415870.8893233999</v>
      </c>
      <c r="T22" s="147">
        <f>SUM(T19:T21)</f>
        <v>1370201</v>
      </c>
      <c r="U22" s="147">
        <f>SUM(U19:U21)</f>
        <v>1477351.9572040625</v>
      </c>
      <c r="V22" s="147"/>
      <c r="W22" s="19"/>
      <c r="X22" s="19"/>
      <c r="Y22" s="135"/>
      <c r="Z22" s="31"/>
      <c r="AA22" s="31"/>
      <c r="AB22" s="31"/>
      <c r="AC22" s="31"/>
      <c r="AD22" s="31"/>
      <c r="AE22" s="31"/>
      <c r="AF22" s="31"/>
      <c r="AG22" s="31"/>
    </row>
    <row r="23" spans="2:33">
      <c r="B23" s="136">
        <v>4</v>
      </c>
      <c r="C23" s="19" t="s">
        <v>68</v>
      </c>
      <c r="D23" s="19"/>
      <c r="E23" s="19"/>
      <c r="F23" s="19"/>
      <c r="G23" s="19"/>
      <c r="H23" s="19"/>
      <c r="I23" s="147">
        <f>SUM(I19:I21)</f>
        <v>-4355692</v>
      </c>
      <c r="J23" s="19"/>
      <c r="K23" s="147"/>
      <c r="L23" s="148"/>
      <c r="N23" s="32"/>
      <c r="O23" s="136">
        <v>4</v>
      </c>
      <c r="P23" s="19" t="s">
        <v>68</v>
      </c>
      <c r="Q23" s="19"/>
      <c r="R23" s="19"/>
      <c r="S23" s="19"/>
      <c r="T23" s="19"/>
      <c r="U23" s="19"/>
      <c r="V23" s="147">
        <f>SUM(V19:V21)</f>
        <v>107151</v>
      </c>
      <c r="W23" s="19"/>
      <c r="X23" s="147"/>
      <c r="Y23" s="148"/>
      <c r="Z23" s="31"/>
      <c r="AA23" s="31"/>
      <c r="AB23" s="31"/>
      <c r="AC23" s="31"/>
      <c r="AD23" s="31"/>
      <c r="AE23" s="31"/>
      <c r="AF23" s="31"/>
      <c r="AG23" s="31"/>
    </row>
    <row r="24" spans="2:33">
      <c r="B24" s="136"/>
      <c r="C24" s="19"/>
      <c r="D24" s="19"/>
      <c r="E24" s="19"/>
      <c r="F24" s="19"/>
      <c r="G24" s="19"/>
      <c r="H24" s="19"/>
      <c r="I24" s="147"/>
      <c r="J24" s="19"/>
      <c r="K24" s="147"/>
      <c r="L24" s="148"/>
      <c r="N24" s="32"/>
      <c r="O24" s="136"/>
      <c r="P24" s="19"/>
      <c r="Q24" s="19"/>
      <c r="R24" s="19"/>
      <c r="S24" s="19"/>
      <c r="T24" s="19"/>
      <c r="U24" s="19"/>
      <c r="V24" s="147"/>
      <c r="W24" s="19"/>
      <c r="X24" s="147"/>
      <c r="Y24" s="148"/>
      <c r="Z24" s="31"/>
      <c r="AA24" s="31"/>
      <c r="AB24" s="31"/>
      <c r="AC24" s="31"/>
      <c r="AD24" s="31"/>
      <c r="AE24" s="31"/>
      <c r="AF24" s="31"/>
      <c r="AG24" s="31"/>
    </row>
    <row r="25" spans="2:33" ht="15.75" customHeight="1">
      <c r="B25" s="149" t="s">
        <v>70</v>
      </c>
      <c r="C25" s="218" t="s">
        <v>186</v>
      </c>
      <c r="D25" s="31"/>
      <c r="E25" s="31"/>
      <c r="F25" s="31"/>
      <c r="G25" s="31"/>
      <c r="H25" s="19"/>
      <c r="I25" s="19"/>
      <c r="J25" s="150"/>
      <c r="K25" s="19"/>
      <c r="L25" s="135"/>
      <c r="N25" s="31"/>
      <c r="O25" s="149" t="s">
        <v>70</v>
      </c>
      <c r="P25" s="218" t="s">
        <v>186</v>
      </c>
      <c r="Q25" s="31"/>
      <c r="R25" s="31"/>
      <c r="S25" s="31"/>
      <c r="T25" s="31"/>
      <c r="U25" s="19"/>
      <c r="V25" s="19"/>
      <c r="W25" s="150"/>
      <c r="X25" s="19"/>
      <c r="Y25" s="135"/>
      <c r="Z25" s="31"/>
      <c r="AA25" s="31"/>
      <c r="AB25" s="31"/>
      <c r="AC25" s="31"/>
      <c r="AD25" s="31"/>
      <c r="AE25" s="31"/>
      <c r="AF25" s="31"/>
      <c r="AG25" s="31"/>
    </row>
    <row r="26" spans="2:33" ht="15.75" customHeight="1" thickBot="1">
      <c r="B26" s="151" t="s">
        <v>71</v>
      </c>
      <c r="C26" s="152" t="s">
        <v>72</v>
      </c>
      <c r="D26" s="152"/>
      <c r="E26" s="152"/>
      <c r="F26" s="152"/>
      <c r="G26" s="152"/>
      <c r="H26" s="152"/>
      <c r="I26" s="152"/>
      <c r="J26" s="152"/>
      <c r="K26" s="152"/>
      <c r="L26" s="153"/>
      <c r="N26" s="31"/>
      <c r="O26" s="151" t="s">
        <v>71</v>
      </c>
      <c r="P26" s="152" t="s">
        <v>72</v>
      </c>
      <c r="Q26" s="152"/>
      <c r="R26" s="152"/>
      <c r="S26" s="152"/>
      <c r="T26" s="152"/>
      <c r="U26" s="152"/>
      <c r="V26" s="152"/>
      <c r="W26" s="152"/>
      <c r="X26" s="152"/>
      <c r="Y26" s="153"/>
      <c r="Z26" s="31"/>
      <c r="AA26" s="31"/>
      <c r="AB26" s="31"/>
      <c r="AC26" s="31"/>
      <c r="AD26" s="31"/>
      <c r="AE26" s="31"/>
      <c r="AF26" s="31"/>
      <c r="AG26" s="31"/>
    </row>
    <row r="27" spans="2:33" ht="15.75" customHeight="1" thickBot="1">
      <c r="N27" s="31"/>
      <c r="Z27" s="31"/>
      <c r="AA27" s="31"/>
      <c r="AB27" s="31"/>
      <c r="AC27" s="31"/>
      <c r="AD27" s="31"/>
      <c r="AE27" s="31"/>
      <c r="AF27" s="31"/>
      <c r="AG27" s="31"/>
    </row>
    <row r="28" spans="2:33" s="15" customFormat="1" ht="21">
      <c r="B28" s="154" t="s">
        <v>179</v>
      </c>
      <c r="C28" s="155"/>
      <c r="D28" s="155"/>
      <c r="E28" s="155"/>
      <c r="F28" s="204">
        <f>VLOOKUP($D$30,'List of ROE by TO'!$B$8:$E$29,4,FALSE)</f>
        <v>0.1082</v>
      </c>
      <c r="G28" s="155"/>
      <c r="H28" s="304" t="s">
        <v>203</v>
      </c>
      <c r="I28" s="155"/>
      <c r="J28" s="155"/>
      <c r="K28" s="155"/>
      <c r="L28" s="156"/>
      <c r="N28" s="192"/>
      <c r="O28" s="154" t="s">
        <v>179</v>
      </c>
      <c r="P28" s="155"/>
      <c r="Q28" s="155"/>
      <c r="R28" s="155"/>
      <c r="S28" s="204">
        <f>VLOOKUP($D$30,'List of ROE by TO'!$B$8:$E$29,4,FALSE)</f>
        <v>0.1082</v>
      </c>
      <c r="T28" s="155"/>
      <c r="U28" s="304" t="s">
        <v>207</v>
      </c>
      <c r="V28" s="155"/>
      <c r="W28" s="155"/>
      <c r="X28" s="155"/>
      <c r="Y28" s="156"/>
      <c r="Z28" s="192"/>
      <c r="AA28" s="192"/>
      <c r="AB28" s="192"/>
      <c r="AC28" s="192"/>
      <c r="AD28" s="192"/>
      <c r="AE28" s="192"/>
      <c r="AF28" s="192"/>
      <c r="AG28" s="192"/>
    </row>
    <row r="29" spans="2:33">
      <c r="B29" s="263" t="s">
        <v>180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9"/>
      <c r="N29" s="31"/>
      <c r="O29" s="263" t="s">
        <v>180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9"/>
      <c r="Z29" s="31"/>
      <c r="AA29" s="31"/>
      <c r="AB29" s="31"/>
      <c r="AC29" s="31"/>
      <c r="AD29" s="31"/>
      <c r="AE29" s="31"/>
      <c r="AF29" s="31"/>
      <c r="AG29" s="31"/>
    </row>
    <row r="30" spans="2:33" ht="18">
      <c r="B30" s="157"/>
      <c r="C30" s="160" t="s">
        <v>21</v>
      </c>
      <c r="D30" s="176" t="str">
        <f>$D$6</f>
        <v>ALLETE (MP)</v>
      </c>
      <c r="E30" s="158"/>
      <c r="F30" s="158"/>
      <c r="G30" s="158"/>
      <c r="H30" s="158"/>
      <c r="I30" s="158"/>
      <c r="J30" s="158"/>
      <c r="K30" s="158"/>
      <c r="L30" s="159"/>
      <c r="N30" s="31"/>
      <c r="O30" s="157"/>
      <c r="P30" s="160" t="s">
        <v>21</v>
      </c>
      <c r="Q30" s="176" t="str">
        <f>$D$6</f>
        <v>ALLETE (MP)</v>
      </c>
      <c r="R30" s="158"/>
      <c r="S30" s="158"/>
      <c r="T30" s="158"/>
      <c r="U30" s="158"/>
      <c r="V30" s="158"/>
      <c r="W30" s="158"/>
      <c r="X30" s="158"/>
      <c r="Y30" s="159"/>
      <c r="Z30" s="31"/>
      <c r="AA30" s="31"/>
      <c r="AB30" s="31"/>
      <c r="AC30" s="31"/>
      <c r="AD30" s="31"/>
      <c r="AE30" s="31"/>
      <c r="AF30" s="31"/>
      <c r="AG30" s="31"/>
    </row>
    <row r="31" spans="2:33">
      <c r="B31" s="157"/>
      <c r="C31" s="160" t="s">
        <v>22</v>
      </c>
      <c r="D31" s="161">
        <v>2016</v>
      </c>
      <c r="E31" s="158"/>
      <c r="F31" s="158"/>
      <c r="G31" s="158"/>
      <c r="H31" s="158"/>
      <c r="I31" s="158"/>
      <c r="J31" s="158"/>
      <c r="K31" s="158"/>
      <c r="L31" s="159"/>
      <c r="N31" s="31"/>
      <c r="O31" s="157"/>
      <c r="P31" s="160" t="s">
        <v>22</v>
      </c>
      <c r="Q31" s="161">
        <v>2016</v>
      </c>
      <c r="R31" s="158"/>
      <c r="S31" s="158"/>
      <c r="T31" s="158"/>
      <c r="U31" s="158"/>
      <c r="V31" s="158"/>
      <c r="W31" s="158"/>
      <c r="X31" s="158"/>
      <c r="Y31" s="159"/>
      <c r="Z31" s="31"/>
      <c r="AA31" s="31"/>
      <c r="AB31" s="31"/>
      <c r="AC31" s="31"/>
      <c r="AD31" s="31"/>
      <c r="AE31" s="31"/>
      <c r="AF31" s="31"/>
      <c r="AG31" s="31"/>
    </row>
    <row r="32" spans="2:33">
      <c r="B32" s="136" t="s">
        <v>23</v>
      </c>
      <c r="C32" s="20" t="s">
        <v>24</v>
      </c>
      <c r="D32" s="20" t="s">
        <v>25</v>
      </c>
      <c r="E32" s="20" t="s">
        <v>26</v>
      </c>
      <c r="F32" s="20" t="s">
        <v>27</v>
      </c>
      <c r="G32" s="20" t="s">
        <v>28</v>
      </c>
      <c r="H32" s="20" t="s">
        <v>29</v>
      </c>
      <c r="I32" s="20" t="s">
        <v>30</v>
      </c>
      <c r="J32" s="20" t="s">
        <v>31</v>
      </c>
      <c r="K32" s="20" t="s">
        <v>32</v>
      </c>
      <c r="L32" s="137" t="s">
        <v>33</v>
      </c>
      <c r="N32" s="31"/>
      <c r="O32" s="136" t="s">
        <v>23</v>
      </c>
      <c r="P32" s="20" t="s">
        <v>24</v>
      </c>
      <c r="Q32" s="20" t="s">
        <v>25</v>
      </c>
      <c r="R32" s="20" t="s">
        <v>26</v>
      </c>
      <c r="S32" s="20" t="s">
        <v>27</v>
      </c>
      <c r="T32" s="20" t="s">
        <v>28</v>
      </c>
      <c r="U32" s="20" t="s">
        <v>29</v>
      </c>
      <c r="V32" s="20" t="s">
        <v>30</v>
      </c>
      <c r="W32" s="20" t="s">
        <v>31</v>
      </c>
      <c r="X32" s="20" t="s">
        <v>32</v>
      </c>
      <c r="Y32" s="137" t="s">
        <v>33</v>
      </c>
      <c r="Z32" s="31"/>
      <c r="AA32" s="31"/>
      <c r="AB32" s="31"/>
      <c r="AC32" s="31"/>
      <c r="AD32" s="31"/>
      <c r="AE32" s="31"/>
      <c r="AF32" s="31"/>
      <c r="AG32" s="31"/>
    </row>
    <row r="33" spans="2:33">
      <c r="B33" s="138"/>
      <c r="C33" s="17"/>
      <c r="D33" s="17"/>
      <c r="E33" s="17"/>
      <c r="F33" s="17"/>
      <c r="G33" s="18" t="s">
        <v>34</v>
      </c>
      <c r="H33" s="17"/>
      <c r="I33" s="17"/>
      <c r="J33" s="17"/>
      <c r="K33" s="17"/>
      <c r="L33" s="139"/>
      <c r="N33" s="31"/>
      <c r="O33" s="138"/>
      <c r="P33" s="17"/>
      <c r="Q33" s="17"/>
      <c r="R33" s="17"/>
      <c r="S33" s="17"/>
      <c r="T33" s="18" t="s">
        <v>34</v>
      </c>
      <c r="U33" s="17"/>
      <c r="V33" s="17"/>
      <c r="W33" s="17"/>
      <c r="X33" s="17"/>
      <c r="Y33" s="139"/>
      <c r="Z33" s="31"/>
      <c r="AA33" s="31"/>
      <c r="AB33" s="31"/>
      <c r="AC33" s="31"/>
      <c r="AD33" s="31"/>
      <c r="AE33" s="31"/>
      <c r="AF33" s="31"/>
      <c r="AG33" s="31"/>
    </row>
    <row r="34" spans="2:33">
      <c r="B34" s="134"/>
      <c r="C34" s="19"/>
      <c r="D34" s="19"/>
      <c r="E34" s="19"/>
      <c r="F34" s="20" t="s">
        <v>35</v>
      </c>
      <c r="G34" s="262" t="s">
        <v>182</v>
      </c>
      <c r="H34" s="20" t="s">
        <v>34</v>
      </c>
      <c r="I34" s="20" t="s">
        <v>37</v>
      </c>
      <c r="J34" s="20"/>
      <c r="K34" s="20"/>
      <c r="L34" s="135"/>
      <c r="N34" s="31"/>
      <c r="O34" s="134"/>
      <c r="P34" s="19"/>
      <c r="Q34" s="19"/>
      <c r="R34" s="19"/>
      <c r="S34" s="20" t="s">
        <v>35</v>
      </c>
      <c r="T34" s="262" t="s">
        <v>182</v>
      </c>
      <c r="U34" s="20" t="s">
        <v>34</v>
      </c>
      <c r="V34" s="20" t="s">
        <v>37</v>
      </c>
      <c r="W34" s="20"/>
      <c r="X34" s="20"/>
      <c r="Y34" s="135"/>
      <c r="Z34" s="31"/>
      <c r="AA34" s="31"/>
      <c r="AB34" s="31"/>
      <c r="AC34" s="31"/>
      <c r="AD34" s="31"/>
      <c r="AE34" s="31"/>
      <c r="AF34" s="31"/>
      <c r="AG34" s="31"/>
    </row>
    <row r="35" spans="2:33">
      <c r="B35" s="134"/>
      <c r="C35" s="19"/>
      <c r="D35" s="20" t="s">
        <v>39</v>
      </c>
      <c r="E35" s="20" t="s">
        <v>34</v>
      </c>
      <c r="F35" s="20" t="s">
        <v>40</v>
      </c>
      <c r="G35" s="20" t="s">
        <v>41</v>
      </c>
      <c r="H35" s="20" t="s">
        <v>40</v>
      </c>
      <c r="I35" s="20" t="s">
        <v>42</v>
      </c>
      <c r="J35" s="20"/>
      <c r="K35" s="20"/>
      <c r="L35" s="137"/>
      <c r="N35" s="31"/>
      <c r="O35" s="134"/>
      <c r="P35" s="19"/>
      <c r="Q35" s="20" t="s">
        <v>39</v>
      </c>
      <c r="R35" s="20" t="s">
        <v>34</v>
      </c>
      <c r="S35" s="20" t="s">
        <v>40</v>
      </c>
      <c r="T35" s="20" t="s">
        <v>41</v>
      </c>
      <c r="U35" s="20" t="s">
        <v>40</v>
      </c>
      <c r="V35" s="20" t="s">
        <v>42</v>
      </c>
      <c r="W35" s="20"/>
      <c r="X35" s="20"/>
      <c r="Y35" s="137"/>
      <c r="Z35" s="31"/>
      <c r="AA35" s="31"/>
      <c r="AB35" s="31"/>
      <c r="AC35" s="31"/>
      <c r="AD35" s="31"/>
      <c r="AE35" s="31"/>
      <c r="AF35" s="31"/>
      <c r="AG35" s="31"/>
    </row>
    <row r="36" spans="2:33">
      <c r="B36" s="136" t="s">
        <v>44</v>
      </c>
      <c r="C36" s="20" t="s">
        <v>45</v>
      </c>
      <c r="D36" s="20" t="s">
        <v>45</v>
      </c>
      <c r="E36" s="262" t="s">
        <v>205</v>
      </c>
      <c r="F36" s="20" t="s">
        <v>6</v>
      </c>
      <c r="G36" s="20" t="s">
        <v>46</v>
      </c>
      <c r="H36" s="20" t="s">
        <v>6</v>
      </c>
      <c r="I36" s="20" t="s">
        <v>47</v>
      </c>
      <c r="J36" s="20"/>
      <c r="K36" s="20"/>
      <c r="L36" s="137"/>
      <c r="N36" s="365"/>
      <c r="O36" s="136" t="s">
        <v>44</v>
      </c>
      <c r="P36" s="20" t="s">
        <v>45</v>
      </c>
      <c r="Q36" s="20" t="s">
        <v>45</v>
      </c>
      <c r="R36" s="262" t="s">
        <v>205</v>
      </c>
      <c r="S36" s="20" t="s">
        <v>6</v>
      </c>
      <c r="T36" s="20" t="s">
        <v>46</v>
      </c>
      <c r="U36" s="20" t="s">
        <v>6</v>
      </c>
      <c r="V36" s="20" t="s">
        <v>47</v>
      </c>
      <c r="W36" s="20"/>
      <c r="X36" s="20"/>
      <c r="Y36" s="137"/>
      <c r="Z36" s="31"/>
      <c r="AA36" s="31"/>
      <c r="AB36" s="31"/>
      <c r="AC36" s="31"/>
      <c r="AD36" s="31"/>
      <c r="AE36" s="31"/>
      <c r="AF36" s="31"/>
      <c r="AG36" s="31"/>
    </row>
    <row r="37" spans="2:33" ht="17.25" customHeight="1">
      <c r="B37" s="140" t="s">
        <v>49</v>
      </c>
      <c r="C37" s="21" t="s">
        <v>50</v>
      </c>
      <c r="D37" s="21" t="s">
        <v>51</v>
      </c>
      <c r="E37" s="217" t="s">
        <v>150</v>
      </c>
      <c r="F37" s="21" t="s">
        <v>52</v>
      </c>
      <c r="G37" s="21" t="s">
        <v>53</v>
      </c>
      <c r="H37" s="21" t="s">
        <v>52</v>
      </c>
      <c r="I37" s="21" t="s">
        <v>54</v>
      </c>
      <c r="J37" s="21"/>
      <c r="K37" s="21"/>
      <c r="L37" s="141"/>
      <c r="N37" s="365"/>
      <c r="O37" s="140" t="s">
        <v>49</v>
      </c>
      <c r="P37" s="21" t="s">
        <v>50</v>
      </c>
      <c r="Q37" s="21" t="s">
        <v>51</v>
      </c>
      <c r="R37" s="217" t="s">
        <v>150</v>
      </c>
      <c r="S37" s="21" t="s">
        <v>52</v>
      </c>
      <c r="T37" s="21" t="s">
        <v>53</v>
      </c>
      <c r="U37" s="21" t="s">
        <v>52</v>
      </c>
      <c r="V37" s="21" t="s">
        <v>54</v>
      </c>
      <c r="W37" s="21"/>
      <c r="X37" s="21"/>
      <c r="Y37" s="141"/>
      <c r="Z37" s="31"/>
      <c r="AA37" s="31"/>
      <c r="AB37" s="31"/>
      <c r="AC37" s="31"/>
      <c r="AD37" s="31"/>
      <c r="AE37" s="31"/>
      <c r="AF37" s="31"/>
      <c r="AG37" s="31"/>
    </row>
    <row r="38" spans="2:33" ht="15" customHeight="1">
      <c r="B38" s="134"/>
      <c r="C38" s="19"/>
      <c r="D38" s="19"/>
      <c r="E38" s="19"/>
      <c r="F38" s="22" t="s">
        <v>35</v>
      </c>
      <c r="G38" s="22" t="s">
        <v>55</v>
      </c>
      <c r="H38" s="22" t="s">
        <v>34</v>
      </c>
      <c r="I38" s="19"/>
      <c r="J38" s="19"/>
      <c r="K38" s="19"/>
      <c r="L38" s="135"/>
      <c r="N38" s="365"/>
      <c r="O38" s="134"/>
      <c r="P38" s="19"/>
      <c r="Q38" s="19"/>
      <c r="R38" s="19"/>
      <c r="S38" s="22" t="s">
        <v>35</v>
      </c>
      <c r="T38" s="22" t="s">
        <v>55</v>
      </c>
      <c r="U38" s="22" t="s">
        <v>34</v>
      </c>
      <c r="V38" s="19"/>
      <c r="W38" s="19"/>
      <c r="X38" s="19"/>
      <c r="Y38" s="135"/>
      <c r="Z38" s="31"/>
      <c r="AA38" s="31"/>
      <c r="AB38" s="31"/>
      <c r="AC38" s="31"/>
      <c r="AD38" s="31"/>
      <c r="AE38" s="31"/>
      <c r="AF38" s="31"/>
      <c r="AG38" s="31"/>
    </row>
    <row r="39" spans="2:33" ht="15" customHeight="1">
      <c r="B39" s="134"/>
      <c r="C39" s="19"/>
      <c r="D39" s="19"/>
      <c r="E39" s="19"/>
      <c r="F39" s="261" t="s">
        <v>182</v>
      </c>
      <c r="G39" s="22" t="s">
        <v>56</v>
      </c>
      <c r="H39" s="261" t="s">
        <v>182</v>
      </c>
      <c r="I39" s="19"/>
      <c r="J39" s="22"/>
      <c r="K39" s="22"/>
      <c r="L39" s="135"/>
      <c r="N39" s="365"/>
      <c r="O39" s="134"/>
      <c r="P39" s="19"/>
      <c r="Q39" s="19"/>
      <c r="R39" s="19"/>
      <c r="S39" s="261" t="s">
        <v>182</v>
      </c>
      <c r="T39" s="22" t="s">
        <v>56</v>
      </c>
      <c r="U39" s="261" t="s">
        <v>182</v>
      </c>
      <c r="V39" s="19"/>
      <c r="W39" s="22"/>
      <c r="X39" s="22"/>
      <c r="Y39" s="135"/>
      <c r="Z39" s="31"/>
      <c r="AA39" s="31"/>
      <c r="AB39" s="31"/>
      <c r="AC39" s="31"/>
      <c r="AD39" s="31"/>
      <c r="AE39" s="31"/>
      <c r="AF39" s="31"/>
      <c r="AG39" s="31"/>
    </row>
    <row r="40" spans="2:33" ht="16.2">
      <c r="B40" s="142"/>
      <c r="C40" s="23"/>
      <c r="D40" s="23"/>
      <c r="E40" s="23"/>
      <c r="F40" s="319" t="s">
        <v>227</v>
      </c>
      <c r="G40" s="24" t="s">
        <v>58</v>
      </c>
      <c r="H40" s="319" t="s">
        <v>227</v>
      </c>
      <c r="I40" s="24" t="s">
        <v>59</v>
      </c>
      <c r="J40" s="24"/>
      <c r="K40" s="24"/>
      <c r="L40" s="141"/>
      <c r="N40" s="365"/>
      <c r="O40" s="142"/>
      <c r="P40" s="23"/>
      <c r="Q40" s="23"/>
      <c r="R40" s="23"/>
      <c r="S40" s="319" t="s">
        <v>227</v>
      </c>
      <c r="T40" s="24" t="s">
        <v>58</v>
      </c>
      <c r="U40" s="319" t="s">
        <v>227</v>
      </c>
      <c r="V40" s="24" t="s">
        <v>59</v>
      </c>
      <c r="W40" s="24"/>
      <c r="X40" s="24"/>
      <c r="Y40" s="141"/>
      <c r="Z40" s="31"/>
      <c r="AA40" s="31"/>
      <c r="AB40" s="31"/>
      <c r="AC40" s="31"/>
      <c r="AD40" s="31"/>
      <c r="AE40" s="31"/>
      <c r="AF40" s="31"/>
      <c r="AG40" s="31"/>
    </row>
    <row r="41" spans="2:33" ht="9.75" customHeight="1">
      <c r="B41" s="138"/>
      <c r="C41" s="17"/>
      <c r="D41" s="17"/>
      <c r="E41" s="17"/>
      <c r="F41" s="17"/>
      <c r="G41" s="17"/>
      <c r="H41" s="17"/>
      <c r="I41" s="17"/>
      <c r="J41" s="17"/>
      <c r="K41" s="17"/>
      <c r="L41" s="139"/>
      <c r="N41" s="31"/>
      <c r="O41" s="138"/>
      <c r="P41" s="17"/>
      <c r="Q41" s="17"/>
      <c r="R41" s="17"/>
      <c r="S41" s="17"/>
      <c r="T41" s="17"/>
      <c r="U41" s="17"/>
      <c r="V41" s="17"/>
      <c r="W41" s="17"/>
      <c r="X41" s="17"/>
      <c r="Y41" s="139"/>
      <c r="Z41" s="31"/>
      <c r="AA41" s="31"/>
      <c r="AB41" s="31"/>
      <c r="AC41" s="31"/>
      <c r="AD41" s="31"/>
      <c r="AE41" s="31"/>
      <c r="AF41" s="31"/>
      <c r="AG41" s="31"/>
    </row>
    <row r="42" spans="2:33" ht="32.25" customHeight="1">
      <c r="B42" s="143">
        <v>1</v>
      </c>
      <c r="C42" s="366" t="s">
        <v>184</v>
      </c>
      <c r="D42" s="363"/>
      <c r="E42" s="32">
        <f>$E$17</f>
        <v>14292074</v>
      </c>
      <c r="F42" s="19"/>
      <c r="G42" s="19"/>
      <c r="H42" s="19"/>
      <c r="I42" s="19"/>
      <c r="J42" s="19"/>
      <c r="K42" s="19"/>
      <c r="L42" s="135"/>
      <c r="N42" s="31"/>
      <c r="O42" s="143">
        <v>1</v>
      </c>
      <c r="P42" s="366" t="s">
        <v>184</v>
      </c>
      <c r="Q42" s="363"/>
      <c r="R42" s="32">
        <f>$R$17</f>
        <v>1370201</v>
      </c>
      <c r="S42" s="19"/>
      <c r="T42" s="19"/>
      <c r="U42" s="19"/>
      <c r="V42" s="19"/>
      <c r="W42" s="19"/>
      <c r="X42" s="19"/>
      <c r="Y42" s="135"/>
      <c r="Z42" s="31"/>
      <c r="AA42" s="31"/>
      <c r="AB42" s="31"/>
      <c r="AC42" s="31"/>
      <c r="AD42" s="31"/>
      <c r="AE42" s="31"/>
      <c r="AF42" s="31"/>
      <c r="AG42" s="31"/>
    </row>
    <row r="43" spans="2:33" ht="13.5" customHeight="1">
      <c r="B43" s="136"/>
      <c r="C43" s="19"/>
      <c r="D43" s="19"/>
      <c r="E43" s="19"/>
      <c r="F43" s="19"/>
      <c r="G43" s="19"/>
      <c r="H43" s="19"/>
      <c r="I43" s="19"/>
      <c r="J43" s="19"/>
      <c r="K43" s="19"/>
      <c r="L43" s="135"/>
      <c r="N43" s="193"/>
      <c r="O43" s="136"/>
      <c r="P43" s="19"/>
      <c r="Q43" s="19"/>
      <c r="R43" s="19"/>
      <c r="S43" s="19"/>
      <c r="T43" s="19"/>
      <c r="U43" s="19"/>
      <c r="V43" s="19"/>
      <c r="W43" s="19"/>
      <c r="X43" s="19"/>
      <c r="Y43" s="135"/>
      <c r="Z43" s="31"/>
      <c r="AA43" s="31"/>
      <c r="AB43" s="31"/>
      <c r="AC43" s="31"/>
      <c r="AD43" s="31"/>
      <c r="AE43" s="31"/>
      <c r="AF43" s="31"/>
      <c r="AG43" s="31"/>
    </row>
    <row r="44" spans="2:33">
      <c r="B44" s="136" t="s">
        <v>64</v>
      </c>
      <c r="C44" s="25" t="str">
        <f>C19</f>
        <v>NERC Facility Ratings Alert - Medium Priority</v>
      </c>
      <c r="D44" s="188" t="str">
        <f>D19</f>
        <v>4293 - AC</v>
      </c>
      <c r="E44" s="26"/>
      <c r="F44" s="187">
        <v>3335159.3285174649</v>
      </c>
      <c r="G44" s="26">
        <f>IF(F44=0,0,ROUND($E$42*(F44/$F$47),0))</f>
        <v>4080431</v>
      </c>
      <c r="H44" s="187">
        <v>3333403.5989949545</v>
      </c>
      <c r="I44" s="27">
        <f>ROUND(+H44-G44,0)</f>
        <v>-747027</v>
      </c>
      <c r="J44" s="28"/>
      <c r="K44" s="27"/>
      <c r="L44" s="144"/>
      <c r="N44" s="194"/>
      <c r="O44" s="136" t="s">
        <v>64</v>
      </c>
      <c r="P44" s="25" t="str">
        <f>P19</f>
        <v>NERC Facility Ratings Alert - Medium Priority</v>
      </c>
      <c r="Q44" s="188" t="str">
        <f>Q19</f>
        <v>4293 - AC</v>
      </c>
      <c r="R44" s="26"/>
      <c r="S44" s="187">
        <v>1312612.0313281761</v>
      </c>
      <c r="T44" s="26">
        <f>IF(S44=0,0,ROUND($R$42*(S44/$S$47),0))</f>
        <v>1370201</v>
      </c>
      <c r="U44" s="187">
        <v>1370368.6815790439</v>
      </c>
      <c r="V44" s="27">
        <f>ROUND(+U44-T44,0)</f>
        <v>168</v>
      </c>
      <c r="W44" s="28"/>
      <c r="X44" s="27"/>
      <c r="Y44" s="144"/>
      <c r="Z44" s="31"/>
      <c r="AA44" s="31"/>
      <c r="AB44" s="31"/>
      <c r="AC44" s="31"/>
      <c r="AD44" s="31"/>
      <c r="AE44" s="31"/>
      <c r="AF44" s="31"/>
      <c r="AG44" s="31"/>
    </row>
    <row r="45" spans="2:33">
      <c r="B45" s="136" t="s">
        <v>65</v>
      </c>
      <c r="C45" s="25" t="str">
        <f>C20</f>
        <v>NERC Facility Ratings Alert - Low Priority</v>
      </c>
      <c r="D45" s="188" t="str">
        <f>D20</f>
        <v>4294 - AC</v>
      </c>
      <c r="E45" s="26"/>
      <c r="F45" s="187">
        <v>8346535.2929686941</v>
      </c>
      <c r="G45" s="26">
        <f>IF(F45=0,0,ROUND($E$42*(F45/$F$47),0))</f>
        <v>10211643</v>
      </c>
      <c r="H45" s="187">
        <v>5974188.5727936011</v>
      </c>
      <c r="I45" s="27">
        <f>ROUND(+H45-G45,0)</f>
        <v>-4237454</v>
      </c>
      <c r="J45" s="28"/>
      <c r="K45" s="27"/>
      <c r="L45" s="144"/>
      <c r="N45" s="194"/>
      <c r="O45" s="324"/>
      <c r="P45" s="125"/>
      <c r="Q45" s="188"/>
      <c r="R45" s="29"/>
      <c r="S45" s="287"/>
      <c r="T45" s="29"/>
      <c r="U45" s="287"/>
      <c r="V45" s="288"/>
      <c r="W45" s="28"/>
      <c r="X45" s="27"/>
      <c r="Y45" s="144"/>
      <c r="Z45" s="31"/>
      <c r="AA45" s="31"/>
      <c r="AB45" s="31"/>
      <c r="AC45" s="31"/>
      <c r="AD45" s="31"/>
      <c r="AE45" s="31"/>
      <c r="AF45" s="31"/>
      <c r="AG45" s="31"/>
    </row>
    <row r="46" spans="2:33">
      <c r="B46" s="140"/>
      <c r="C46" s="23"/>
      <c r="D46" s="23"/>
      <c r="E46" s="23"/>
      <c r="F46" s="23"/>
      <c r="G46" s="23"/>
      <c r="H46" s="23"/>
      <c r="I46" s="23"/>
      <c r="J46" s="23"/>
      <c r="K46" s="23"/>
      <c r="L46" s="146"/>
      <c r="N46" s="31"/>
      <c r="O46" s="140"/>
      <c r="P46" s="23"/>
      <c r="Q46" s="23"/>
      <c r="R46" s="23"/>
      <c r="S46" s="23"/>
      <c r="T46" s="23"/>
      <c r="U46" s="23"/>
      <c r="V46" s="23"/>
      <c r="W46" s="23"/>
      <c r="X46" s="23"/>
      <c r="Y46" s="146"/>
      <c r="Z46" s="31"/>
      <c r="AA46" s="31"/>
      <c r="AB46" s="31"/>
      <c r="AC46" s="31"/>
      <c r="AD46" s="31"/>
      <c r="AE46" s="31"/>
      <c r="AF46" s="31"/>
      <c r="AG46" s="31"/>
    </row>
    <row r="47" spans="2:33">
      <c r="B47" s="136">
        <v>3</v>
      </c>
      <c r="C47" s="19" t="s">
        <v>67</v>
      </c>
      <c r="D47" s="19"/>
      <c r="E47" s="147"/>
      <c r="F47" s="147">
        <f>SUM(F44:F46)</f>
        <v>11681694.621486159</v>
      </c>
      <c r="G47" s="147">
        <f>SUM(G44:G46)</f>
        <v>14292074</v>
      </c>
      <c r="H47" s="147">
        <f>SUM(H44:H46)</f>
        <v>9307592.1717885546</v>
      </c>
      <c r="I47" s="147"/>
      <c r="J47" s="19"/>
      <c r="K47" s="19"/>
      <c r="L47" s="135"/>
      <c r="N47" s="31"/>
      <c r="O47" s="136">
        <v>3</v>
      </c>
      <c r="P47" s="19" t="s">
        <v>67</v>
      </c>
      <c r="Q47" s="19"/>
      <c r="R47" s="147"/>
      <c r="S47" s="147">
        <f>SUM(S44:S46)</f>
        <v>1312612.0313281761</v>
      </c>
      <c r="T47" s="147">
        <f>SUM(T44:T46)</f>
        <v>1370201</v>
      </c>
      <c r="U47" s="147">
        <f>SUM(U44:U46)</f>
        <v>1370368.6815790439</v>
      </c>
      <c r="V47" s="147"/>
      <c r="W47" s="19"/>
      <c r="X47" s="19"/>
      <c r="Y47" s="135"/>
      <c r="Z47" s="31"/>
      <c r="AA47" s="31"/>
      <c r="AB47" s="31"/>
      <c r="AC47" s="31"/>
      <c r="AD47" s="31"/>
      <c r="AE47" s="31"/>
      <c r="AF47" s="31"/>
      <c r="AG47" s="31"/>
    </row>
    <row r="48" spans="2:33" ht="15" thickBot="1">
      <c r="B48" s="162">
        <v>4</v>
      </c>
      <c r="C48" s="152" t="s">
        <v>68</v>
      </c>
      <c r="D48" s="152"/>
      <c r="E48" s="152"/>
      <c r="F48" s="152"/>
      <c r="G48" s="152"/>
      <c r="H48" s="152"/>
      <c r="I48" s="163">
        <f>SUM(I44:I46)</f>
        <v>-4984481</v>
      </c>
      <c r="J48" s="152"/>
      <c r="K48" s="163"/>
      <c r="L48" s="164"/>
      <c r="N48" s="32"/>
      <c r="O48" s="162">
        <v>4</v>
      </c>
      <c r="P48" s="152" t="s">
        <v>68</v>
      </c>
      <c r="Q48" s="152"/>
      <c r="R48" s="152"/>
      <c r="S48" s="152"/>
      <c r="T48" s="152"/>
      <c r="U48" s="152"/>
      <c r="V48" s="163">
        <f>SUM(V44:V46)</f>
        <v>168</v>
      </c>
      <c r="W48" s="152"/>
      <c r="X48" s="163"/>
      <c r="Y48" s="164"/>
      <c r="Z48" s="31"/>
      <c r="AA48" s="31"/>
      <c r="AB48" s="31"/>
      <c r="AC48" s="31"/>
      <c r="AD48" s="31"/>
      <c r="AE48" s="31"/>
      <c r="AF48" s="31"/>
      <c r="AG48" s="31"/>
    </row>
    <row r="49" spans="1:33" ht="15" thickBot="1">
      <c r="N49" s="31"/>
      <c r="Z49" s="31"/>
      <c r="AA49" s="31"/>
      <c r="AB49" s="31"/>
      <c r="AC49" s="31"/>
      <c r="AD49" s="31"/>
      <c r="AE49" s="31"/>
      <c r="AF49" s="31"/>
      <c r="AG49" s="31"/>
    </row>
    <row r="50" spans="1:33" ht="21">
      <c r="A50" s="15"/>
      <c r="B50" s="167" t="s">
        <v>185</v>
      </c>
      <c r="C50" s="168"/>
      <c r="D50" s="168"/>
      <c r="E50" s="168"/>
      <c r="F50" s="168"/>
      <c r="G50" s="168"/>
      <c r="H50" s="305" t="s">
        <v>203</v>
      </c>
      <c r="I50" s="168"/>
      <c r="J50" s="168"/>
      <c r="K50" s="168"/>
      <c r="L50" s="169"/>
      <c r="M50" s="15"/>
      <c r="N50" s="192"/>
      <c r="O50" s="167" t="s">
        <v>185</v>
      </c>
      <c r="P50" s="168"/>
      <c r="Q50" s="168"/>
      <c r="R50" s="168"/>
      <c r="S50" s="168"/>
      <c r="T50" s="168"/>
      <c r="U50" s="305" t="s">
        <v>207</v>
      </c>
      <c r="V50" s="168"/>
      <c r="W50" s="168"/>
      <c r="X50" s="168"/>
      <c r="Y50" s="169"/>
      <c r="Z50" s="31"/>
      <c r="AA50" s="31"/>
      <c r="AB50" s="31"/>
      <c r="AC50" s="31"/>
      <c r="AD50" s="31"/>
      <c r="AE50" s="31"/>
      <c r="AF50" s="31"/>
      <c r="AG50" s="31"/>
    </row>
    <row r="51" spans="1:33">
      <c r="B51" s="264" t="s">
        <v>180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2"/>
      <c r="N51" s="31"/>
      <c r="O51" s="264" t="s">
        <v>180</v>
      </c>
      <c r="P51" s="171"/>
      <c r="Q51" s="171"/>
      <c r="R51" s="171"/>
      <c r="S51" s="171"/>
      <c r="T51" s="171"/>
      <c r="U51" s="171"/>
      <c r="V51" s="171"/>
      <c r="W51" s="171"/>
      <c r="X51" s="171"/>
      <c r="Y51" s="172"/>
      <c r="Z51" s="31"/>
      <c r="AA51" s="31"/>
      <c r="AB51" s="31"/>
      <c r="AC51" s="31"/>
      <c r="AD51" s="31"/>
      <c r="AE51" s="31"/>
      <c r="AF51" s="31"/>
      <c r="AG51" s="31"/>
    </row>
    <row r="52" spans="1:33" ht="18">
      <c r="B52" s="170"/>
      <c r="C52" s="173" t="s">
        <v>21</v>
      </c>
      <c r="D52" s="177" t="str">
        <f>$D$6</f>
        <v>ALLETE (MP)</v>
      </c>
      <c r="E52" s="171"/>
      <c r="F52" s="171"/>
      <c r="G52" s="171"/>
      <c r="H52" s="171"/>
      <c r="I52" s="171"/>
      <c r="J52" s="171"/>
      <c r="K52" s="171"/>
      <c r="L52" s="172"/>
      <c r="N52" s="31"/>
      <c r="O52" s="170"/>
      <c r="P52" s="173" t="s">
        <v>21</v>
      </c>
      <c r="Q52" s="177" t="str">
        <f>$D$6</f>
        <v>ALLETE (MP)</v>
      </c>
      <c r="R52" s="171"/>
      <c r="S52" s="171"/>
      <c r="T52" s="171"/>
      <c r="U52" s="171"/>
      <c r="V52" s="171"/>
      <c r="W52" s="171"/>
      <c r="X52" s="171"/>
      <c r="Y52" s="172"/>
      <c r="Z52" s="31"/>
      <c r="AA52" s="31"/>
      <c r="AB52" s="31"/>
      <c r="AC52" s="31"/>
      <c r="AD52" s="31"/>
      <c r="AE52" s="31"/>
      <c r="AF52" s="31"/>
      <c r="AG52" s="31"/>
    </row>
    <row r="53" spans="1:33">
      <c r="B53" s="170"/>
      <c r="C53" s="173" t="s">
        <v>22</v>
      </c>
      <c r="D53" s="174">
        <v>2016</v>
      </c>
      <c r="E53" s="171"/>
      <c r="F53" s="171"/>
      <c r="G53" s="171"/>
      <c r="H53" s="171"/>
      <c r="I53" s="171"/>
      <c r="J53" s="171"/>
      <c r="K53" s="171"/>
      <c r="L53" s="172"/>
      <c r="N53" s="31"/>
      <c r="O53" s="170"/>
      <c r="P53" s="173" t="s">
        <v>22</v>
      </c>
      <c r="Q53" s="174">
        <v>2016</v>
      </c>
      <c r="R53" s="171"/>
      <c r="S53" s="171"/>
      <c r="T53" s="171"/>
      <c r="U53" s="171"/>
      <c r="V53" s="171"/>
      <c r="W53" s="171"/>
      <c r="X53" s="171"/>
      <c r="Y53" s="172"/>
      <c r="Z53" s="31"/>
      <c r="AA53" s="31"/>
      <c r="AB53" s="31"/>
      <c r="AC53" s="31"/>
      <c r="AD53" s="31"/>
      <c r="AE53" s="31"/>
      <c r="AF53" s="31"/>
      <c r="AG53" s="31"/>
    </row>
    <row r="54" spans="1:33">
      <c r="B54" s="136" t="s">
        <v>23</v>
      </c>
      <c r="C54" s="20" t="s">
        <v>24</v>
      </c>
      <c r="D54" s="20" t="s">
        <v>25</v>
      </c>
      <c r="E54" s="20" t="s">
        <v>26</v>
      </c>
      <c r="F54" s="20" t="s">
        <v>27</v>
      </c>
      <c r="G54" s="20" t="s">
        <v>28</v>
      </c>
      <c r="H54" s="20" t="s">
        <v>29</v>
      </c>
      <c r="I54" s="20" t="s">
        <v>30</v>
      </c>
      <c r="J54" s="20" t="s">
        <v>31</v>
      </c>
      <c r="K54" s="20" t="s">
        <v>32</v>
      </c>
      <c r="L54" s="137" t="s">
        <v>33</v>
      </c>
      <c r="N54" s="31"/>
      <c r="O54" s="136" t="s">
        <v>23</v>
      </c>
      <c r="P54" s="20" t="s">
        <v>24</v>
      </c>
      <c r="Q54" s="20" t="s">
        <v>25</v>
      </c>
      <c r="R54" s="20" t="s">
        <v>26</v>
      </c>
      <c r="S54" s="20" t="s">
        <v>27</v>
      </c>
      <c r="T54" s="20" t="s">
        <v>28</v>
      </c>
      <c r="U54" s="20" t="s">
        <v>29</v>
      </c>
      <c r="V54" s="20" t="s">
        <v>30</v>
      </c>
      <c r="W54" s="20" t="s">
        <v>31</v>
      </c>
      <c r="X54" s="20" t="s">
        <v>32</v>
      </c>
      <c r="Y54" s="137" t="s">
        <v>33</v>
      </c>
      <c r="Z54" s="31"/>
      <c r="AA54" s="31"/>
      <c r="AB54" s="31"/>
      <c r="AC54" s="31"/>
      <c r="AD54" s="31"/>
      <c r="AE54" s="31"/>
      <c r="AF54" s="31"/>
      <c r="AG54" s="31"/>
    </row>
    <row r="55" spans="1:33">
      <c r="B55" s="138"/>
      <c r="C55" s="17"/>
      <c r="D55" s="17"/>
      <c r="E55" s="17"/>
      <c r="F55" s="17"/>
      <c r="G55" s="18" t="s">
        <v>34</v>
      </c>
      <c r="H55" s="17"/>
      <c r="I55" s="17"/>
      <c r="J55" s="17"/>
      <c r="K55" s="17"/>
      <c r="L55" s="139"/>
      <c r="N55" s="31"/>
      <c r="O55" s="138"/>
      <c r="P55" s="17"/>
      <c r="Q55" s="17"/>
      <c r="R55" s="17"/>
      <c r="S55" s="17"/>
      <c r="T55" s="18" t="s">
        <v>34</v>
      </c>
      <c r="U55" s="17"/>
      <c r="V55" s="17"/>
      <c r="W55" s="17"/>
      <c r="X55" s="17"/>
      <c r="Y55" s="139"/>
      <c r="Z55" s="31"/>
      <c r="AA55" s="31"/>
      <c r="AB55" s="31"/>
      <c r="AC55" s="31"/>
      <c r="AD55" s="31"/>
      <c r="AE55" s="31"/>
      <c r="AF55" s="31"/>
      <c r="AG55" s="31"/>
    </row>
    <row r="56" spans="1:33">
      <c r="B56" s="134"/>
      <c r="C56" s="19"/>
      <c r="D56" s="19"/>
      <c r="E56" s="19"/>
      <c r="F56" s="20" t="s">
        <v>35</v>
      </c>
      <c r="G56" s="262" t="s">
        <v>182</v>
      </c>
      <c r="H56" s="20" t="s">
        <v>34</v>
      </c>
      <c r="I56" s="20" t="s">
        <v>37</v>
      </c>
      <c r="J56" s="20" t="s">
        <v>38</v>
      </c>
      <c r="K56" s="20" t="s">
        <v>37</v>
      </c>
      <c r="L56" s="135"/>
      <c r="N56" s="31"/>
      <c r="O56" s="134"/>
      <c r="P56" s="19"/>
      <c r="Q56" s="19"/>
      <c r="R56" s="19"/>
      <c r="S56" s="20" t="s">
        <v>35</v>
      </c>
      <c r="T56" s="262" t="s">
        <v>182</v>
      </c>
      <c r="U56" s="20" t="s">
        <v>34</v>
      </c>
      <c r="V56" s="20" t="s">
        <v>37</v>
      </c>
      <c r="W56" s="20" t="s">
        <v>38</v>
      </c>
      <c r="X56" s="20" t="s">
        <v>37</v>
      </c>
      <c r="Y56" s="135"/>
      <c r="Z56" s="31"/>
      <c r="AA56" s="31"/>
      <c r="AB56" s="31"/>
      <c r="AC56" s="31"/>
      <c r="AD56" s="31"/>
      <c r="AE56" s="31"/>
      <c r="AF56" s="31"/>
      <c r="AG56" s="31"/>
    </row>
    <row r="57" spans="1:33">
      <c r="B57" s="134"/>
      <c r="C57" s="19"/>
      <c r="D57" s="20" t="s">
        <v>39</v>
      </c>
      <c r="E57" s="20" t="s">
        <v>34</v>
      </c>
      <c r="F57" s="20" t="s">
        <v>40</v>
      </c>
      <c r="G57" s="20" t="s">
        <v>41</v>
      </c>
      <c r="H57" s="20" t="s">
        <v>40</v>
      </c>
      <c r="I57" s="20" t="s">
        <v>42</v>
      </c>
      <c r="J57" s="20" t="s">
        <v>43</v>
      </c>
      <c r="K57" s="20" t="s">
        <v>42</v>
      </c>
      <c r="L57" s="137" t="s">
        <v>19</v>
      </c>
      <c r="N57" s="31"/>
      <c r="O57" s="134"/>
      <c r="P57" s="19"/>
      <c r="Q57" s="20" t="s">
        <v>39</v>
      </c>
      <c r="R57" s="20" t="s">
        <v>34</v>
      </c>
      <c r="S57" s="20" t="s">
        <v>40</v>
      </c>
      <c r="T57" s="20" t="s">
        <v>41</v>
      </c>
      <c r="U57" s="20" t="s">
        <v>40</v>
      </c>
      <c r="V57" s="20" t="s">
        <v>42</v>
      </c>
      <c r="W57" s="20" t="s">
        <v>43</v>
      </c>
      <c r="X57" s="20" t="s">
        <v>42</v>
      </c>
      <c r="Y57" s="137" t="s">
        <v>19</v>
      </c>
      <c r="Z57" s="31"/>
      <c r="AA57" s="31"/>
      <c r="AB57" s="31"/>
      <c r="AC57" s="31"/>
      <c r="AD57" s="31"/>
      <c r="AE57" s="31"/>
      <c r="AF57" s="31"/>
      <c r="AG57" s="31"/>
    </row>
    <row r="58" spans="1:33">
      <c r="B58" s="136" t="s">
        <v>44</v>
      </c>
      <c r="C58" s="20" t="s">
        <v>45</v>
      </c>
      <c r="D58" s="20" t="s">
        <v>45</v>
      </c>
      <c r="E58" s="262" t="s">
        <v>205</v>
      </c>
      <c r="F58" s="20" t="s">
        <v>6</v>
      </c>
      <c r="G58" s="20" t="s">
        <v>46</v>
      </c>
      <c r="H58" s="20" t="s">
        <v>6</v>
      </c>
      <c r="I58" s="20" t="s">
        <v>47</v>
      </c>
      <c r="J58" s="20" t="s">
        <v>48</v>
      </c>
      <c r="K58" s="20" t="s">
        <v>43</v>
      </c>
      <c r="L58" s="137" t="s">
        <v>37</v>
      </c>
      <c r="N58" s="365"/>
      <c r="O58" s="136" t="s">
        <v>44</v>
      </c>
      <c r="P58" s="20" t="s">
        <v>45</v>
      </c>
      <c r="Q58" s="20" t="s">
        <v>45</v>
      </c>
      <c r="R58" s="262" t="s">
        <v>205</v>
      </c>
      <c r="S58" s="20" t="s">
        <v>6</v>
      </c>
      <c r="T58" s="20" t="s">
        <v>46</v>
      </c>
      <c r="U58" s="20" t="s">
        <v>6</v>
      </c>
      <c r="V58" s="20" t="s">
        <v>47</v>
      </c>
      <c r="W58" s="20" t="s">
        <v>48</v>
      </c>
      <c r="X58" s="20" t="s">
        <v>43</v>
      </c>
      <c r="Y58" s="137" t="s">
        <v>37</v>
      </c>
      <c r="Z58" s="31"/>
      <c r="AA58" s="31"/>
      <c r="AB58" s="31"/>
      <c r="AC58" s="31"/>
      <c r="AD58" s="31"/>
      <c r="AE58" s="31"/>
      <c r="AF58" s="31"/>
      <c r="AG58" s="31"/>
    </row>
    <row r="59" spans="1:33" ht="16.2">
      <c r="B59" s="140" t="s">
        <v>49</v>
      </c>
      <c r="C59" s="21" t="s">
        <v>50</v>
      </c>
      <c r="D59" s="21" t="s">
        <v>51</v>
      </c>
      <c r="E59" s="217" t="s">
        <v>151</v>
      </c>
      <c r="F59" s="21" t="s">
        <v>52</v>
      </c>
      <c r="G59" s="21" t="s">
        <v>53</v>
      </c>
      <c r="H59" s="21" t="s">
        <v>52</v>
      </c>
      <c r="I59" s="21" t="s">
        <v>54</v>
      </c>
      <c r="J59" s="21" t="s">
        <v>54</v>
      </c>
      <c r="K59" s="21" t="s">
        <v>54</v>
      </c>
      <c r="L59" s="141" t="s">
        <v>42</v>
      </c>
      <c r="N59" s="365"/>
      <c r="O59" s="140" t="s">
        <v>49</v>
      </c>
      <c r="P59" s="21" t="s">
        <v>50</v>
      </c>
      <c r="Q59" s="21" t="s">
        <v>51</v>
      </c>
      <c r="R59" s="217" t="s">
        <v>151</v>
      </c>
      <c r="S59" s="21" t="s">
        <v>52</v>
      </c>
      <c r="T59" s="21" t="s">
        <v>53</v>
      </c>
      <c r="U59" s="21" t="s">
        <v>52</v>
      </c>
      <c r="V59" s="21" t="s">
        <v>54</v>
      </c>
      <c r="W59" s="21" t="s">
        <v>54</v>
      </c>
      <c r="X59" s="21" t="s">
        <v>54</v>
      </c>
      <c r="Y59" s="141" t="s">
        <v>42</v>
      </c>
      <c r="Z59" s="31"/>
      <c r="AA59" s="31"/>
      <c r="AB59" s="31"/>
      <c r="AC59" s="31"/>
      <c r="AD59" s="31"/>
      <c r="AE59" s="31"/>
      <c r="AF59" s="31"/>
      <c r="AG59" s="31"/>
    </row>
    <row r="60" spans="1:33">
      <c r="B60" s="134"/>
      <c r="C60" s="19"/>
      <c r="D60" s="19"/>
      <c r="E60" s="19"/>
      <c r="F60" s="22" t="s">
        <v>35</v>
      </c>
      <c r="G60" s="22" t="s">
        <v>55</v>
      </c>
      <c r="H60" s="22" t="s">
        <v>34</v>
      </c>
      <c r="I60" s="19"/>
      <c r="J60" s="19"/>
      <c r="K60" s="19"/>
      <c r="L60" s="135"/>
      <c r="N60" s="365"/>
      <c r="O60" s="134"/>
      <c r="P60" s="19"/>
      <c r="Q60" s="19"/>
      <c r="R60" s="19"/>
      <c r="S60" s="22" t="s">
        <v>35</v>
      </c>
      <c r="T60" s="22" t="s">
        <v>55</v>
      </c>
      <c r="U60" s="22" t="s">
        <v>34</v>
      </c>
      <c r="V60" s="19"/>
      <c r="W60" s="19"/>
      <c r="X60" s="19"/>
      <c r="Y60" s="135"/>
      <c r="Z60" s="31"/>
      <c r="AA60" s="31"/>
      <c r="AB60" s="31"/>
      <c r="AC60" s="31"/>
      <c r="AD60" s="31"/>
      <c r="AE60" s="31"/>
      <c r="AF60" s="31"/>
      <c r="AG60" s="31"/>
    </row>
    <row r="61" spans="1:33">
      <c r="B61" s="134"/>
      <c r="C61" s="19"/>
      <c r="D61" s="19"/>
      <c r="E61" s="19"/>
      <c r="F61" s="261" t="s">
        <v>182</v>
      </c>
      <c r="G61" s="22" t="s">
        <v>56</v>
      </c>
      <c r="H61" s="261" t="s">
        <v>182</v>
      </c>
      <c r="I61" s="19"/>
      <c r="J61" s="22"/>
      <c r="K61" s="22" t="s">
        <v>57</v>
      </c>
      <c r="L61" s="135"/>
      <c r="N61" s="365"/>
      <c r="O61" s="134"/>
      <c r="P61" s="19"/>
      <c r="Q61" s="19"/>
      <c r="R61" s="19"/>
      <c r="S61" s="261" t="s">
        <v>182</v>
      </c>
      <c r="T61" s="22" t="s">
        <v>56</v>
      </c>
      <c r="U61" s="261" t="s">
        <v>182</v>
      </c>
      <c r="V61" s="19"/>
      <c r="W61" s="22"/>
      <c r="X61" s="22" t="s">
        <v>57</v>
      </c>
      <c r="Y61" s="135"/>
      <c r="Z61" s="31"/>
      <c r="AA61" s="31"/>
      <c r="AB61" s="31"/>
      <c r="AC61" s="31"/>
      <c r="AD61" s="31"/>
      <c r="AE61" s="31"/>
      <c r="AF61" s="31"/>
      <c r="AG61" s="31"/>
    </row>
    <row r="62" spans="1:33" ht="16.2">
      <c r="B62" s="142"/>
      <c r="C62" s="23"/>
      <c r="D62" s="23"/>
      <c r="E62" s="23"/>
      <c r="F62" s="319" t="s">
        <v>227</v>
      </c>
      <c r="G62" s="24" t="s">
        <v>58</v>
      </c>
      <c r="H62" s="319" t="s">
        <v>227</v>
      </c>
      <c r="I62" s="24" t="s">
        <v>59</v>
      </c>
      <c r="J62" s="24" t="s">
        <v>60</v>
      </c>
      <c r="K62" s="24" t="s">
        <v>61</v>
      </c>
      <c r="L62" s="141" t="s">
        <v>62</v>
      </c>
      <c r="N62" s="365"/>
      <c r="O62" s="142"/>
      <c r="P62" s="23"/>
      <c r="Q62" s="23"/>
      <c r="R62" s="23"/>
      <c r="S62" s="319" t="s">
        <v>227</v>
      </c>
      <c r="T62" s="24" t="s">
        <v>58</v>
      </c>
      <c r="U62" s="319" t="s">
        <v>227</v>
      </c>
      <c r="V62" s="24" t="s">
        <v>59</v>
      </c>
      <c r="W62" s="24" t="s">
        <v>60</v>
      </c>
      <c r="X62" s="24" t="s">
        <v>61</v>
      </c>
      <c r="Y62" s="141" t="s">
        <v>62</v>
      </c>
      <c r="Z62" s="31"/>
      <c r="AA62" s="31"/>
      <c r="AB62" s="31"/>
      <c r="AC62" s="31"/>
      <c r="AD62" s="31"/>
      <c r="AE62" s="31"/>
      <c r="AF62" s="31"/>
      <c r="AG62" s="31"/>
    </row>
    <row r="63" spans="1:33">
      <c r="B63" s="138"/>
      <c r="C63" s="17"/>
      <c r="D63" s="17"/>
      <c r="E63" s="17"/>
      <c r="F63" s="17"/>
      <c r="G63" s="17"/>
      <c r="H63" s="17"/>
      <c r="I63" s="17"/>
      <c r="J63" s="17"/>
      <c r="K63" s="17"/>
      <c r="L63" s="139"/>
      <c r="N63" s="31"/>
      <c r="O63" s="138"/>
      <c r="P63" s="17"/>
      <c r="Q63" s="17"/>
      <c r="R63" s="17"/>
      <c r="S63" s="17"/>
      <c r="T63" s="17"/>
      <c r="U63" s="17"/>
      <c r="V63" s="17"/>
      <c r="W63" s="17"/>
      <c r="X63" s="17"/>
      <c r="Y63" s="139"/>
      <c r="Z63" s="31"/>
      <c r="AA63" s="31"/>
      <c r="AB63" s="31"/>
      <c r="AC63" s="31"/>
      <c r="AD63" s="31"/>
      <c r="AE63" s="31"/>
      <c r="AF63" s="31"/>
      <c r="AG63" s="31"/>
    </row>
    <row r="64" spans="1:33" ht="29.4" customHeight="1">
      <c r="B64" s="143">
        <v>1</v>
      </c>
      <c r="C64" s="366" t="s">
        <v>184</v>
      </c>
      <c r="D64" s="363"/>
      <c r="E64" s="32">
        <f>$E$17</f>
        <v>14292074</v>
      </c>
      <c r="F64" s="19"/>
      <c r="G64" s="19"/>
      <c r="H64" s="19"/>
      <c r="I64" s="19"/>
      <c r="J64" s="19"/>
      <c r="K64" s="19"/>
      <c r="L64" s="135"/>
      <c r="N64" s="31"/>
      <c r="O64" s="143">
        <v>1</v>
      </c>
      <c r="P64" s="366" t="s">
        <v>184</v>
      </c>
      <c r="Q64" s="363"/>
      <c r="R64" s="32">
        <f>$R$17</f>
        <v>1370201</v>
      </c>
      <c r="S64" s="19"/>
      <c r="T64" s="19"/>
      <c r="U64" s="19"/>
      <c r="V64" s="19"/>
      <c r="W64" s="19"/>
      <c r="X64" s="19"/>
      <c r="Y64" s="135"/>
      <c r="Z64" s="31"/>
      <c r="AA64" s="31"/>
      <c r="AB64" s="31"/>
      <c r="AC64" s="31"/>
      <c r="AD64" s="31"/>
      <c r="AE64" s="31"/>
      <c r="AF64" s="31"/>
      <c r="AG64" s="31"/>
    </row>
    <row r="65" spans="1:98">
      <c r="B65" s="136"/>
      <c r="C65" s="19"/>
      <c r="D65" s="19"/>
      <c r="E65" s="19"/>
      <c r="F65" s="19"/>
      <c r="G65" s="19"/>
      <c r="H65" s="19"/>
      <c r="I65" s="19"/>
      <c r="J65" s="19"/>
      <c r="K65" s="19"/>
      <c r="L65" s="135"/>
      <c r="N65" s="193"/>
      <c r="O65" s="136"/>
      <c r="P65" s="19"/>
      <c r="Q65" s="19"/>
      <c r="R65" s="19"/>
      <c r="S65" s="19"/>
      <c r="T65" s="19"/>
      <c r="U65" s="19"/>
      <c r="V65" s="19"/>
      <c r="W65" s="19"/>
      <c r="X65" s="19"/>
      <c r="Y65" s="135"/>
      <c r="Z65" s="31"/>
      <c r="AA65" s="31"/>
      <c r="AB65" s="31"/>
      <c r="AC65" s="31"/>
      <c r="AD65" s="31"/>
      <c r="AE65" s="31"/>
      <c r="AF65" s="31"/>
      <c r="AG65" s="31"/>
    </row>
    <row r="66" spans="1:98">
      <c r="B66" s="136" t="s">
        <v>64</v>
      </c>
      <c r="C66" s="25" t="str">
        <f>C19</f>
        <v>NERC Facility Ratings Alert - Medium Priority</v>
      </c>
      <c r="D66" s="188" t="str">
        <f>D19</f>
        <v>4293 - AC</v>
      </c>
      <c r="E66" s="26"/>
      <c r="F66" s="29">
        <f>ROUND((F19*'2016 TU'!$F$29)+(F44*'2016 TU'!$F$33),0)</f>
        <v>3494918</v>
      </c>
      <c r="G66" s="26">
        <f>IF(F66=0,0,ROUND($E$64*(F66/$F$69),0))</f>
        <v>4076483</v>
      </c>
      <c r="H66" s="29">
        <f>ROUND((H19*'2016 TU'!$F$29)+(H44*'2016 TU'!$F$33),0)</f>
        <v>3499062</v>
      </c>
      <c r="I66" s="27">
        <f>ROUND(+H66-G66,0)</f>
        <v>-577421</v>
      </c>
      <c r="J66" s="126">
        <f>+$J$71</f>
        <v>2.921E-3</v>
      </c>
      <c r="K66" s="27">
        <f>ROUND((I66*J66)*24,0)</f>
        <v>-40480</v>
      </c>
      <c r="L66" s="144">
        <f>ROUND(+I66+K66,0)</f>
        <v>-617901</v>
      </c>
      <c r="N66" s="194"/>
      <c r="O66" s="136" t="s">
        <v>64</v>
      </c>
      <c r="P66" s="25" t="str">
        <f>P19</f>
        <v>NERC Facility Ratings Alert - Medium Priority</v>
      </c>
      <c r="Q66" s="188" t="str">
        <f>Q19</f>
        <v>4293 - AC</v>
      </c>
      <c r="R66" s="26"/>
      <c r="S66" s="29">
        <f>ROUND((S19*'2016 TU'!$F$29)+(S44*'2016 TU'!$F$33),0)</f>
        <v>1389065</v>
      </c>
      <c r="T66" s="26">
        <f>IF(S66=0,0,ROUND($R$64*(S66/$S$69),0))</f>
        <v>1370201</v>
      </c>
      <c r="U66" s="29">
        <f>ROUND((U19*'2016 TU'!$F$29)+(U44*'2016 TU'!$F$33),0)</f>
        <v>1449579</v>
      </c>
      <c r="V66" s="27">
        <f>ROUND(+U66-T66,0)</f>
        <v>79378</v>
      </c>
      <c r="W66" s="126">
        <f>+$W$71</f>
        <v>1.5169999999999999E-3</v>
      </c>
      <c r="X66" s="27">
        <f>ROUND((V66*W66)*24,0)</f>
        <v>2890</v>
      </c>
      <c r="Y66" s="144">
        <f>ROUND(+V66+X66,0)</f>
        <v>82268</v>
      </c>
      <c r="Z66" s="31"/>
      <c r="AA66" s="31"/>
      <c r="AB66" s="31"/>
      <c r="AC66" s="31"/>
      <c r="AD66" s="31"/>
      <c r="AE66" s="31"/>
      <c r="AF66" s="31"/>
      <c r="AG66" s="31"/>
    </row>
    <row r="67" spans="1:98">
      <c r="B67" s="136" t="s">
        <v>65</v>
      </c>
      <c r="C67" s="25" t="str">
        <f>C20</f>
        <v>NERC Facility Ratings Alert - Low Priority</v>
      </c>
      <c r="D67" s="188" t="str">
        <f>D20</f>
        <v>4294 - AC</v>
      </c>
      <c r="E67" s="26"/>
      <c r="F67" s="29">
        <f>ROUND((F20*'2016 TU'!$F$29)+(F45*'2016 TU'!$F$33),0)</f>
        <v>8758200</v>
      </c>
      <c r="G67" s="26">
        <f>IF(F67=0,0,ROUND($E$64*(F67/$F$69),0))</f>
        <v>10215591</v>
      </c>
      <c r="H67" s="29">
        <f>ROUND((H20*'2016 TU'!$F$29)+(H45*'2016 TU'!$F$33),0)</f>
        <v>6274086</v>
      </c>
      <c r="I67" s="27">
        <f>ROUND(+H67-G67,0)</f>
        <v>-3941505</v>
      </c>
      <c r="J67" s="126">
        <f>+$J$71</f>
        <v>2.921E-3</v>
      </c>
      <c r="K67" s="27">
        <f>ROUND((I67*J67)*24,0)</f>
        <v>-276315</v>
      </c>
      <c r="L67" s="144">
        <f>ROUND(+I67+K67,0)</f>
        <v>-4217820</v>
      </c>
      <c r="N67" s="194"/>
      <c r="O67" s="136"/>
      <c r="P67" s="125"/>
      <c r="Q67" s="188"/>
      <c r="R67" s="26"/>
      <c r="S67" s="29"/>
      <c r="T67" s="26"/>
      <c r="U67" s="29"/>
      <c r="V67" s="27"/>
      <c r="W67" s="126"/>
      <c r="X67" s="27"/>
      <c r="Y67" s="144"/>
      <c r="Z67" s="31"/>
      <c r="AA67" s="31"/>
      <c r="AB67" s="31"/>
      <c r="AC67" s="31"/>
      <c r="AD67" s="31"/>
      <c r="AE67" s="31"/>
      <c r="AF67" s="31"/>
      <c r="AG67" s="31"/>
    </row>
    <row r="68" spans="1:98">
      <c r="A68" s="30"/>
      <c r="B68" s="306"/>
      <c r="C68" s="307"/>
      <c r="D68" s="308"/>
      <c r="E68" s="285"/>
      <c r="F68" s="309"/>
      <c r="G68" s="310"/>
      <c r="H68" s="309"/>
      <c r="I68" s="311"/>
      <c r="J68" s="312"/>
      <c r="K68" s="311"/>
      <c r="L68" s="313"/>
      <c r="M68" s="30"/>
      <c r="N68" s="194"/>
      <c r="O68" s="306"/>
      <c r="P68" s="307"/>
      <c r="Q68" s="308"/>
      <c r="R68" s="285"/>
      <c r="S68" s="309"/>
      <c r="T68" s="310"/>
      <c r="U68" s="309"/>
      <c r="V68" s="311"/>
      <c r="W68" s="312"/>
      <c r="X68" s="311"/>
      <c r="Y68" s="313"/>
      <c r="Z68" s="31"/>
      <c r="AA68" s="31"/>
      <c r="AB68" s="31"/>
      <c r="AC68" s="31"/>
      <c r="AD68" s="31"/>
      <c r="AE68" s="31"/>
      <c r="AF68" s="31"/>
      <c r="AG68" s="31"/>
    </row>
    <row r="69" spans="1:98">
      <c r="B69" s="136">
        <v>3</v>
      </c>
      <c r="C69" s="19" t="s">
        <v>67</v>
      </c>
      <c r="D69" s="19"/>
      <c r="E69" s="147"/>
      <c r="F69" s="147">
        <f>SUM(F66:F68)</f>
        <v>12253118</v>
      </c>
      <c r="G69" s="147">
        <f>SUM(G66:G68)</f>
        <v>14292074</v>
      </c>
      <c r="H69" s="147">
        <f>SUM(H66:H68)</f>
        <v>9773148</v>
      </c>
      <c r="I69" s="147"/>
      <c r="J69" s="19"/>
      <c r="K69" s="19"/>
      <c r="L69" s="135"/>
      <c r="N69" s="31"/>
      <c r="O69" s="136">
        <v>3</v>
      </c>
      <c r="P69" s="19" t="s">
        <v>67</v>
      </c>
      <c r="Q69" s="19"/>
      <c r="R69" s="147"/>
      <c r="S69" s="147">
        <f>SUM(S66:S68)</f>
        <v>1389065</v>
      </c>
      <c r="T69" s="147">
        <f>SUM(T66:T68)</f>
        <v>1370201</v>
      </c>
      <c r="U69" s="147">
        <f>SUM(U66:U68)</f>
        <v>1449579</v>
      </c>
      <c r="V69" s="147"/>
      <c r="W69" s="19"/>
      <c r="X69" s="19"/>
      <c r="Y69" s="135"/>
      <c r="Z69" s="31"/>
      <c r="AA69" s="31"/>
      <c r="AB69" s="31"/>
      <c r="AC69" s="31"/>
      <c r="AD69" s="31"/>
      <c r="AE69" s="31"/>
      <c r="AF69" s="31"/>
      <c r="AG69" s="31"/>
    </row>
    <row r="70" spans="1:98" ht="15.6">
      <c r="B70" s="136">
        <v>4</v>
      </c>
      <c r="C70" s="19" t="s">
        <v>68</v>
      </c>
      <c r="D70" s="19"/>
      <c r="E70" s="19"/>
      <c r="F70" s="19"/>
      <c r="G70" s="19"/>
      <c r="H70" s="19"/>
      <c r="I70" s="147">
        <f>SUM(I66:I68)</f>
        <v>-4518926</v>
      </c>
      <c r="J70" s="19"/>
      <c r="K70" s="147">
        <f>SUM(K66:K68)</f>
        <v>-316795</v>
      </c>
      <c r="L70" s="241">
        <f>SUM(L66:L68)</f>
        <v>-4835721</v>
      </c>
      <c r="N70" s="32"/>
      <c r="O70" s="136">
        <v>4</v>
      </c>
      <c r="P70" s="19" t="s">
        <v>68</v>
      </c>
      <c r="Q70" s="19"/>
      <c r="R70" s="19"/>
      <c r="S70" s="19"/>
      <c r="T70" s="19"/>
      <c r="U70" s="19"/>
      <c r="V70" s="147">
        <f>SUM(V66:V68)</f>
        <v>79378</v>
      </c>
      <c r="W70" s="19"/>
      <c r="X70" s="147">
        <f>SUM(X66:X68)</f>
        <v>2890</v>
      </c>
      <c r="Y70" s="241">
        <f>SUM(Y66:Y68)</f>
        <v>82268</v>
      </c>
      <c r="Z70" s="31"/>
      <c r="AA70" s="31"/>
      <c r="AB70" s="31"/>
      <c r="AC70" s="31"/>
      <c r="AD70" s="31"/>
      <c r="AE70" s="31"/>
      <c r="AF70" s="31"/>
      <c r="AG70" s="31"/>
    </row>
    <row r="71" spans="1:98" ht="15" thickBot="1">
      <c r="B71" s="162">
        <v>5</v>
      </c>
      <c r="C71" s="165" t="s">
        <v>69</v>
      </c>
      <c r="D71" s="152"/>
      <c r="E71" s="152"/>
      <c r="F71" s="166"/>
      <c r="G71" s="152"/>
      <c r="H71" s="152"/>
      <c r="I71" s="152"/>
      <c r="J71" s="107">
        <f>IF(I70&gt;0,'2016 TU'!$C$10,'2016 TU'!$C$9)</f>
        <v>2.921E-3</v>
      </c>
      <c r="K71" s="152"/>
      <c r="L71" s="153"/>
      <c r="N71" s="31"/>
      <c r="O71" s="162">
        <v>5</v>
      </c>
      <c r="P71" s="165" t="s">
        <v>69</v>
      </c>
      <c r="Q71" s="152"/>
      <c r="R71" s="152"/>
      <c r="S71" s="166"/>
      <c r="T71" s="152"/>
      <c r="U71" s="152"/>
      <c r="V71" s="152"/>
      <c r="W71" s="107">
        <f>IF(V70&gt;0,'2016 TU'!$C$10,'2016 TU'!$C$9)</f>
        <v>1.5169999999999999E-3</v>
      </c>
      <c r="X71" s="152"/>
      <c r="Y71" s="153"/>
      <c r="Z71" s="31"/>
      <c r="AA71" s="31"/>
      <c r="AB71" s="31"/>
      <c r="AC71" s="31"/>
      <c r="AD71" s="31"/>
      <c r="AE71" s="31"/>
      <c r="AF71" s="31"/>
      <c r="AG71" s="31"/>
    </row>
    <row r="72" spans="1:98"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98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</row>
    <row r="74" spans="1:98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</row>
    <row r="75" spans="1:98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</row>
    <row r="76" spans="1:98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</row>
    <row r="77" spans="1:98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</row>
    <row r="78" spans="1:98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</row>
    <row r="79" spans="1:98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</row>
    <row r="80" spans="1:98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</row>
    <row r="81" spans="2:98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</row>
    <row r="82" spans="2:98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</row>
    <row r="83" spans="2:98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</row>
    <row r="84" spans="2:98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</row>
    <row r="85" spans="2:98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</row>
    <row r="86" spans="2:98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</row>
    <row r="87" spans="2:9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</row>
    <row r="88" spans="2:9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</row>
    <row r="89" spans="2:98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</row>
    <row r="90" spans="2:98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</row>
    <row r="91" spans="2:98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</row>
    <row r="92" spans="2:98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</row>
    <row r="93" spans="2:98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</row>
    <row r="94" spans="2:98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</row>
    <row r="95" spans="2:98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</row>
    <row r="96" spans="2:98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</row>
    <row r="97" spans="2:98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</row>
    <row r="98" spans="2:98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</row>
    <row r="99" spans="2:98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</row>
    <row r="100" spans="2:98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</row>
    <row r="101" spans="2:98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</row>
    <row r="102" spans="2:98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</row>
    <row r="103" spans="2:98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</row>
    <row r="104" spans="2:98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</row>
    <row r="105" spans="2:98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</row>
    <row r="106" spans="2:98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</row>
    <row r="107" spans="2:98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</row>
    <row r="108" spans="2:98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</row>
    <row r="109" spans="2:98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</row>
    <row r="110" spans="2:98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</row>
    <row r="111" spans="2:98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</row>
    <row r="112" spans="2:98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</row>
    <row r="113" spans="2:98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</row>
    <row r="114" spans="2:98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</row>
    <row r="115" spans="2:98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</row>
    <row r="116" spans="2:98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</row>
    <row r="117" spans="2:98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</row>
    <row r="118" spans="2:98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</row>
    <row r="119" spans="2:98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</row>
    <row r="120" spans="2:98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</row>
    <row r="121" spans="2:98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</row>
    <row r="122" spans="2:98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</row>
    <row r="123" spans="2:98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</row>
    <row r="124" spans="2:98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</row>
    <row r="125" spans="2:98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</row>
    <row r="126" spans="2:98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</row>
    <row r="127" spans="2:98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</row>
    <row r="128" spans="2:98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</row>
    <row r="129" spans="2:98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</row>
    <row r="130" spans="2:98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</row>
    <row r="131" spans="2:98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</row>
    <row r="132" spans="2:98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</row>
    <row r="133" spans="2:98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</row>
    <row r="134" spans="2:98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</row>
    <row r="135" spans="2:98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</row>
    <row r="136" spans="2:98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</row>
    <row r="137" spans="2:98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</row>
    <row r="138" spans="2:98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</row>
    <row r="139" spans="2:98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</row>
    <row r="140" spans="2:98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</row>
    <row r="141" spans="2:98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</row>
    <row r="142" spans="2:98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</row>
    <row r="143" spans="2:98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</row>
    <row r="144" spans="2:98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</row>
    <row r="145" spans="2:98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</row>
    <row r="146" spans="2:98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</row>
    <row r="147" spans="2:98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</row>
    <row r="148" spans="2:98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</row>
    <row r="149" spans="2:98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</row>
    <row r="150" spans="2:98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</row>
    <row r="151" spans="2:98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</row>
    <row r="152" spans="2:98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</row>
    <row r="153" spans="2:98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</row>
    <row r="154" spans="2:98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</row>
    <row r="155" spans="2:98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</row>
    <row r="156" spans="2:98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</row>
    <row r="157" spans="2:98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</row>
    <row r="158" spans="2:98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</row>
    <row r="159" spans="2:98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</row>
    <row r="160" spans="2:98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</row>
    <row r="161" spans="2:98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</row>
    <row r="162" spans="2:98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</row>
    <row r="163" spans="2:98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</row>
    <row r="164" spans="2:98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</row>
    <row r="165" spans="2:98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</row>
    <row r="166" spans="2:98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</row>
    <row r="167" spans="2:98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</row>
    <row r="168" spans="2:98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</row>
    <row r="169" spans="2:98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</row>
    <row r="170" spans="2:98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</row>
    <row r="171" spans="2:98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</row>
    <row r="172" spans="2:98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</row>
    <row r="173" spans="2:98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</row>
    <row r="174" spans="2:98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</row>
    <row r="175" spans="2:98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</row>
    <row r="176" spans="2:98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</row>
    <row r="177" spans="2:98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</row>
    <row r="178" spans="2:98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</row>
    <row r="179" spans="2:98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</row>
    <row r="180" spans="2:98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</row>
    <row r="181" spans="2:98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</row>
    <row r="182" spans="2:98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</row>
    <row r="183" spans="2:98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</row>
    <row r="184" spans="2:98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</row>
    <row r="185" spans="2:98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</row>
    <row r="186" spans="2:98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</row>
    <row r="187" spans="2:98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</row>
    <row r="188" spans="2:98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</row>
    <row r="189" spans="2:98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</row>
    <row r="190" spans="2:98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</row>
    <row r="191" spans="2:98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</row>
    <row r="192" spans="2:98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</row>
    <row r="193" spans="2:98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</row>
    <row r="194" spans="2:98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</row>
    <row r="195" spans="2:98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</row>
    <row r="196" spans="2:98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</row>
    <row r="197" spans="2:98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</row>
    <row r="198" spans="2:98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</row>
    <row r="199" spans="2:98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</row>
    <row r="200" spans="2:98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</row>
    <row r="201" spans="2:98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</row>
    <row r="202" spans="2:98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</row>
    <row r="203" spans="2:98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</row>
    <row r="204" spans="2:98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</row>
    <row r="205" spans="2:98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</row>
    <row r="206" spans="2:98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</row>
    <row r="207" spans="2:98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</row>
    <row r="208" spans="2:98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</row>
    <row r="209" spans="2:98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</row>
    <row r="210" spans="2:98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</row>
    <row r="211" spans="2:98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</row>
    <row r="212" spans="2:98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</row>
    <row r="213" spans="2:98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</row>
    <row r="214" spans="2:98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</row>
    <row r="215" spans="2:98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</row>
    <row r="216" spans="2:98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</row>
    <row r="217" spans="2:98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</row>
    <row r="218" spans="2:98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</row>
    <row r="219" spans="2:98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</row>
    <row r="220" spans="2:98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</row>
    <row r="221" spans="2:98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</row>
    <row r="222" spans="2:98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</row>
    <row r="223" spans="2:98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</row>
    <row r="224" spans="2:98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</row>
    <row r="225" spans="2:98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</row>
    <row r="226" spans="2:98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</row>
    <row r="227" spans="2:98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</row>
    <row r="228" spans="2:98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</row>
    <row r="229" spans="2:98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</row>
    <row r="230" spans="2:98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</row>
    <row r="231" spans="2:98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</row>
    <row r="232" spans="2:98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</row>
    <row r="233" spans="2:98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</row>
    <row r="234" spans="2:98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</row>
    <row r="235" spans="2:98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</row>
    <row r="236" spans="2:98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</row>
    <row r="237" spans="2:98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</row>
    <row r="238" spans="2:98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</row>
    <row r="239" spans="2:98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</row>
    <row r="240" spans="2:98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</row>
    <row r="241" spans="2:98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</row>
    <row r="242" spans="2:98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</row>
    <row r="243" spans="2:98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</row>
    <row r="244" spans="2:98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</row>
    <row r="245" spans="2:98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</row>
    <row r="246" spans="2:98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</row>
    <row r="247" spans="2:98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</row>
    <row r="248" spans="2:98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</row>
    <row r="249" spans="2:98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</row>
    <row r="250" spans="2:98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</row>
    <row r="251" spans="2:98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</row>
    <row r="252" spans="2:98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</row>
    <row r="253" spans="2:98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</row>
    <row r="254" spans="2:98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</row>
    <row r="255" spans="2:98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</row>
    <row r="256" spans="2:98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</row>
    <row r="257" spans="2:98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</row>
    <row r="258" spans="2:98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</row>
    <row r="259" spans="2:98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</row>
    <row r="260" spans="2:98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</row>
    <row r="261" spans="2:98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</row>
    <row r="262" spans="2:98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</row>
    <row r="263" spans="2:98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</row>
    <row r="264" spans="2:98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</row>
    <row r="265" spans="2:98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</row>
    <row r="266" spans="2:98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</row>
    <row r="267" spans="2:98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</row>
    <row r="268" spans="2:98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</row>
    <row r="269" spans="2:98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</row>
    <row r="270" spans="2:98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</row>
    <row r="271" spans="2:98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</row>
    <row r="272" spans="2:98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</row>
    <row r="273" spans="2:98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</row>
    <row r="274" spans="2:98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</row>
    <row r="275" spans="2:98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</row>
    <row r="276" spans="2:98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</row>
    <row r="277" spans="2:98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</row>
    <row r="278" spans="2:98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</row>
    <row r="279" spans="2:98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</row>
    <row r="280" spans="2:98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</row>
    <row r="281" spans="2:98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</row>
    <row r="282" spans="2:98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</row>
    <row r="283" spans="2:98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</row>
    <row r="284" spans="2:98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</row>
    <row r="285" spans="2:98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</row>
    <row r="286" spans="2:98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</row>
    <row r="287" spans="2:98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</row>
    <row r="288" spans="2:98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</row>
    <row r="289" spans="2:98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</row>
    <row r="290" spans="2:98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</row>
    <row r="291" spans="2:98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</row>
    <row r="292" spans="2:98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</row>
    <row r="293" spans="2:98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</row>
    <row r="294" spans="2:98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</row>
    <row r="295" spans="2:98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</row>
    <row r="296" spans="2:98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</row>
    <row r="297" spans="2:98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</row>
    <row r="298" spans="2:98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</row>
    <row r="299" spans="2:98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</row>
    <row r="300" spans="2:98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</row>
    <row r="301" spans="2:98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</row>
    <row r="302" spans="2:98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</row>
    <row r="303" spans="2:98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</row>
    <row r="304" spans="2:98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</row>
    <row r="305" spans="2:98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</row>
    <row r="306" spans="2:98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</row>
    <row r="307" spans="2:98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</row>
    <row r="308" spans="2:98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</row>
    <row r="309" spans="2:98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</row>
    <row r="310" spans="2:98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</row>
    <row r="311" spans="2:98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</row>
    <row r="312" spans="2:98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</row>
    <row r="313" spans="2:98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</row>
    <row r="314" spans="2:98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</row>
    <row r="315" spans="2:98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</row>
    <row r="316" spans="2:98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</row>
    <row r="317" spans="2:98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</row>
    <row r="318" spans="2:98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</row>
    <row r="319" spans="2:98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</row>
    <row r="320" spans="2:98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</row>
    <row r="321" spans="2:98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</row>
    <row r="322" spans="2:98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</row>
    <row r="323" spans="2:98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</row>
    <row r="324" spans="2:98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</row>
    <row r="325" spans="2:98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</row>
    <row r="326" spans="2:98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</row>
    <row r="327" spans="2:98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</row>
    <row r="328" spans="2:98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</row>
    <row r="329" spans="2:98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</row>
    <row r="330" spans="2:98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</row>
    <row r="331" spans="2:98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</row>
    <row r="332" spans="2:98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</row>
    <row r="333" spans="2:98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</row>
    <row r="334" spans="2:98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</row>
    <row r="335" spans="2:98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</row>
    <row r="336" spans="2:98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</row>
    <row r="337" spans="2:98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</row>
    <row r="338" spans="2:98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</row>
    <row r="339" spans="2:98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</row>
    <row r="340" spans="2:98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</row>
    <row r="341" spans="2:98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</row>
    <row r="342" spans="2:98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</row>
    <row r="343" spans="2:98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</row>
    <row r="344" spans="2:98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</row>
    <row r="345" spans="2:98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</row>
    <row r="346" spans="2:98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</row>
    <row r="347" spans="2:98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</row>
    <row r="348" spans="2:98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</row>
    <row r="349" spans="2:98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</row>
    <row r="350" spans="2:98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</row>
    <row r="351" spans="2:98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</row>
    <row r="352" spans="2:98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</row>
    <row r="353" spans="2:98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</row>
    <row r="354" spans="2:98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</row>
    <row r="355" spans="2:98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</row>
    <row r="356" spans="2:98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</row>
    <row r="357" spans="2:98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</row>
    <row r="358" spans="2:98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</row>
    <row r="359" spans="2:98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</row>
    <row r="360" spans="2:98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</row>
    <row r="361" spans="2:98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</row>
    <row r="362" spans="2:98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</row>
    <row r="363" spans="2:98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</row>
    <row r="364" spans="2:98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</row>
    <row r="365" spans="2:98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</row>
    <row r="366" spans="2:98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</row>
    <row r="367" spans="2:98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</row>
    <row r="368" spans="2:98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</row>
    <row r="369" spans="2:98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</row>
    <row r="370" spans="2:98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</row>
    <row r="371" spans="2:98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</row>
    <row r="372" spans="2:98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</row>
    <row r="373" spans="2:98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</row>
    <row r="374" spans="2:98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</row>
    <row r="375" spans="2:98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</row>
    <row r="376" spans="2:98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</row>
    <row r="377" spans="2:98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</row>
    <row r="378" spans="2:98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</row>
    <row r="379" spans="2:98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</row>
    <row r="380" spans="2:98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</row>
    <row r="381" spans="2:98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</row>
    <row r="382" spans="2:98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</row>
    <row r="383" spans="2:98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</row>
    <row r="384" spans="2:98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</row>
    <row r="385" spans="2:98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</row>
    <row r="386" spans="2:98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</row>
    <row r="387" spans="2:98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</row>
    <row r="388" spans="2:98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</row>
    <row r="389" spans="2:98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</row>
    <row r="390" spans="2:98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</row>
    <row r="391" spans="2:98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</row>
    <row r="392" spans="2:98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</row>
    <row r="393" spans="2:98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</row>
    <row r="394" spans="2:98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</row>
    <row r="395" spans="2:98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</row>
    <row r="396" spans="2:98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</row>
    <row r="397" spans="2:98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</row>
    <row r="398" spans="2:98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</row>
    <row r="399" spans="2:98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</row>
    <row r="400" spans="2:98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</row>
    <row r="401" spans="2:98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</row>
    <row r="402" spans="2:98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</row>
    <row r="403" spans="2:98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</row>
    <row r="404" spans="2:98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</row>
    <row r="405" spans="2:98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</row>
    <row r="406" spans="2:98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</row>
    <row r="407" spans="2:98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</row>
    <row r="408" spans="2:98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</row>
    <row r="409" spans="2:98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</row>
    <row r="410" spans="2:98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</row>
    <row r="411" spans="2:98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</row>
    <row r="412" spans="2:98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</row>
    <row r="413" spans="2:98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</row>
    <row r="414" spans="2:98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</row>
    <row r="415" spans="2:98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</row>
    <row r="416" spans="2:98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</row>
    <row r="417" spans="2:98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</row>
    <row r="418" spans="2:98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</row>
    <row r="419" spans="2:98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</row>
    <row r="420" spans="2:98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</row>
    <row r="421" spans="2:98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</row>
    <row r="422" spans="2:98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</row>
    <row r="423" spans="2:98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</row>
    <row r="424" spans="2:98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</row>
    <row r="425" spans="2:98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</row>
    <row r="426" spans="2:98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</row>
    <row r="427" spans="2:98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</row>
    <row r="428" spans="2:98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</row>
    <row r="429" spans="2:98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</row>
    <row r="430" spans="2:98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</row>
    <row r="431" spans="2:98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</row>
    <row r="432" spans="2:98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</row>
    <row r="433" spans="2:98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</row>
    <row r="434" spans="2:98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</row>
    <row r="435" spans="2:98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</row>
    <row r="436" spans="2:98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</row>
    <row r="437" spans="2:98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</row>
    <row r="438" spans="2:98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</row>
    <row r="439" spans="2:98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</row>
    <row r="440" spans="2:98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</row>
    <row r="441" spans="2:98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</row>
    <row r="442" spans="2:98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</row>
    <row r="443" spans="2:98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</row>
    <row r="444" spans="2:98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</row>
    <row r="445" spans="2:98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</row>
    <row r="446" spans="2:98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</row>
    <row r="447" spans="2:98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</row>
    <row r="448" spans="2:98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</row>
    <row r="449" spans="2:98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</row>
    <row r="450" spans="2:98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</row>
    <row r="451" spans="2:98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</row>
    <row r="452" spans="2:98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</row>
    <row r="453" spans="2:98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</row>
    <row r="454" spans="2:98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</row>
    <row r="455" spans="2:98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</row>
    <row r="456" spans="2:98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</row>
    <row r="457" spans="2:98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</row>
    <row r="458" spans="2:98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</row>
    <row r="459" spans="2:98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</row>
    <row r="460" spans="2:98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</row>
    <row r="461" spans="2:98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</row>
    <row r="462" spans="2:98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</row>
    <row r="463" spans="2:98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</row>
    <row r="464" spans="2:98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</row>
    <row r="465" spans="2:98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</row>
    <row r="466" spans="2:98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</row>
    <row r="467" spans="2:98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</row>
    <row r="468" spans="2:98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</row>
    <row r="469" spans="2:98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</row>
    <row r="470" spans="2:98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</row>
    <row r="471" spans="2:98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</row>
    <row r="472" spans="2:98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</row>
    <row r="473" spans="2:98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</row>
    <row r="474" spans="2:98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</row>
    <row r="475" spans="2:98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</row>
    <row r="476" spans="2:98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</row>
    <row r="477" spans="2:98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</row>
    <row r="478" spans="2:98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</row>
    <row r="479" spans="2:98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</row>
    <row r="480" spans="2:98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</row>
    <row r="481" spans="2:98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</row>
    <row r="482" spans="2:98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</row>
    <row r="483" spans="2:98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</row>
    <row r="484" spans="2:98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</row>
    <row r="485" spans="2:98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</row>
    <row r="486" spans="2:98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</row>
    <row r="487" spans="2:98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</row>
    <row r="488" spans="2:98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</row>
    <row r="489" spans="2:98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</row>
    <row r="490" spans="2:98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</row>
    <row r="491" spans="2:98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</row>
    <row r="492" spans="2:98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</row>
    <row r="493" spans="2:98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</row>
    <row r="494" spans="2:98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</row>
    <row r="495" spans="2:98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</row>
    <row r="496" spans="2:98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</row>
    <row r="497" spans="2:98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</row>
    <row r="498" spans="2:98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</row>
    <row r="499" spans="2:98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</row>
    <row r="500" spans="2:98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</row>
    <row r="501" spans="2:98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</row>
    <row r="502" spans="2:98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</row>
    <row r="503" spans="2:98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</row>
    <row r="504" spans="2:98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</row>
    <row r="505" spans="2:98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</row>
    <row r="506" spans="2:98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</row>
    <row r="507" spans="2:98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</row>
    <row r="508" spans="2:98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</row>
    <row r="509" spans="2:98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</row>
    <row r="510" spans="2:98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</row>
    <row r="511" spans="2:98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</row>
    <row r="512" spans="2:98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</row>
    <row r="513" spans="2:98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</row>
    <row r="514" spans="2:98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</row>
    <row r="515" spans="2:98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</row>
    <row r="516" spans="2:98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</row>
    <row r="517" spans="2:98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</row>
    <row r="518" spans="2:98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</row>
    <row r="519" spans="2:98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</row>
    <row r="520" spans="2:98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</row>
    <row r="521" spans="2:98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</row>
    <row r="522" spans="2:98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</row>
    <row r="523" spans="2:98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</row>
    <row r="524" spans="2:98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</row>
    <row r="525" spans="2:98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</row>
    <row r="526" spans="2:98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</row>
    <row r="527" spans="2:98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</row>
    <row r="528" spans="2:98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</row>
    <row r="529" spans="2:98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</row>
    <row r="530" spans="2:98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</row>
    <row r="531" spans="2:98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</row>
    <row r="532" spans="2:98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</row>
    <row r="533" spans="2:98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</row>
    <row r="534" spans="2:98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</row>
    <row r="535" spans="2:98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</row>
    <row r="536" spans="2:98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</row>
    <row r="537" spans="2:98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</row>
    <row r="538" spans="2:98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</row>
    <row r="539" spans="2:98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</row>
    <row r="540" spans="2:98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</row>
    <row r="541" spans="2:98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</row>
    <row r="542" spans="2:98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</row>
    <row r="543" spans="2:98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</row>
    <row r="544" spans="2:98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</row>
    <row r="545" spans="2:98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</row>
    <row r="546" spans="2:98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</row>
    <row r="547" spans="2:98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</row>
    <row r="548" spans="2:98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</row>
    <row r="549" spans="2:98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</row>
    <row r="550" spans="2:98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</row>
    <row r="551" spans="2:98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</row>
    <row r="552" spans="2:98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</row>
    <row r="553" spans="2:98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</row>
    <row r="554" spans="2:98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</row>
    <row r="555" spans="2:98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</row>
    <row r="556" spans="2:98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</row>
    <row r="557" spans="2:98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</row>
    <row r="558" spans="2:98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</row>
    <row r="559" spans="2:98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</row>
    <row r="560" spans="2:98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</row>
    <row r="561" spans="2:98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</row>
    <row r="562" spans="2:98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</row>
    <row r="563" spans="2:98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</row>
    <row r="564" spans="2:98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</row>
    <row r="565" spans="2:98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</row>
    <row r="566" spans="2:98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</row>
    <row r="567" spans="2:98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</row>
    <row r="568" spans="2:98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</row>
    <row r="569" spans="2:98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</row>
    <row r="570" spans="2:98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</row>
    <row r="571" spans="2:98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</row>
    <row r="572" spans="2:98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</row>
    <row r="573" spans="2:98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</row>
    <row r="574" spans="2:98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</row>
    <row r="575" spans="2:98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</row>
    <row r="576" spans="2:98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</row>
    <row r="577" spans="2:98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</row>
    <row r="578" spans="2:98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</row>
    <row r="579" spans="2:98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</row>
    <row r="580" spans="2:98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</row>
    <row r="581" spans="2:98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</row>
    <row r="582" spans="2:98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</row>
    <row r="583" spans="2:98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</row>
    <row r="584" spans="2:98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</row>
    <row r="585" spans="2:98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</row>
    <row r="586" spans="2:98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</row>
    <row r="587" spans="2:98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</row>
    <row r="588" spans="2:98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</row>
    <row r="589" spans="2:98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</row>
    <row r="590" spans="2:98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</row>
    <row r="591" spans="2:98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</row>
    <row r="592" spans="2:98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</row>
    <row r="593" spans="2:98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</row>
    <row r="594" spans="2:98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</row>
    <row r="595" spans="2:98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</row>
    <row r="596" spans="2:98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</row>
    <row r="597" spans="2:98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</row>
    <row r="598" spans="2:98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</row>
    <row r="599" spans="2:98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</row>
    <row r="600" spans="2:98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</row>
    <row r="601" spans="2:98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</row>
    <row r="602" spans="2:98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</row>
    <row r="603" spans="2:98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</row>
    <row r="604" spans="2:98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</row>
    <row r="605" spans="2:98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</row>
    <row r="606" spans="2:98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</row>
    <row r="607" spans="2:98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</row>
    <row r="608" spans="2:98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</row>
    <row r="609" spans="2:98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</row>
    <row r="610" spans="2:98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</row>
    <row r="611" spans="2:98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</row>
    <row r="612" spans="2:98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</row>
    <row r="613" spans="2:98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</row>
    <row r="614" spans="2:98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</row>
    <row r="615" spans="2:98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</row>
    <row r="616" spans="2:98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</row>
    <row r="617" spans="2:98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</row>
    <row r="618" spans="2:98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</row>
    <row r="619" spans="2:98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</row>
    <row r="620" spans="2:98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</row>
    <row r="621" spans="2:98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</row>
    <row r="622" spans="2:98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</row>
    <row r="623" spans="2:98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</row>
    <row r="624" spans="2:98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</row>
    <row r="625" spans="2:98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</row>
    <row r="626" spans="2:98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</row>
    <row r="627" spans="2:98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</row>
    <row r="628" spans="2:98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</row>
    <row r="629" spans="2:98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</row>
    <row r="630" spans="2:98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</row>
    <row r="631" spans="2:98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</row>
    <row r="632" spans="2:98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</row>
    <row r="633" spans="2:98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</row>
    <row r="634" spans="2:98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</row>
    <row r="635" spans="2:98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</row>
    <row r="636" spans="2:98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</row>
    <row r="637" spans="2:98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</row>
    <row r="638" spans="2:98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</row>
    <row r="639" spans="2:98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</row>
    <row r="640" spans="2:98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</row>
    <row r="641" spans="2:98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</row>
    <row r="642" spans="2:98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</row>
    <row r="643" spans="2:98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</row>
    <row r="644" spans="2:98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</row>
    <row r="645" spans="2:98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</row>
    <row r="646" spans="2:98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</row>
    <row r="647" spans="2:98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</row>
    <row r="648" spans="2:98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</row>
    <row r="649" spans="2:98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</row>
    <row r="650" spans="2:98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</row>
    <row r="651" spans="2:98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</row>
    <row r="652" spans="2:98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</row>
    <row r="653" spans="2:98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</row>
    <row r="654" spans="2:98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</row>
    <row r="655" spans="2:98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</row>
    <row r="656" spans="2:98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</row>
    <row r="657" spans="2:98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</row>
    <row r="658" spans="2:98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</row>
    <row r="659" spans="2:98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</row>
    <row r="660" spans="2:98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</row>
    <row r="661" spans="2:98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</row>
    <row r="662" spans="2:98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</row>
    <row r="663" spans="2:98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</row>
    <row r="664" spans="2:98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</row>
    <row r="665" spans="2:98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</row>
    <row r="666" spans="2:98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</row>
    <row r="667" spans="2:98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</row>
    <row r="668" spans="2:98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</row>
    <row r="669" spans="2:98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</row>
    <row r="670" spans="2:98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</row>
    <row r="671" spans="2:98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</row>
    <row r="672" spans="2:98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</row>
    <row r="673" spans="2:98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</row>
    <row r="674" spans="2:98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</row>
    <row r="675" spans="2:98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</row>
    <row r="676" spans="2:98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</row>
    <row r="677" spans="2:98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</row>
    <row r="678" spans="2:98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</row>
    <row r="679" spans="2:98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</row>
    <row r="680" spans="2:98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</row>
    <row r="681" spans="2:98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</row>
    <row r="682" spans="2:98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</row>
    <row r="683" spans="2:98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</row>
    <row r="684" spans="2:98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</row>
    <row r="685" spans="2:98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</row>
    <row r="686" spans="2:98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</row>
    <row r="687" spans="2:98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</row>
    <row r="688" spans="2:98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</row>
    <row r="689" spans="2:98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</row>
    <row r="690" spans="2:98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</row>
    <row r="691" spans="2:98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</row>
    <row r="692" spans="2:98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</row>
    <row r="693" spans="2:98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</row>
    <row r="694" spans="2:98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</row>
    <row r="695" spans="2:98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</row>
    <row r="696" spans="2:98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</row>
    <row r="697" spans="2:98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</row>
    <row r="698" spans="2:98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</row>
    <row r="699" spans="2:98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</row>
    <row r="700" spans="2:98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</row>
    <row r="701" spans="2:98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</row>
    <row r="702" spans="2:98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</row>
    <row r="703" spans="2:98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</row>
    <row r="704" spans="2:98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</row>
    <row r="705" spans="2:98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</row>
    <row r="706" spans="2:98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</row>
    <row r="707" spans="2:98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</row>
    <row r="708" spans="2:98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</row>
    <row r="709" spans="2:98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</row>
    <row r="710" spans="2:98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</row>
    <row r="711" spans="2:98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</row>
    <row r="712" spans="2:98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</row>
    <row r="713" spans="2:98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</row>
    <row r="714" spans="2:98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</row>
    <row r="715" spans="2:98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</row>
    <row r="716" spans="2:98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</row>
    <row r="717" spans="2:98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</row>
    <row r="718" spans="2:98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</row>
    <row r="719" spans="2:98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</row>
    <row r="720" spans="2:98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</row>
    <row r="721" spans="2:98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</row>
    <row r="722" spans="2:98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</row>
    <row r="723" spans="2:98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</row>
    <row r="724" spans="2:98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</row>
    <row r="725" spans="2:98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</row>
    <row r="726" spans="2:98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</row>
    <row r="727" spans="2:98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</row>
    <row r="728" spans="2:98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</row>
    <row r="729" spans="2:98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</row>
    <row r="730" spans="2:98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</row>
    <row r="731" spans="2:98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</row>
    <row r="732" spans="2:98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</row>
    <row r="733" spans="2:98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</row>
    <row r="734" spans="2:98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</row>
    <row r="735" spans="2:98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</row>
    <row r="736" spans="2:98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</row>
    <row r="737" spans="2:98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</row>
    <row r="738" spans="2:98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</row>
    <row r="739" spans="2:98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</row>
    <row r="740" spans="2:98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</row>
    <row r="741" spans="2:98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</row>
    <row r="742" spans="2:98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</row>
    <row r="743" spans="2:98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</row>
    <row r="744" spans="2:98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</row>
    <row r="745" spans="2:98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</row>
    <row r="746" spans="2:98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</row>
    <row r="747" spans="2:98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</row>
    <row r="748" spans="2:98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</row>
    <row r="749" spans="2:98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</row>
    <row r="750" spans="2:98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</row>
    <row r="751" spans="2:98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</row>
    <row r="752" spans="2:98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</row>
    <row r="753" spans="2:98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</row>
    <row r="754" spans="2:98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</row>
    <row r="755" spans="2:98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</row>
    <row r="756" spans="2:98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</row>
    <row r="757" spans="2:98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</row>
    <row r="758" spans="2:98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</row>
    <row r="759" spans="2:98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</row>
    <row r="760" spans="2:98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</row>
    <row r="761" spans="2:98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</row>
    <row r="762" spans="2:98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</row>
    <row r="763" spans="2:98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</row>
    <row r="764" spans="2:98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</row>
    <row r="765" spans="2:98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</row>
    <row r="766" spans="2:98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</row>
    <row r="767" spans="2:98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</row>
    <row r="768" spans="2:98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</row>
    <row r="769" spans="2:98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</row>
    <row r="770" spans="2:98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</row>
    <row r="771" spans="2:98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</row>
    <row r="772" spans="2:98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</row>
    <row r="773" spans="2:98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</row>
    <row r="774" spans="2:98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</row>
    <row r="775" spans="2:98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</row>
    <row r="776" spans="2:98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</row>
    <row r="777" spans="2:98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</row>
    <row r="778" spans="2:98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</row>
    <row r="779" spans="2:98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</row>
    <row r="780" spans="2:98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</row>
    <row r="781" spans="2:98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</row>
    <row r="782" spans="2:98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</row>
    <row r="783" spans="2:98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</row>
    <row r="784" spans="2:98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</row>
    <row r="785" spans="2:98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</row>
    <row r="786" spans="2:98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</row>
    <row r="787" spans="2:98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</row>
    <row r="788" spans="2:98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</row>
    <row r="789" spans="2:98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</row>
    <row r="790" spans="2:98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</row>
    <row r="791" spans="2:98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</row>
    <row r="792" spans="2:98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</row>
    <row r="793" spans="2:98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</row>
    <row r="794" spans="2:98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</row>
    <row r="795" spans="2:98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</row>
    <row r="796" spans="2:98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</row>
    <row r="797" spans="2:98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</row>
    <row r="798" spans="2:98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</row>
    <row r="799" spans="2:98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</row>
    <row r="800" spans="2:98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</row>
    <row r="801" spans="2:98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</row>
    <row r="802" spans="2:98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</row>
    <row r="803" spans="2:98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</row>
    <row r="804" spans="2:98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</row>
    <row r="805" spans="2:98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</row>
    <row r="806" spans="2:98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</row>
    <row r="807" spans="2:98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</row>
    <row r="808" spans="2:98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</row>
    <row r="809" spans="2:98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</row>
    <row r="810" spans="2:98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</row>
    <row r="811" spans="2:98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</row>
    <row r="812" spans="2:98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</row>
    <row r="813" spans="2:98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</row>
    <row r="814" spans="2:98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</row>
    <row r="815" spans="2:98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</row>
    <row r="816" spans="2:98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</row>
    <row r="817" spans="2:98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</row>
    <row r="818" spans="2:98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</row>
    <row r="819" spans="2:98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</row>
    <row r="820" spans="2:98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</row>
    <row r="821" spans="2:98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</row>
    <row r="822" spans="2:98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</row>
    <row r="823" spans="2:98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</row>
    <row r="824" spans="2:98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</row>
    <row r="825" spans="2:98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</row>
    <row r="826" spans="2:98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</row>
    <row r="827" spans="2:98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</row>
    <row r="828" spans="2:98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</row>
    <row r="829" spans="2:98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</row>
    <row r="830" spans="2:98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</row>
    <row r="831" spans="2:98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</row>
    <row r="832" spans="2:98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</row>
    <row r="833" spans="2:98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</row>
    <row r="834" spans="2:98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</row>
    <row r="835" spans="2:98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</row>
    <row r="836" spans="2:98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</row>
    <row r="837" spans="2:98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</row>
    <row r="838" spans="2:98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</row>
    <row r="839" spans="2:98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</row>
    <row r="840" spans="2:98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</row>
    <row r="841" spans="2:98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</row>
    <row r="842" spans="2:98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</row>
    <row r="843" spans="2:98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</row>
    <row r="844" spans="2:98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</row>
    <row r="845" spans="2:98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</row>
    <row r="846" spans="2:98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</row>
    <row r="847" spans="2:98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</row>
    <row r="848" spans="2:98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</row>
    <row r="849" spans="2:98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</row>
    <row r="850" spans="2:98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</row>
    <row r="851" spans="2:98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</row>
    <row r="852" spans="2:98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</row>
  </sheetData>
  <mergeCells count="9">
    <mergeCell ref="C64:D64"/>
    <mergeCell ref="P17:Q17"/>
    <mergeCell ref="P42:Q42"/>
    <mergeCell ref="P64:Q64"/>
    <mergeCell ref="N11:N15"/>
    <mergeCell ref="C17:D17"/>
    <mergeCell ref="N36:N40"/>
    <mergeCell ref="C42:D42"/>
    <mergeCell ref="N58:N62"/>
  </mergeCells>
  <pageMargins left="0.7" right="0.2" top="0.25" bottom="0.25" header="0.3" footer="0.3"/>
  <pageSetup scale="6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3" workbookViewId="0">
      <selection activeCell="F36" sqref="F36"/>
    </sheetView>
  </sheetViews>
  <sheetFormatPr defaultRowHeight="14.4"/>
  <cols>
    <col min="2" max="2" width="22" customWidth="1"/>
    <col min="4" max="5" width="11.6640625" customWidth="1"/>
    <col min="6" max="6" width="11.5546875" customWidth="1"/>
    <col min="7" max="7" width="10.109375" customWidth="1"/>
  </cols>
  <sheetData>
    <row r="1" spans="1:9">
      <c r="A1" s="181" t="s">
        <v>133</v>
      </c>
      <c r="B1" s="16"/>
      <c r="C1" s="16"/>
      <c r="D1" s="16"/>
      <c r="E1" s="16"/>
      <c r="F1" s="16"/>
      <c r="G1" s="16"/>
      <c r="H1" s="16"/>
      <c r="I1" s="16"/>
    </row>
    <row r="2" spans="1:9">
      <c r="A2" s="255" t="s">
        <v>170</v>
      </c>
      <c r="B2" s="16"/>
      <c r="C2" s="16"/>
      <c r="D2" s="16"/>
      <c r="E2" s="16"/>
      <c r="F2" s="16"/>
      <c r="G2" s="16"/>
      <c r="H2" s="16"/>
      <c r="I2" s="16"/>
    </row>
    <row r="3" spans="1:9">
      <c r="A3" s="181" t="s">
        <v>152</v>
      </c>
      <c r="B3" s="16"/>
      <c r="C3" s="16"/>
      <c r="D3" s="16"/>
      <c r="E3" s="16"/>
      <c r="F3" s="16"/>
      <c r="G3" s="16"/>
      <c r="H3" s="16"/>
      <c r="I3" s="16"/>
    </row>
    <row r="5" spans="1:9">
      <c r="A5" s="198" t="s">
        <v>162</v>
      </c>
    </row>
    <row r="6" spans="1:9">
      <c r="A6" s="226" t="s">
        <v>153</v>
      </c>
    </row>
    <row r="7" spans="1:9">
      <c r="A7" s="226" t="s">
        <v>165</v>
      </c>
    </row>
    <row r="8" spans="1:9">
      <c r="A8" s="248" t="s">
        <v>164</v>
      </c>
    </row>
    <row r="9" spans="1:9">
      <c r="A9" s="227" t="s">
        <v>154</v>
      </c>
    </row>
    <row r="10" spans="1:9">
      <c r="A10" s="228" t="s">
        <v>158</v>
      </c>
    </row>
    <row r="11" spans="1:9">
      <c r="A11" s="228"/>
    </row>
    <row r="12" spans="1:9" ht="15.6">
      <c r="A12" s="369" t="str">
        <f>'2016 TU'!A1</f>
        <v>ALLETE (MP)</v>
      </c>
      <c r="B12" s="369"/>
      <c r="C12" s="369"/>
      <c r="D12" s="369"/>
      <c r="E12" s="369"/>
      <c r="F12" s="369"/>
      <c r="G12" s="369"/>
    </row>
    <row r="13" spans="1:9" ht="15.6">
      <c r="A13" s="316"/>
      <c r="B13" s="316"/>
      <c r="C13" s="316"/>
      <c r="D13" s="316" t="s">
        <v>214</v>
      </c>
      <c r="E13" s="316"/>
      <c r="F13" s="316"/>
      <c r="G13" s="316"/>
    </row>
    <row r="14" spans="1:9">
      <c r="A14" s="229"/>
      <c r="D14" s="234" t="s">
        <v>155</v>
      </c>
      <c r="E14" s="198" t="s">
        <v>156</v>
      </c>
      <c r="G14" s="198" t="s">
        <v>156</v>
      </c>
    </row>
    <row r="15" spans="1:9" ht="16.2">
      <c r="D15" s="225" t="s">
        <v>160</v>
      </c>
      <c r="E15" s="225" t="s">
        <v>163</v>
      </c>
      <c r="F15" s="225" t="s">
        <v>157</v>
      </c>
      <c r="G15" s="243" t="s">
        <v>157</v>
      </c>
    </row>
    <row r="16" spans="1:9">
      <c r="A16">
        <v>1</v>
      </c>
      <c r="B16" s="230">
        <v>42370</v>
      </c>
      <c r="D16" s="231">
        <f>(1.125%+0.425%)/12</f>
        <v>1.2916666666666667E-3</v>
      </c>
      <c r="E16" s="232"/>
      <c r="F16" s="199">
        <v>2.7000000000000001E-3</v>
      </c>
    </row>
    <row r="17" spans="1:7">
      <c r="A17">
        <f>A16+1</f>
        <v>2</v>
      </c>
      <c r="B17" s="230">
        <v>42401</v>
      </c>
      <c r="D17" s="231">
        <f>(1.125%+0.4405%)/12</f>
        <v>1.3045833333333332E-3</v>
      </c>
      <c r="E17" s="232"/>
      <c r="F17" s="199">
        <v>2.7000000000000001E-3</v>
      </c>
    </row>
    <row r="18" spans="1:7">
      <c r="A18">
        <f t="shared" ref="A18:A34" si="0">A17+1</f>
        <v>3</v>
      </c>
      <c r="B18" s="230">
        <v>42430</v>
      </c>
      <c r="D18" s="231">
        <f>(1.125%+0.43725%)/12</f>
        <v>1.3018750000000001E-3</v>
      </c>
      <c r="E18" s="232"/>
      <c r="F18" s="199">
        <v>2.7000000000000001E-3</v>
      </c>
    </row>
    <row r="19" spans="1:7">
      <c r="A19">
        <f t="shared" si="0"/>
        <v>4</v>
      </c>
      <c r="B19" s="230">
        <v>42461</v>
      </c>
      <c r="D19" s="231">
        <f>(1.125%+0.43575%)/12</f>
        <v>1.3006249999999999E-3</v>
      </c>
      <c r="E19" s="232"/>
      <c r="F19" s="199">
        <v>2.8999999999999998E-3</v>
      </c>
    </row>
    <row r="20" spans="1:7">
      <c r="A20">
        <f t="shared" si="0"/>
        <v>5</v>
      </c>
      <c r="B20" s="230">
        <v>42491</v>
      </c>
      <c r="D20" s="231">
        <f>(1.125%+0.46885%)/12</f>
        <v>1.3282083333333334E-3</v>
      </c>
      <c r="E20" s="232"/>
      <c r="F20" s="199">
        <v>2.8999999999999998E-3</v>
      </c>
    </row>
    <row r="21" spans="1:7">
      <c r="A21">
        <f t="shared" si="0"/>
        <v>6</v>
      </c>
      <c r="B21" s="230">
        <v>42522</v>
      </c>
      <c r="D21" s="231">
        <f>(1.125%+0.46505%)/12</f>
        <v>1.3250416666666664E-3</v>
      </c>
      <c r="E21" s="232"/>
      <c r="F21" s="199">
        <v>2.8999999999999998E-3</v>
      </c>
    </row>
    <row r="22" spans="1:7">
      <c r="A22">
        <f t="shared" si="0"/>
        <v>7</v>
      </c>
      <c r="B22" s="230">
        <v>42552</v>
      </c>
      <c r="D22" s="231">
        <f>(1.125%+0.4959%)/12</f>
        <v>1.3507500000000002E-3</v>
      </c>
      <c r="E22" s="232"/>
      <c r="F22" s="199">
        <v>2.8999999999999998E-3</v>
      </c>
      <c r="G22" s="233"/>
    </row>
    <row r="23" spans="1:7">
      <c r="A23">
        <f t="shared" si="0"/>
        <v>8</v>
      </c>
      <c r="B23" s="230">
        <v>42583</v>
      </c>
      <c r="D23" s="231">
        <f>(1.125%+0.52489%)/12</f>
        <v>1.3749083333333334E-3</v>
      </c>
      <c r="E23" s="232"/>
      <c r="F23" s="199">
        <v>2.8999999999999998E-3</v>
      </c>
      <c r="G23" s="233"/>
    </row>
    <row r="24" spans="1:7">
      <c r="A24">
        <f t="shared" si="0"/>
        <v>9</v>
      </c>
      <c r="B24" s="230">
        <v>42614</v>
      </c>
      <c r="D24" s="231">
        <f>(1.125%+0.53111%)/12</f>
        <v>1.3800916666666665E-3</v>
      </c>
      <c r="E24" s="232"/>
      <c r="F24" s="199">
        <v>2.8999999999999998E-3</v>
      </c>
      <c r="G24" s="233"/>
    </row>
    <row r="25" spans="1:7">
      <c r="A25">
        <f t="shared" si="0"/>
        <v>10</v>
      </c>
      <c r="B25" s="230">
        <v>42644</v>
      </c>
      <c r="D25" s="231">
        <f>(1.125%+0.53378%)/12</f>
        <v>1.3823166666666667E-3</v>
      </c>
      <c r="E25" s="232"/>
      <c r="F25" s="199">
        <v>2.8999999999999998E-3</v>
      </c>
      <c r="G25" s="233"/>
    </row>
    <row r="26" spans="1:7">
      <c r="A26">
        <f t="shared" si="0"/>
        <v>11</v>
      </c>
      <c r="B26" s="230">
        <v>42675</v>
      </c>
      <c r="D26" s="231">
        <f>(1.125%+0.62367%)/12</f>
        <v>1.4572250000000001E-3</v>
      </c>
      <c r="E26" s="232"/>
      <c r="F26" s="199">
        <v>2.8999999999999998E-3</v>
      </c>
      <c r="G26" s="233"/>
    </row>
    <row r="27" spans="1:7">
      <c r="A27">
        <f t="shared" si="0"/>
        <v>12</v>
      </c>
      <c r="B27" s="230">
        <v>42705</v>
      </c>
      <c r="D27" s="231">
        <f>(1.125%+0.77167%)/12</f>
        <v>1.5805583333333333E-3</v>
      </c>
      <c r="E27" s="232"/>
      <c r="F27" s="199">
        <v>2.8999999999999998E-3</v>
      </c>
      <c r="G27" s="233"/>
    </row>
    <row r="28" spans="1:7">
      <c r="A28">
        <f t="shared" si="0"/>
        <v>13</v>
      </c>
      <c r="B28" s="230">
        <v>42736</v>
      </c>
      <c r="D28" s="231">
        <f>(1.125%+0.77944%)/12</f>
        <v>1.5870333333333332E-3</v>
      </c>
      <c r="E28" s="232"/>
      <c r="F28" s="199">
        <v>2.8999999999999998E-3</v>
      </c>
      <c r="G28" s="233"/>
    </row>
    <row r="29" spans="1:7">
      <c r="A29">
        <f t="shared" si="0"/>
        <v>14</v>
      </c>
      <c r="B29" s="230">
        <v>42767</v>
      </c>
      <c r="D29" s="231">
        <f>(1.125%+0.78889%)/12</f>
        <v>1.5949083333333333E-3</v>
      </c>
      <c r="E29" s="232"/>
      <c r="F29" s="199">
        <v>2.8999999999999998E-3</v>
      </c>
      <c r="G29" s="233"/>
    </row>
    <row r="30" spans="1:7">
      <c r="A30">
        <f t="shared" si="0"/>
        <v>15</v>
      </c>
      <c r="B30" s="230">
        <v>42795</v>
      </c>
      <c r="D30" s="231">
        <f>(1.125%+0.98278%)/12</f>
        <v>1.7564833333333335E-3</v>
      </c>
      <c r="E30" s="232"/>
      <c r="F30" s="199">
        <v>2.8999999999999998E-3</v>
      </c>
      <c r="G30" s="233"/>
    </row>
    <row r="31" spans="1:7">
      <c r="A31">
        <f t="shared" si="0"/>
        <v>16</v>
      </c>
      <c r="B31" s="230">
        <v>42826</v>
      </c>
      <c r="D31" s="231">
        <f>(1.125%+0.995%)/12</f>
        <v>1.7666666666666666E-3</v>
      </c>
      <c r="E31" s="232"/>
      <c r="F31" s="199">
        <v>3.0999999999999999E-3</v>
      </c>
      <c r="G31" s="233"/>
    </row>
    <row r="32" spans="1:7">
      <c r="A32">
        <f t="shared" si="0"/>
        <v>17</v>
      </c>
      <c r="B32" s="230">
        <v>42856</v>
      </c>
      <c r="D32" s="231">
        <v>1.8211083333333333E-3</v>
      </c>
      <c r="E32" s="232"/>
      <c r="F32" s="199">
        <v>3.0999999999999999E-3</v>
      </c>
      <c r="G32" s="233"/>
    </row>
    <row r="33" spans="1:7">
      <c r="A33">
        <f t="shared" si="0"/>
        <v>18</v>
      </c>
      <c r="B33" s="230">
        <v>42887</v>
      </c>
      <c r="D33" s="231">
        <v>1.9574083333333335E-3</v>
      </c>
      <c r="E33" s="232"/>
      <c r="F33" s="199">
        <v>3.0999999999999999E-3</v>
      </c>
      <c r="G33" s="233"/>
    </row>
    <row r="34" spans="1:7">
      <c r="A34">
        <f t="shared" si="0"/>
        <v>19</v>
      </c>
      <c r="B34" s="230">
        <v>42917</v>
      </c>
      <c r="D34" s="231">
        <v>1.9638916666666665E-3</v>
      </c>
      <c r="E34" s="232"/>
      <c r="F34" s="199">
        <v>3.3E-3</v>
      </c>
    </row>
    <row r="35" spans="1:7" ht="15" thickBot="1">
      <c r="B35" s="230"/>
    </row>
    <row r="36" spans="1:7" ht="15" thickBot="1">
      <c r="C36" s="199"/>
      <c r="D36" s="244">
        <f>AVERAGE(D16:D34)</f>
        <v>1.5171236842105261E-3</v>
      </c>
      <c r="E36" s="247">
        <f>ROUND(D36*12,6)</f>
        <v>1.8204999999999999E-2</v>
      </c>
      <c r="F36" s="244">
        <f>AVERAGE(F16:F34)</f>
        <v>2.9210526315789466E-3</v>
      </c>
      <c r="G36" s="246">
        <f>ROUND(F36*12,6)</f>
        <v>3.5053000000000001E-2</v>
      </c>
    </row>
    <row r="38" spans="1:7" ht="16.2">
      <c r="B38" t="s">
        <v>159</v>
      </c>
    </row>
    <row r="42" spans="1:7">
      <c r="C42" s="233"/>
    </row>
    <row r="45" spans="1:7">
      <c r="A45" s="38"/>
      <c r="B45" s="40"/>
      <c r="C45" s="236"/>
      <c r="D45" s="40"/>
      <c r="E45" s="40"/>
      <c r="F45" s="38"/>
    </row>
    <row r="46" spans="1:7">
      <c r="A46" s="38"/>
      <c r="B46" s="40"/>
      <c r="C46" s="40"/>
      <c r="D46" s="40"/>
      <c r="E46" s="40"/>
      <c r="F46" s="38"/>
    </row>
    <row r="47" spans="1:7">
      <c r="A47" s="38"/>
      <c r="B47" s="367"/>
      <c r="C47" s="367"/>
      <c r="D47" s="237"/>
      <c r="E47" s="238"/>
      <c r="F47" s="38"/>
    </row>
    <row r="48" spans="1:7">
      <c r="A48" s="38"/>
      <c r="B48" s="367"/>
      <c r="C48" s="367"/>
      <c r="D48" s="237"/>
      <c r="E48" s="238"/>
      <c r="F48" s="38"/>
    </row>
    <row r="49" spans="1:6">
      <c r="A49" s="38"/>
      <c r="B49" s="239"/>
      <c r="C49" s="240"/>
      <c r="D49" s="239"/>
      <c r="E49" s="239"/>
      <c r="F49" s="38"/>
    </row>
    <row r="50" spans="1:6">
      <c r="A50" s="38"/>
      <c r="B50" s="239"/>
      <c r="C50" s="239"/>
      <c r="D50" s="239"/>
      <c r="E50" s="239"/>
      <c r="F50" s="38"/>
    </row>
    <row r="51" spans="1:6">
      <c r="A51" s="38"/>
      <c r="B51" s="239"/>
      <c r="C51" s="239"/>
      <c r="D51" s="239"/>
      <c r="E51" s="239"/>
      <c r="F51" s="38"/>
    </row>
    <row r="52" spans="1:6">
      <c r="A52" s="38"/>
      <c r="B52" s="239"/>
      <c r="C52" s="240"/>
      <c r="D52" s="239"/>
      <c r="E52" s="239"/>
      <c r="F52" s="38"/>
    </row>
    <row r="53" spans="1:6">
      <c r="A53" s="38"/>
      <c r="B53" s="239"/>
      <c r="C53" s="239"/>
      <c r="D53" s="239"/>
      <c r="E53" s="239"/>
      <c r="F53" s="38"/>
    </row>
    <row r="54" spans="1:6">
      <c r="A54" s="38"/>
      <c r="B54" s="239"/>
      <c r="C54" s="239"/>
      <c r="D54" s="239"/>
      <c r="E54" s="239"/>
      <c r="F54" s="38"/>
    </row>
    <row r="55" spans="1:6">
      <c r="A55" s="38"/>
      <c r="B55" s="239"/>
      <c r="C55" s="240"/>
      <c r="D55" s="239"/>
      <c r="E55" s="239"/>
      <c r="F55" s="38"/>
    </row>
    <row r="56" spans="1:6">
      <c r="A56" s="38"/>
      <c r="B56" s="239"/>
      <c r="C56" s="239"/>
      <c r="D56" s="239"/>
      <c r="E56" s="239"/>
      <c r="F56" s="38"/>
    </row>
    <row r="57" spans="1:6">
      <c r="A57" s="38"/>
      <c r="B57" s="239"/>
      <c r="C57" s="239"/>
      <c r="D57" s="239"/>
      <c r="E57" s="239"/>
      <c r="F57" s="38"/>
    </row>
    <row r="58" spans="1:6">
      <c r="A58" s="38"/>
      <c r="B58" s="239"/>
      <c r="C58" s="240"/>
      <c r="D58" s="239"/>
      <c r="E58" s="239"/>
      <c r="F58" s="38"/>
    </row>
    <row r="59" spans="1:6">
      <c r="A59" s="38"/>
      <c r="B59" s="239"/>
      <c r="C59" s="239"/>
      <c r="D59" s="239"/>
      <c r="E59" s="239"/>
      <c r="F59" s="38"/>
    </row>
    <row r="60" spans="1:6">
      <c r="A60" s="38"/>
      <c r="B60" s="239"/>
      <c r="C60" s="239"/>
      <c r="D60" s="239"/>
      <c r="E60" s="239"/>
      <c r="F60" s="38"/>
    </row>
    <row r="61" spans="1:6">
      <c r="A61" s="38"/>
      <c r="B61" s="239"/>
      <c r="C61" s="239"/>
      <c r="D61" s="239"/>
      <c r="E61" s="239"/>
      <c r="F61" s="38"/>
    </row>
    <row r="62" spans="1:6">
      <c r="A62" s="38"/>
      <c r="B62" s="239"/>
      <c r="C62" s="239"/>
      <c r="D62" s="239"/>
      <c r="E62" s="239"/>
      <c r="F62" s="38"/>
    </row>
    <row r="63" spans="1:6">
      <c r="A63" s="38"/>
      <c r="B63" s="239"/>
      <c r="C63" s="239"/>
      <c r="D63" s="239"/>
      <c r="E63" s="239"/>
      <c r="F63" s="38"/>
    </row>
    <row r="64" spans="1:6">
      <c r="A64" s="38"/>
      <c r="B64" s="239"/>
      <c r="C64" s="239"/>
      <c r="D64" s="239"/>
      <c r="E64" s="239"/>
      <c r="F64" s="38"/>
    </row>
    <row r="65" spans="1:6">
      <c r="A65" s="38"/>
      <c r="B65" s="239"/>
      <c r="C65" s="239"/>
      <c r="D65" s="239"/>
      <c r="E65" s="239"/>
      <c r="F65" s="38"/>
    </row>
    <row r="66" spans="1:6">
      <c r="A66" s="38"/>
      <c r="B66" s="239"/>
      <c r="C66" s="239"/>
      <c r="D66" s="239"/>
      <c r="E66" s="239"/>
      <c r="F66" s="38"/>
    </row>
    <row r="67" spans="1:6">
      <c r="A67" s="38"/>
      <c r="B67" s="368"/>
      <c r="C67" s="368"/>
      <c r="D67" s="368"/>
      <c r="E67" s="368"/>
      <c r="F67" s="38"/>
    </row>
  </sheetData>
  <mergeCells count="4">
    <mergeCell ref="B47:B48"/>
    <mergeCell ref="C47:C48"/>
    <mergeCell ref="B67:E67"/>
    <mergeCell ref="A12:G12"/>
  </mergeCells>
  <pageMargins left="0.7" right="0.7" top="0.75" bottom="0.75" header="0.3" footer="0.3"/>
  <pageSetup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B4" sqref="B4"/>
    </sheetView>
  </sheetViews>
  <sheetFormatPr defaultRowHeight="14.4"/>
  <cols>
    <col min="1" max="1" width="5.6640625" customWidth="1"/>
    <col min="2" max="3" width="12.6640625" customWidth="1"/>
    <col min="4" max="4" width="12.44140625" customWidth="1"/>
    <col min="5" max="5" width="12.5546875" customWidth="1"/>
    <col min="6" max="6" width="2.44140625" customWidth="1"/>
    <col min="10" max="10" width="9.44140625" customWidth="1"/>
    <col min="11" max="11" width="14.33203125" customWidth="1"/>
    <col min="12" max="12" width="15.6640625" customWidth="1"/>
    <col min="13" max="13" width="13.33203125" customWidth="1"/>
  </cols>
  <sheetData>
    <row r="1" spans="1:17" ht="18">
      <c r="A1" s="249" t="s">
        <v>166</v>
      </c>
      <c r="B1" s="249"/>
      <c r="C1" s="249"/>
      <c r="D1" s="249"/>
      <c r="E1" s="249"/>
      <c r="F1" s="249"/>
      <c r="G1" s="249"/>
      <c r="H1" s="249"/>
      <c r="I1" s="249"/>
    </row>
    <row r="2" spans="1:17">
      <c r="A2" s="250" t="s">
        <v>167</v>
      </c>
      <c r="B2" s="251"/>
      <c r="C2" s="249"/>
      <c r="D2" s="249"/>
      <c r="E2" s="249"/>
      <c r="F2" s="249"/>
      <c r="G2" s="249"/>
      <c r="H2" s="249"/>
      <c r="I2" s="249"/>
    </row>
    <row r="3" spans="1:17">
      <c r="A3" s="250" t="s">
        <v>168</v>
      </c>
      <c r="B3" s="249"/>
      <c r="C3" s="249"/>
      <c r="D3" s="249"/>
      <c r="E3" s="249"/>
      <c r="F3" s="249"/>
      <c r="G3" s="249"/>
      <c r="H3" s="249"/>
      <c r="I3" s="249"/>
    </row>
    <row r="4" spans="1:17">
      <c r="A4" s="250"/>
      <c r="B4" s="249"/>
      <c r="C4" s="249"/>
      <c r="D4" s="249"/>
      <c r="E4" s="249"/>
      <c r="F4" s="249"/>
      <c r="G4" s="249"/>
      <c r="H4" s="249"/>
      <c r="I4" s="249"/>
    </row>
    <row r="5" spans="1:17">
      <c r="A5" s="198" t="s">
        <v>128</v>
      </c>
      <c r="B5" s="198"/>
      <c r="C5" s="198"/>
    </row>
    <row r="6" spans="1:17">
      <c r="B6" s="198"/>
      <c r="C6" s="198"/>
      <c r="J6" s="371"/>
      <c r="K6" s="371"/>
      <c r="L6" s="371"/>
      <c r="M6" s="40"/>
      <c r="N6" s="40"/>
      <c r="O6" s="40"/>
      <c r="P6" s="40"/>
      <c r="Q6" s="40"/>
    </row>
    <row r="7" spans="1:17">
      <c r="B7" s="113" t="s">
        <v>129</v>
      </c>
      <c r="C7" s="113" t="s">
        <v>146</v>
      </c>
      <c r="D7" s="202" t="s">
        <v>126</v>
      </c>
      <c r="E7" s="202" t="s">
        <v>127</v>
      </c>
      <c r="J7" s="252"/>
      <c r="K7" s="252"/>
      <c r="L7" s="252"/>
      <c r="M7" s="252"/>
      <c r="N7" s="40"/>
      <c r="O7" s="40"/>
      <c r="P7" s="40"/>
      <c r="Q7" s="40"/>
    </row>
    <row r="8" spans="1:17">
      <c r="A8" s="201">
        <v>1</v>
      </c>
      <c r="B8" t="s">
        <v>107</v>
      </c>
      <c r="C8" t="s">
        <v>144</v>
      </c>
      <c r="D8" s="199">
        <v>0.12379999999999999</v>
      </c>
      <c r="E8" s="199">
        <v>0.1082</v>
      </c>
      <c r="J8" s="40"/>
      <c r="K8" s="40"/>
      <c r="L8" s="40"/>
      <c r="M8" s="40"/>
      <c r="N8" s="40"/>
      <c r="O8" s="40"/>
      <c r="P8" s="40"/>
      <c r="Q8" s="40"/>
    </row>
    <row r="9" spans="1:17">
      <c r="A9" s="201">
        <v>2</v>
      </c>
      <c r="B9" s="224" t="s">
        <v>108</v>
      </c>
      <c r="C9" t="s">
        <v>144</v>
      </c>
      <c r="D9" s="199">
        <v>0.12379999999999999</v>
      </c>
      <c r="E9" s="199">
        <v>0.1082</v>
      </c>
      <c r="J9" s="253"/>
      <c r="K9" s="253"/>
      <c r="L9" s="253"/>
      <c r="M9" s="253"/>
      <c r="N9" s="40"/>
      <c r="O9" s="253"/>
      <c r="P9" s="40"/>
      <c r="Q9" s="40"/>
    </row>
    <row r="10" spans="1:17">
      <c r="A10" s="201">
        <v>3</v>
      </c>
      <c r="B10" s="224" t="s">
        <v>109</v>
      </c>
      <c r="C10" t="s">
        <v>144</v>
      </c>
      <c r="D10" s="199">
        <v>0.12379999999999999</v>
      </c>
      <c r="E10" s="199">
        <v>0.1082</v>
      </c>
      <c r="J10" s="253"/>
      <c r="K10" s="253"/>
      <c r="L10" s="253"/>
      <c r="M10" s="253"/>
      <c r="N10" s="40"/>
      <c r="O10" s="253"/>
      <c r="P10" s="40"/>
      <c r="Q10" s="40"/>
    </row>
    <row r="11" spans="1:17">
      <c r="A11" s="201">
        <v>4</v>
      </c>
      <c r="B11" s="224" t="s">
        <v>110</v>
      </c>
      <c r="C11" t="s">
        <v>144</v>
      </c>
      <c r="D11" s="199">
        <v>0.122</v>
      </c>
      <c r="E11" s="199">
        <v>0.1082</v>
      </c>
      <c r="J11" s="253"/>
      <c r="K11" s="253"/>
      <c r="L11" s="253"/>
      <c r="M11" s="253"/>
      <c r="N11" s="40"/>
      <c r="O11" s="40"/>
      <c r="P11" s="40"/>
      <c r="Q11" s="40"/>
    </row>
    <row r="12" spans="1:17">
      <c r="A12" s="201"/>
      <c r="B12" s="211" t="s">
        <v>140</v>
      </c>
      <c r="C12" s="211" t="s">
        <v>144</v>
      </c>
      <c r="D12" s="199">
        <v>0.12379999999999999</v>
      </c>
      <c r="E12" s="199">
        <v>0.1082</v>
      </c>
      <c r="J12" s="253"/>
      <c r="K12" s="253"/>
      <c r="L12" s="253"/>
      <c r="M12" s="253"/>
      <c r="N12" s="40"/>
      <c r="O12" s="40"/>
      <c r="P12" s="40"/>
      <c r="Q12" s="40"/>
    </row>
    <row r="13" spans="1:17">
      <c r="A13" s="201">
        <v>5</v>
      </c>
      <c r="B13" t="s">
        <v>122</v>
      </c>
      <c r="C13" t="s">
        <v>144</v>
      </c>
      <c r="D13" s="199">
        <v>0.12379999999999999</v>
      </c>
      <c r="E13" s="199">
        <v>0.1082</v>
      </c>
      <c r="J13" s="253"/>
      <c r="K13" s="253"/>
      <c r="L13" s="253"/>
      <c r="M13" s="253"/>
      <c r="N13" s="40"/>
      <c r="O13" s="40"/>
      <c r="P13" s="40"/>
      <c r="Q13" s="40"/>
    </row>
    <row r="14" spans="1:17">
      <c r="A14" s="201">
        <v>6</v>
      </c>
      <c r="B14" t="s">
        <v>120</v>
      </c>
      <c r="C14" t="s">
        <v>144</v>
      </c>
      <c r="D14" s="199">
        <v>0.12379999999999999</v>
      </c>
      <c r="E14" s="200">
        <v>0.1032</v>
      </c>
      <c r="G14" t="s">
        <v>139</v>
      </c>
      <c r="J14" s="253"/>
      <c r="K14" s="253"/>
      <c r="L14" s="253"/>
      <c r="M14" s="253"/>
      <c r="N14" s="40"/>
      <c r="O14" s="253"/>
      <c r="P14" s="40"/>
      <c r="Q14" s="40"/>
    </row>
    <row r="15" spans="1:17">
      <c r="A15" s="201">
        <v>7</v>
      </c>
      <c r="B15" t="s">
        <v>118</v>
      </c>
      <c r="C15" t="s">
        <v>145</v>
      </c>
      <c r="D15" s="199">
        <v>0.12379999999999999</v>
      </c>
      <c r="E15" s="199">
        <v>0.1082</v>
      </c>
      <c r="J15" s="253"/>
      <c r="K15" s="253"/>
      <c r="L15" s="253"/>
      <c r="M15" s="253"/>
      <c r="N15" s="40"/>
      <c r="O15" s="253"/>
      <c r="P15" s="40"/>
      <c r="Q15" s="40"/>
    </row>
    <row r="16" spans="1:17">
      <c r="A16" s="201">
        <v>8</v>
      </c>
      <c r="B16" t="s">
        <v>111</v>
      </c>
      <c r="C16" t="s">
        <v>145</v>
      </c>
      <c r="D16" s="199">
        <v>0.13880000000000001</v>
      </c>
      <c r="E16" s="200">
        <v>0.1135</v>
      </c>
      <c r="J16" s="253"/>
      <c r="K16" s="253"/>
      <c r="L16" s="253"/>
      <c r="M16" s="253"/>
      <c r="N16" s="40"/>
      <c r="O16" s="40"/>
      <c r="P16" s="40"/>
      <c r="Q16" s="40"/>
    </row>
    <row r="17" spans="1:17">
      <c r="A17" s="201">
        <v>9</v>
      </c>
      <c r="B17" s="224" t="s">
        <v>112</v>
      </c>
      <c r="C17" t="s">
        <v>145</v>
      </c>
      <c r="D17" s="199">
        <v>0.12379999999999999</v>
      </c>
      <c r="E17" s="200">
        <v>0.1132</v>
      </c>
      <c r="J17" s="253"/>
      <c r="K17" s="253"/>
      <c r="L17" s="253"/>
      <c r="M17" s="253"/>
      <c r="N17" s="40"/>
      <c r="O17" s="40"/>
      <c r="P17" s="40"/>
      <c r="Q17" s="40"/>
    </row>
    <row r="18" spans="1:17">
      <c r="A18" s="201">
        <v>10</v>
      </c>
      <c r="B18" t="s">
        <v>119</v>
      </c>
      <c r="D18" s="199">
        <v>0.12379999999999999</v>
      </c>
      <c r="E18" s="199">
        <v>0.1082</v>
      </c>
      <c r="J18" s="253"/>
      <c r="K18" s="253"/>
      <c r="L18" s="253"/>
      <c r="M18" s="253"/>
      <c r="N18" s="40"/>
      <c r="O18" s="40"/>
      <c r="P18" s="40"/>
      <c r="Q18" s="40"/>
    </row>
    <row r="19" spans="1:17">
      <c r="A19" s="201">
        <v>11</v>
      </c>
      <c r="B19" t="s">
        <v>113</v>
      </c>
      <c r="C19" t="s">
        <v>145</v>
      </c>
      <c r="D19" s="199">
        <v>0.1338</v>
      </c>
      <c r="E19" s="200">
        <v>0.1135</v>
      </c>
      <c r="J19" s="253"/>
      <c r="K19" s="253"/>
      <c r="L19" s="253"/>
      <c r="M19" s="253"/>
      <c r="N19" s="40"/>
      <c r="O19" s="40"/>
      <c r="P19" s="40"/>
      <c r="Q19" s="40"/>
    </row>
    <row r="20" spans="1:17">
      <c r="A20" s="201">
        <v>12</v>
      </c>
      <c r="B20" t="s">
        <v>114</v>
      </c>
      <c r="C20" t="s">
        <v>144</v>
      </c>
      <c r="D20" s="199">
        <v>0.12379999999999999</v>
      </c>
      <c r="E20" s="199">
        <v>0.1082</v>
      </c>
      <c r="J20" s="253"/>
      <c r="K20" s="253"/>
      <c r="L20" s="253"/>
      <c r="M20" s="253"/>
      <c r="N20" s="40"/>
      <c r="O20" s="40"/>
      <c r="P20" s="40"/>
      <c r="Q20" s="40"/>
    </row>
    <row r="21" spans="1:17">
      <c r="A21" s="201">
        <v>13</v>
      </c>
      <c r="B21" t="s">
        <v>115</v>
      </c>
      <c r="C21" t="s">
        <v>144</v>
      </c>
      <c r="D21" s="199">
        <v>0.12379999999999999</v>
      </c>
      <c r="E21" s="199">
        <v>0.1082</v>
      </c>
      <c r="J21" s="253"/>
      <c r="K21" s="253"/>
      <c r="L21" s="253"/>
      <c r="M21" s="253"/>
      <c r="N21" s="40"/>
      <c r="O21" s="40"/>
      <c r="P21" s="40"/>
      <c r="Q21" s="40"/>
    </row>
    <row r="22" spans="1:17">
      <c r="A22" s="201">
        <v>14</v>
      </c>
      <c r="B22" t="s">
        <v>125</v>
      </c>
      <c r="C22" t="s">
        <v>144</v>
      </c>
      <c r="D22" s="199">
        <v>0.12379999999999999</v>
      </c>
      <c r="E22" s="200">
        <v>0.1032</v>
      </c>
      <c r="J22" s="253"/>
      <c r="K22" s="253"/>
      <c r="L22" s="253"/>
      <c r="M22" s="253"/>
      <c r="N22" s="40"/>
      <c r="O22" s="40"/>
      <c r="P22" s="40"/>
      <c r="Q22" s="40"/>
    </row>
    <row r="23" spans="1:17">
      <c r="A23" s="201">
        <v>15</v>
      </c>
      <c r="B23" t="s">
        <v>102</v>
      </c>
      <c r="C23" t="s">
        <v>144</v>
      </c>
      <c r="D23" s="199">
        <v>0.12379999999999999</v>
      </c>
      <c r="E23" s="199">
        <v>0.1082</v>
      </c>
      <c r="J23" s="253"/>
      <c r="K23" s="253"/>
      <c r="L23" s="253"/>
      <c r="M23" s="253"/>
      <c r="N23" s="40"/>
      <c r="O23" s="40"/>
      <c r="P23" s="40"/>
      <c r="Q23" s="40"/>
    </row>
    <row r="24" spans="1:17">
      <c r="A24" s="201">
        <v>16</v>
      </c>
      <c r="B24" t="s">
        <v>143</v>
      </c>
      <c r="C24" t="s">
        <v>145</v>
      </c>
      <c r="D24" s="199">
        <v>0.12379999999999999</v>
      </c>
      <c r="E24" s="199">
        <v>0.1082</v>
      </c>
      <c r="J24" s="253"/>
      <c r="K24" s="253"/>
      <c r="L24" s="253"/>
      <c r="M24" s="253"/>
      <c r="N24" s="40"/>
      <c r="O24" s="40"/>
      <c r="P24" s="40"/>
      <c r="Q24" s="40"/>
    </row>
    <row r="25" spans="1:17">
      <c r="A25" s="201">
        <v>17</v>
      </c>
      <c r="B25" t="s">
        <v>116</v>
      </c>
      <c r="C25" t="s">
        <v>144</v>
      </c>
      <c r="D25" s="199">
        <v>0.12379999999999999</v>
      </c>
      <c r="E25" s="199">
        <v>0.1082</v>
      </c>
      <c r="J25" s="253"/>
      <c r="K25" s="253"/>
      <c r="L25" s="253"/>
      <c r="M25" s="253"/>
      <c r="N25" s="40"/>
      <c r="O25" s="40"/>
      <c r="P25" s="40"/>
      <c r="Q25" s="40"/>
    </row>
    <row r="26" spans="1:17">
      <c r="A26" s="201">
        <v>18</v>
      </c>
      <c r="B26" s="224" t="s">
        <v>123</v>
      </c>
      <c r="C26" t="s">
        <v>144</v>
      </c>
      <c r="D26" s="199">
        <v>0.12379999999999999</v>
      </c>
      <c r="E26" s="199">
        <v>0.1082</v>
      </c>
      <c r="J26" s="253"/>
      <c r="K26" s="253"/>
      <c r="L26" s="253"/>
      <c r="M26" s="253"/>
      <c r="N26" s="40"/>
      <c r="O26" s="40"/>
      <c r="P26" s="40"/>
      <c r="Q26" s="40"/>
    </row>
    <row r="27" spans="1:17" ht="28.95" customHeight="1">
      <c r="A27" s="201">
        <v>19</v>
      </c>
      <c r="B27" t="s">
        <v>121</v>
      </c>
      <c r="D27" s="199">
        <v>0.12379999999999999</v>
      </c>
      <c r="E27" s="199">
        <v>0.1082</v>
      </c>
      <c r="G27" s="370" t="s">
        <v>130</v>
      </c>
      <c r="H27" s="370"/>
      <c r="I27" s="370"/>
      <c r="J27" s="253"/>
      <c r="K27" s="253"/>
      <c r="L27" s="253"/>
      <c r="M27" s="253"/>
      <c r="N27" s="40"/>
      <c r="O27" s="40"/>
      <c r="P27" s="40"/>
      <c r="Q27" s="40"/>
    </row>
    <row r="28" spans="1:17">
      <c r="A28" s="201">
        <v>20</v>
      </c>
      <c r="B28" t="s">
        <v>117</v>
      </c>
      <c r="D28" s="199">
        <v>0.12379999999999999</v>
      </c>
      <c r="E28" s="199">
        <v>0.1082</v>
      </c>
      <c r="J28" s="253"/>
      <c r="K28" s="253"/>
      <c r="L28" s="253"/>
      <c r="M28" s="253"/>
      <c r="N28" s="40"/>
      <c r="O28" s="40"/>
      <c r="P28" s="40"/>
      <c r="Q28" s="40"/>
    </row>
    <row r="29" spans="1:17">
      <c r="A29" s="201">
        <v>21</v>
      </c>
      <c r="B29" t="s">
        <v>124</v>
      </c>
      <c r="C29" t="s">
        <v>144</v>
      </c>
      <c r="D29" s="199">
        <v>0.12379999999999999</v>
      </c>
      <c r="E29" s="199">
        <v>0.1082</v>
      </c>
      <c r="J29" s="253"/>
      <c r="K29" s="253"/>
      <c r="L29" s="253"/>
      <c r="M29" s="253"/>
      <c r="N29" s="40"/>
      <c r="O29" s="40"/>
      <c r="P29" s="40"/>
      <c r="Q29" s="40"/>
    </row>
    <row r="31" spans="1:17">
      <c r="B31" s="198"/>
      <c r="C31" s="198"/>
    </row>
    <row r="32" spans="1:17">
      <c r="D32" s="199"/>
      <c r="E32" s="199"/>
    </row>
    <row r="33" spans="4:5">
      <c r="D33" s="199"/>
      <c r="E33" s="199"/>
    </row>
    <row r="34" spans="4:5">
      <c r="D34" s="199"/>
      <c r="E34" s="199"/>
    </row>
    <row r="35" spans="4:5">
      <c r="D35" s="199"/>
      <c r="E35" s="199"/>
    </row>
    <row r="36" spans="4:5">
      <c r="D36" s="199"/>
      <c r="E36" s="199"/>
    </row>
    <row r="37" spans="4:5">
      <c r="D37" s="199"/>
      <c r="E37" s="199"/>
    </row>
    <row r="38" spans="4:5">
      <c r="D38" s="199"/>
      <c r="E38" s="199"/>
    </row>
  </sheetData>
  <mergeCells count="2">
    <mergeCell ref="G27:I27"/>
    <mergeCell ref="J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2016 TU</vt:lpstr>
      <vt:lpstr>2016 GG TU Weighted ROE</vt:lpstr>
      <vt:lpstr>2016 ZZ TU Weighted ROE</vt:lpstr>
      <vt:lpstr>Interest Rates</vt:lpstr>
      <vt:lpstr>List of ROE by TO</vt:lpstr>
      <vt:lpstr>'2016 GG TU Weighted ROE'!Print_Area</vt:lpstr>
      <vt:lpstr>'2016 TU'!Print_Area</vt:lpstr>
      <vt:lpstr>'2016 ZZ TU Weighted ROE'!Print_Area</vt:lpstr>
      <vt:lpstr>'Interest Rates'!Print_Area</vt:lpstr>
      <vt:lpstr>'2016 TU'!Print_Titles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Gudeman, Greg M</dc:creator>
  <cp:lastModifiedBy>NewImage</cp:lastModifiedBy>
  <cp:lastPrinted>2017-05-02T16:57:02Z</cp:lastPrinted>
  <dcterms:created xsi:type="dcterms:W3CDTF">2016-12-15T18:01:36Z</dcterms:created>
  <dcterms:modified xsi:type="dcterms:W3CDTF">2017-09-14T18:03:51Z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