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115" windowWidth="23955" windowHeight="4905" activeTab="0"/>
  </bookViews>
  <sheets>
    <sheet name="MP Attach O" sheetId="1" r:id="rId1"/>
    <sheet name="MP Attach GG" sheetId="2" r:id="rId2"/>
  </sheets>
  <externalReferences>
    <externalReference r:id="rId5"/>
  </externalReferences>
  <definedNames>
    <definedName name="CH_COS" localSheetId="1">#REF!</definedName>
    <definedName name="CH_COS">#REF!</definedName>
    <definedName name="NSP_COS" localSheetId="1">#REF!</definedName>
    <definedName name="NSP_COS">#REF!</definedName>
    <definedName name="_xlnm.Print_Area" localSheetId="1">'MP Attach GG'!$A$1:$N$107</definedName>
    <definedName name="_xlnm.Print_Area" localSheetId="0">'MP Attach O'!$A$1:$P$389</definedName>
    <definedName name="Print1" localSheetId="1">#REF!</definedName>
    <definedName name="Print1">#REF!</definedName>
    <definedName name="Print3" localSheetId="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 localSheetId="1">#REF!</definedName>
    <definedName name="Xcel_COS">#REF!</definedName>
  </definedNames>
  <calcPr fullCalcOnLoad="1"/>
</workbook>
</file>

<file path=xl/sharedStrings.xml><?xml version="1.0" encoding="utf-8"?>
<sst xmlns="http://schemas.openxmlformats.org/spreadsheetml/2006/main" count="859" uniqueCount="570">
  <si>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</si>
  <si>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</si>
  <si>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</si>
  <si>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</si>
  <si>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</si>
  <si>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</si>
  <si>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</si>
  <si>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</si>
  <si>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</si>
  <si>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</si>
  <si>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</si>
  <si>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</si>
  <si>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</si>
  <si>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</si>
  <si>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</si>
  <si>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</si>
  <si>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</si>
  <si>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</si>
  <si>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</si>
  <si>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</si>
  <si>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</si>
  <si>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</si>
  <si>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</si>
  <si>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</si>
  <si>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</si>
  <si>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Page 1 of 6</t>
  </si>
  <si>
    <t xml:space="preserve">Formula Rate - Non-Levelized </t>
  </si>
  <si>
    <t xml:space="preserve"> Utilizing FERC Form 1 Data</t>
  </si>
  <si>
    <t>Allete, Inc. dba Minnesota Power</t>
  </si>
  <si>
    <t>AC Allocator</t>
  </si>
  <si>
    <t>AC System</t>
  </si>
  <si>
    <t>DC Allocator</t>
  </si>
  <si>
    <t>DC System</t>
  </si>
  <si>
    <t>Allocated</t>
  </si>
  <si>
    <t>Amount</t>
  </si>
  <si>
    <t>GROSS REVENUE REQUIREMENT    (page 3, line 31)</t>
  </si>
  <si>
    <t xml:space="preserve">REVENUE CREDITS </t>
  </si>
  <si>
    <t>(Note T)</t>
  </si>
  <si>
    <t>Total</t>
  </si>
  <si>
    <t xml:space="preserve">  Account No. 454</t>
  </si>
  <si>
    <t>(page 5, line 18)</t>
  </si>
  <si>
    <t>TP</t>
  </si>
  <si>
    <t>DA</t>
  </si>
  <si>
    <t xml:space="preserve">  Account No. 456.1</t>
  </si>
  <si>
    <t>(page 5, line 21)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</si>
  <si>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</si>
  <si>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</si>
  <si>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</si>
  <si>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</si>
  <si>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Historic Year Actual Revenue Requirements</t>
  </si>
  <si>
    <t>6b</t>
  </si>
  <si>
    <t>Historic Year Projected Revenue Requirements</t>
  </si>
  <si>
    <t>6c</t>
  </si>
  <si>
    <t>Historic Year True Up</t>
  </si>
  <si>
    <t>(Line 6a-Line 6b)</t>
  </si>
  <si>
    <t xml:space="preserve">6d </t>
  </si>
  <si>
    <t>Historic Year Actual Divisor</t>
  </si>
  <si>
    <t>6e</t>
  </si>
  <si>
    <t>Historic Year Projected Divisor</t>
  </si>
  <si>
    <t>6f</t>
  </si>
  <si>
    <t>Difference in Divisor</t>
  </si>
  <si>
    <t>(Line 6e-Line 6d)</t>
  </si>
  <si>
    <t>6g</t>
  </si>
  <si>
    <t>Historic Year Projected Annual Cost ($/KW/Yr)</t>
  </si>
  <si>
    <t>6h</t>
  </si>
  <si>
    <t>Historic Year Divisor True Up</t>
  </si>
  <si>
    <t>(Line 6f * Line 6g)</t>
  </si>
  <si>
    <t>6i</t>
  </si>
  <si>
    <t>Interest on Historic Year True Up</t>
  </si>
  <si>
    <t>NET REVENUE REQUIREMENT</t>
  </si>
  <si>
    <t>7a</t>
  </si>
  <si>
    <t>Revenue Requirements from Attachment N-1 Projects</t>
  </si>
  <si>
    <t>7b</t>
  </si>
  <si>
    <t>Adjusted NET REVENUE REQUIREMENTS  (line 7 minus line 7a)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</si>
  <si>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</si>
  <si>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</si>
  <si>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</si>
  <si>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</si>
  <si>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</si>
  <si>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</si>
  <si>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 xml:space="preserve">  Less 12 CP of firm P-T-P over one year (enter negative)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</si>
  <si>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</si>
  <si>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</si>
  <si>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</si>
  <si>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</si>
  <si>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</si>
  <si>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7b / line 15)</t>
  </si>
  <si>
    <t xml:space="preserve">Network &amp; P-to-P Rate ($/kW/Mo) </t>
  </si>
  <si>
    <t>(line 16 /12)</t>
  </si>
  <si>
    <t>Point-To-Point Rate ($/kW/Wk)</t>
  </si>
  <si>
    <t>(line 16 /52)</t>
  </si>
  <si>
    <t>Peak Rate</t>
  </si>
  <si>
    <t>Point-To-Point Rate ($/kW/Day)</t>
  </si>
  <si>
    <t>(line 16 / 260)</t>
  </si>
  <si>
    <t>Capped at weekly rate</t>
  </si>
  <si>
    <t>Point-To-Point Rate ($/MWh)</t>
  </si>
  <si>
    <t>(line 16/4160*1000)</t>
  </si>
  <si>
    <t>Capped at weekly</t>
  </si>
  <si>
    <t>and daily rates</t>
  </si>
  <si>
    <t>Off-Peak Rate</t>
  </si>
  <si>
    <t>(line 16/365)   (Note AA)</t>
  </si>
  <si>
    <t>(line 16 / 8760</t>
  </si>
  <si>
    <t xml:space="preserve"> times 1,000)    (Note AA)</t>
  </si>
  <si>
    <t>FERC Annual Charge($/MWh)</t>
  </si>
  <si>
    <t xml:space="preserve">          (Note E)</t>
  </si>
  <si>
    <t>Short Term</t>
  </si>
  <si>
    <t>Long Term</t>
  </si>
  <si>
    <t>Page 2 of 6</t>
  </si>
  <si>
    <t>(5)</t>
  </si>
  <si>
    <t>(6)</t>
  </si>
  <si>
    <t>(7)</t>
  </si>
  <si>
    <t>(8)</t>
  </si>
  <si>
    <t>(9)</t>
  </si>
  <si>
    <t>Form No. 1</t>
  </si>
  <si>
    <t>AC</t>
  </si>
  <si>
    <t>DC</t>
  </si>
  <si>
    <t>Company Total</t>
  </si>
  <si>
    <t xml:space="preserve">                  Allocator</t>
  </si>
  <si>
    <t>(Col 3 times Col 4)</t>
  </si>
  <si>
    <t>(Col 5 times Col 6)</t>
  </si>
  <si>
    <t>(Col 5 times Col 8)</t>
  </si>
  <si>
    <t>RATE BASE:</t>
  </si>
  <si>
    <t xml:space="preserve">  Production</t>
  </si>
  <si>
    <t>205.46.g             (Note AB)</t>
  </si>
  <si>
    <t>NA</t>
  </si>
  <si>
    <t xml:space="preserve">  Transmission</t>
  </si>
  <si>
    <t>207.58.g             (Note Y)  (Note AB)</t>
  </si>
  <si>
    <t xml:space="preserve">  Distribution</t>
  </si>
  <si>
    <t>207.75.g             (Note AB)</t>
  </si>
  <si>
    <t xml:space="preserve">  General &amp; Intangible</t>
  </si>
  <si>
    <t>205.5.g &amp; 207.99.g    (Note AB)</t>
  </si>
  <si>
    <t>W/S</t>
  </si>
  <si>
    <t>GrPlt  AC</t>
  </si>
  <si>
    <t>GrPlt DC</t>
  </si>
  <si>
    <t xml:space="preserve">  Common</t>
  </si>
  <si>
    <t>356.1                 (Note AB)</t>
  </si>
  <si>
    <t>CE</t>
  </si>
  <si>
    <t>TOTAL GROSS PLANT (sum lines 1-5)</t>
  </si>
  <si>
    <t>GP=</t>
  </si>
  <si>
    <t>219.20-24.c        (Note AB)</t>
  </si>
  <si>
    <t>219.25.c             (Note Y)  (Note AB)</t>
  </si>
  <si>
    <t>219.26.c             (Note AB)</t>
  </si>
  <si>
    <t>GrPlt AC</t>
  </si>
  <si>
    <t>TOTAL ACCUM. DEPRECIATION (sum lines 7-11)</t>
  </si>
  <si>
    <t>NET PLANT IN SERVICE</t>
  </si>
  <si>
    <t xml:space="preserve"> (line 1- line 7)          </t>
  </si>
  <si>
    <t xml:space="preserve"> (line 2- line 8)         </t>
  </si>
  <si>
    <t xml:space="preserve"> (line 3 - line 9)        </t>
  </si>
  <si>
    <t xml:space="preserve"> (line 4 - line 10)      </t>
  </si>
  <si>
    <t xml:space="preserve"> (line 5 - line 11)       </t>
  </si>
  <si>
    <t>TOTAL NET PLANT (sum lines 13-17)</t>
  </si>
  <si>
    <t>NP=</t>
  </si>
  <si>
    <t>ADJUSTMENTS TO RATE BASE       (Note F)</t>
  </si>
  <si>
    <t xml:space="preserve">  Account No. 281 (enter negative)</t>
  </si>
  <si>
    <t>273.8.k    (Note AC)</t>
  </si>
  <si>
    <t>zero</t>
  </si>
  <si>
    <t xml:space="preserve">  Account No. 282 (enter negative)</t>
  </si>
  <si>
    <t>275.2.k    (Note AC)</t>
  </si>
  <si>
    <t>NP</t>
  </si>
  <si>
    <t>NPlt AC</t>
  </si>
  <si>
    <t>NPlt DC</t>
  </si>
  <si>
    <t xml:space="preserve">  Account No. 283 (enter negative)</t>
  </si>
  <si>
    <t>277.9.k    (Note AC)</t>
  </si>
  <si>
    <t xml:space="preserve">  Account No. 190 </t>
  </si>
  <si>
    <t>234.8.c    (Note AC)</t>
  </si>
  <si>
    <t xml:space="preserve">  Account No. 255 (enter negative)</t>
  </si>
  <si>
    <t>267.8.h    (Note AC)</t>
  </si>
  <si>
    <t>TOTAL ADJUSTMENTS  (sum lines 19- 23)</t>
  </si>
  <si>
    <t xml:space="preserve">LAND HELD FOR FUTURE USE </t>
  </si>
  <si>
    <t>214.x.d  (Notes G ,Y and AC)</t>
  </si>
  <si>
    <t>WORKING CAPITAL  (Note H)</t>
  </si>
  <si>
    <t xml:space="preserve">  CWC  </t>
  </si>
  <si>
    <t>calculated</t>
  </si>
  <si>
    <t xml:space="preserve">  Materials &amp; Supplies  (Note G)</t>
  </si>
  <si>
    <t>227.8.c &amp; .16.c    (Note AC)</t>
  </si>
  <si>
    <t>TE</t>
  </si>
  <si>
    <t xml:space="preserve">  Prepayments (Account 165)</t>
  </si>
  <si>
    <t>111.57.c               (Note AC)</t>
  </si>
  <si>
    <t>GP</t>
  </si>
  <si>
    <t>TOTAL WORKING CAPITAL (sum lines 26 - 28)</t>
  </si>
  <si>
    <t>Page 3 of 6</t>
  </si>
  <si>
    <t xml:space="preserve">  Transmission </t>
  </si>
  <si>
    <t>321.112.b    (Note Y)</t>
  </si>
  <si>
    <t xml:space="preserve">     Less LSE Expenses included in Transmission O&amp;M Accounts (Notes V and Y)</t>
  </si>
  <si>
    <t xml:space="preserve">     Less Account 565</t>
  </si>
  <si>
    <t>321.96.b   (Note Y)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</si>
  <si>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</si>
  <si>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</si>
  <si>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</si>
  <si>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</si>
  <si>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</si>
  <si>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(Notes I and Y)</t>
  </si>
  <si>
    <t>356.1   (Note Y)</t>
  </si>
  <si>
    <t>TOTAL O&amp;M  (sum lines 1, 3, 5a, 6, 7 less lines 1a, 2, 4, 5)</t>
  </si>
  <si>
    <t>336.7.b             (Note Y and Z)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</si>
  <si>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</si>
  <si>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</si>
  <si>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</si>
  <si>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</si>
  <si>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</si>
  <si>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</si>
  <si>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</si>
  <si>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</si>
  <si>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</si>
  <si>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263.i       (Note Y)    </t>
  </si>
  <si>
    <t xml:space="preserve">         Gross Receipts</t>
  </si>
  <si>
    <t xml:space="preserve">263.i   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</si>
  <si>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</si>
  <si>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</si>
  <si>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</si>
  <si>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</si>
  <si>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</si>
  <si>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</si>
  <si>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</si>
  <si>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</si>
  <si>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5 , line 11) and R= (page 5, line 14)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</si>
  <si>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</si>
  <si>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</si>
  <si>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</si>
  <si>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</si>
  <si>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</si>
  <si>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(Note Y)</t>
  </si>
  <si>
    <t>(line 25 plus line 26)</t>
  </si>
  <si>
    <t xml:space="preserve">  [ Rate Base (page 2, line 30) * Rate of Return (page 5, line 14)]</t>
  </si>
  <si>
    <t>REV. REQUIREMENT  (sum lines 8, 12, 20, 27, 28)</t>
  </si>
  <si>
    <t>LESS ATTACHMENT GG ADJUSTMENT [Attachment GG, page 2, line 3, column 10]   (Note W)</t>
  </si>
  <si>
    <t>included in Attachment GG]</t>
  </si>
  <si>
    <t>REV. REQUIREMENT TO BE COLLECTED UNDER ATTACHMENT O</t>
  </si>
  <si>
    <t>Page 4 of 6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</si>
  <si>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</si>
  <si>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</si>
  <si>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</si>
  <si>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</si>
  <si>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</si>
  <si>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</si>
  <si>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</si>
  <si>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</si>
  <si>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>Total Allocated Transmission Plant ( page 2, line 2, Column 5)</t>
  </si>
  <si>
    <t>Amount Directly Assigned to the MP AC System (page 2, line 2, Column 7)</t>
  </si>
  <si>
    <t>GrPlt AC =</t>
  </si>
  <si>
    <t>Amount Directly Assigned to the MP DC System (page 2, line 2, Column 9)</t>
  </si>
  <si>
    <t>GrPlt DC=</t>
  </si>
  <si>
    <t>Total Allocated Net Transmission Plant ( page 2, line 18, Column 5)</t>
  </si>
  <si>
    <t>Amount Directly Assigned to the MP AC System (page 2, line 18, Column 7)</t>
  </si>
  <si>
    <t>NPlt AC =</t>
  </si>
  <si>
    <t>Amount Directly Assigned to the MP DC System (page 2, line 18 Column 9)</t>
  </si>
  <si>
    <t>NPlt DC=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</si>
  <si>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</si>
  <si>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</si>
  <si>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</si>
  <si>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Included transmission expenses (line 12 less line 13)</t>
  </si>
  <si>
    <t>Percentage of transmission expenses after adjustment (line 14 divided by line 12)</t>
  </si>
  <si>
    <t>Percentage of transmission plant included in ISO Rates (line 5)</t>
  </si>
  <si>
    <t>TE=</t>
  </si>
  <si>
    <t>WAGES &amp; SALARY ALLOCATOR   (W&amp;S)</t>
  </si>
  <si>
    <t>Form 1 Reference</t>
  </si>
  <si>
    <t>$</t>
  </si>
  <si>
    <t>Allocation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</si>
  <si>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</si>
  <si>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</si>
  <si>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</si>
  <si>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</si>
  <si>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</si>
  <si>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</si>
  <si>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</si>
  <si>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18-21)</t>
  </si>
  <si>
    <t>=</t>
  </si>
  <si>
    <t>=WS</t>
  </si>
  <si>
    <t>Please fill out info requested in the box below</t>
  </si>
  <si>
    <t>Acct 561.1 - 561.3, 561.BA included in Line 7</t>
  </si>
  <si>
    <t>Acct 561.BA for Schedule 24</t>
  </si>
  <si>
    <t>Page 5 of 6</t>
  </si>
  <si>
    <t>Acct 561.1 - 561.3 available for Schedule 1</t>
  </si>
  <si>
    <t>Revenue Credits for Sched 1 Acct 561.1 - 561.3</t>
  </si>
  <si>
    <t>transactions &lt;1 yr</t>
  </si>
  <si>
    <t>% Electric</t>
  </si>
  <si>
    <t>non-firm</t>
  </si>
  <si>
    <t>COMMON PLANT ALLOCATOR  (CE)   (Note O)</t>
  </si>
  <si>
    <t>(line 1 / line 4)</t>
  </si>
  <si>
    <t>(Page 4, line 22)</t>
  </si>
  <si>
    <t>transactions w/ load not in divisor</t>
  </si>
  <si>
    <t xml:space="preserve">  Electric</t>
  </si>
  <si>
    <t>200.3.c</t>
  </si>
  <si>
    <t>*</t>
  </si>
  <si>
    <t>total Revenue Credits</t>
  </si>
  <si>
    <t xml:space="preserve">  Gas</t>
  </si>
  <si>
    <t>201.3.d</t>
  </si>
  <si>
    <t>Net Schedule 1 Expenses (Acct 561.1-561.3 minus Credits)</t>
  </si>
  <si>
    <t xml:space="preserve">  Water</t>
  </si>
  <si>
    <t>201.3.e</t>
  </si>
  <si>
    <t xml:space="preserve">  Total  (sum lines 1-3)</t>
  </si>
  <si>
    <t>RETURN (R)</t>
  </si>
  <si>
    <t>Long Term Interest (117, sum of 62.c through 67.c)</t>
  </si>
  <si>
    <t>Preferred Dividends (118.29c) (positive number)</t>
  </si>
  <si>
    <t xml:space="preserve">                                          Development of Common Stock:</t>
  </si>
  <si>
    <t>Proprietary Capital (112.16.c)</t>
  </si>
  <si>
    <t xml:space="preserve">Less Preferred Stock (line 12) </t>
  </si>
  <si>
    <t>Less Account 216.1 (112.12.c)  (enter negative)</t>
  </si>
  <si>
    <t>Common Stock</t>
  </si>
  <si>
    <t>(sum lines 7-9)</t>
  </si>
  <si>
    <t>=WCLTD</t>
  </si>
  <si>
    <t>Cost</t>
  </si>
  <si>
    <t>%</t>
  </si>
  <si>
    <t>(Note P)</t>
  </si>
  <si>
    <t>Weighted</t>
  </si>
  <si>
    <t xml:space="preserve">  Long Term Debt (112, sum of  18.c through 21.c)</t>
  </si>
  <si>
    <t xml:space="preserve">  Preferred Stock  ( 112.3.c)</t>
  </si>
  <si>
    <t xml:space="preserve">  Common Stock  (line 10)</t>
  </si>
  <si>
    <t>Total  (sum lines 11-13)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</si>
  <si>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</si>
  <si>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</si>
  <si>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</si>
  <si>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</si>
  <si>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</si>
  <si>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</si>
  <si>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</si>
  <si>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</si>
  <si>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</si>
  <si>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</si>
  <si>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</si>
  <si>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</si>
  <si>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</si>
  <si>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</si>
  <si>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20a</t>
  </si>
  <si>
    <t>Page 6 of 6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</si>
  <si>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</si>
  <si>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</si>
  <si>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 xml:space="preserve">The FERC's annual charges for the year assessed the Transmission Owner for service under this tariff. 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</si>
  <si>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</si>
  <si>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</si>
  <si>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</si>
  <si>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</si>
  <si>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</si>
  <si>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</si>
  <si>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</si>
  <si>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</si>
  <si>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</si>
  <si>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</si>
  <si>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</si>
  <si>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</si>
  <si>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</si>
  <si>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</si>
  <si>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</si>
  <si>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</si>
  <si>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</si>
  <si>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</si>
  <si>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</si>
  <si>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</si>
  <si>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</si>
  <si>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</si>
  <si>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>FIT =</t>
  </si>
  <si>
    <t xml:space="preserve">         Inputs Required: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</si>
  <si>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</si>
  <si>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</si>
  <si>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</si>
  <si>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</si>
  <si>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</si>
  <si>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</si>
  <si>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</si>
  <si>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</si>
  <si>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</si>
  <si>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</si>
  <si>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</si>
  <si>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</si>
  <si>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</si>
  <si>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</si>
  <si>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</si>
  <si>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</si>
  <si>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</si>
  <si>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</si>
  <si>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</si>
  <si>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</si>
  <si>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</si>
  <si>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</si>
  <si>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</si>
  <si>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</si>
  <si>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</si>
  <si>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</si>
  <si>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</si>
  <si>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</si>
  <si>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</si>
  <si>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</si>
  <si>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</si>
  <si>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The ISO will report separately revenue derived from the AC system from revenue derived from the DC system thus allowing for Direct Assigment of those revenue credits.</t>
  </si>
  <si>
    <t>U</t>
  </si>
  <si>
    <t>Account 456.1 entry shall be the annual total of the quarterly values reported at Form 1, 330.x.n.</t>
  </si>
  <si>
    <t>V</t>
  </si>
  <si>
    <t>revenue requirements.</t>
  </si>
  <si>
    <t>W</t>
  </si>
  <si>
    <t>X</t>
  </si>
  <si>
    <t>Y</t>
  </si>
  <si>
    <t>Z</t>
  </si>
  <si>
    <t>AA</t>
  </si>
  <si>
    <t>The transmission charge for Non-Firm Point to Point Transmission Service over ALLETE's HVDC Facilities under Schedule 8 of the Tariff will be $1/MWh.</t>
  </si>
  <si>
    <t>AB</t>
  </si>
  <si>
    <t>Identifies lines items which rate base balances are using a 13 month average balance reconiling to FERC From No.1 by page, line and column</t>
  </si>
  <si>
    <r>
      <t>Percentage of transmission expenses included in ISO Rates (line 15 times line 1</t>
    </r>
    <r>
      <rPr>
        <b/>
        <sz val="12"/>
        <rFont val="Times New Roman"/>
        <family val="1"/>
      </rPr>
      <t>6</t>
    </r>
    <r>
      <rPr>
        <sz val="12"/>
        <rFont val="Times New Roman"/>
        <family val="1"/>
      </rPr>
      <t>)</t>
    </r>
  </si>
  <si>
    <t>18a</t>
  </si>
  <si>
    <t>100% CWIP Recovery for Commission Approved Order</t>
  </si>
  <si>
    <t>23a</t>
  </si>
  <si>
    <t>Peak as would be reported on page 401, column d of Form 1 at the time of the applicable pricing zone coincident monthly peaks.</t>
  </si>
  <si>
    <t>Labeled LF, LU, IF, IU on pages 310-311 of Form 1 at the time of the applicable pricing zone coincident monthly peaks.</t>
  </si>
  <si>
    <t>Labeled LF on page 328 of Form 1 at the time of the applicable pricing zone coincident monthly peaks.</t>
  </si>
  <si>
    <t xml:space="preserve">  Abandoned Plant Amortization</t>
  </si>
  <si>
    <t>AD</t>
  </si>
  <si>
    <t>Identifies which rate base balances are using average of the beginning of year and end of year balances reconiling to FERC From No.1 by page, line and column</t>
  </si>
  <si>
    <t xml:space="preserve">No. 679 Transmission Projects  </t>
  </si>
  <si>
    <t>(Note AB)</t>
  </si>
  <si>
    <t>9a</t>
  </si>
  <si>
    <t>23b</t>
  </si>
  <si>
    <t xml:space="preserve">  Pre-Funded AFUDC Amortization</t>
  </si>
  <si>
    <t>9b</t>
  </si>
  <si>
    <t>[Revenue Requirement for facilities included on page 2, line 2, and also</t>
  </si>
  <si>
    <t xml:space="preserve">Page 2, Line 23a includes the net prefunded AFUDC on CWIP included in rate base and page 3 line 9a includes the annual amortization of the prefunded AFUDC amounts included in Account No. 407.4 as required by Commission Order 129 FERC ¶ 61,287 (2009).  Page 2 line 23b includes any unamortized balances related to the recovery of abandoned plant costs approved by FERC under a separate docket.   Page 3 line 9b includes the Amortization expense of abandonment costs included in transmission depreciation expense.  These are shown in the workpapers required pursuant to the Annual Rate Calculation and True-Up Procedures. </t>
  </si>
  <si>
    <t xml:space="preserve">  Pre-Funded AFUDC on CWIP ( Account 254) (Notes AB and AD)</t>
  </si>
  <si>
    <t xml:space="preserve">  Unamortized Balance of Abandoned Plant (Notes AB and  AD)</t>
  </si>
  <si>
    <t>(Note AD)</t>
  </si>
  <si>
    <t>(Note  AD)</t>
  </si>
  <si>
    <t>RATE BASE  (sum lines 18, 18a 24, 25, &amp; 29)</t>
  </si>
  <si>
    <t>30a</t>
  </si>
  <si>
    <t>LESS ATTACHMENT MM ADJUSTMENT [Attachment MM, page 2, line 3, column 10]   (Note AE)</t>
  </si>
  <si>
    <t>included in Attachment MM]</t>
  </si>
  <si>
    <t>(line 29 - line 30 - line30a)</t>
  </si>
  <si>
    <t>20b</t>
  </si>
  <si>
    <t xml:space="preserve">  d. Transmission charges associated with Schedule 26-A  (Note AF)</t>
  </si>
  <si>
    <t>Total (a-b-c-d)</t>
  </si>
  <si>
    <t>AE</t>
  </si>
  <si>
    <t>AF</t>
  </si>
  <si>
    <t>(line 1- line 6 + Line 6c+ line 6h+ line 6i)</t>
  </si>
  <si>
    <t>GROSS PLANT IN SERVICE (Note AG)</t>
  </si>
  <si>
    <t>ACCUMULATED DEPRECIATION (Note AG)</t>
  </si>
  <si>
    <t>O&amp;M (Note AH)</t>
  </si>
  <si>
    <t xml:space="preserve">  Transmission Lease Payments  (Note Y, Note AI)</t>
  </si>
  <si>
    <t>DEPRECIATION AND AMORTIZATION EXPENSE (Note AG)</t>
  </si>
  <si>
    <t>336.10.f &amp; 336.1.f        (Note Z)</t>
  </si>
  <si>
    <t xml:space="preserve">  c. Transmission charges associated with Schedules 26 and 37  (Note X)</t>
  </si>
  <si>
    <t>Account Nos. 561.4 and 561.8 consist of RTO expenses billed to load-serving entities and are not included in Transmission Owner</t>
  </si>
  <si>
    <t>AG</t>
  </si>
  <si>
    <t>AH</t>
  </si>
  <si>
    <t>AI</t>
  </si>
  <si>
    <t>and reclassifies them to Transmission Lease Payments, Page 3, Line 7.</t>
  </si>
  <si>
    <t>219.28.c &amp; 200.21.c  (Note AB)</t>
  </si>
  <si>
    <t>Plant in Service, Accumulated Depreciation, and Depreciation Expense amounts exclude Asset Retirement Obligation amounts unless authorized by FERC.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</si>
  <si>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</si>
  <si>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r>
      <t xml:space="preserve">and the loads are included in line 13, page 1.  Grandfathered agreements whose rates have </t>
    </r>
    <r>
      <rPr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</si>
  <si>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Pursuant to Attachment MM of the Midwest ISO Tariff, removes dollar amount of revenue requirements calculated pursuant to Attachment MM and recovered under Schedule 26-A of the Midwest ISO Tariff.</t>
  </si>
  <si>
    <t xml:space="preserve">Removes from revenue credits revenues that are distributed pursuant to Schedule 26-A of the Midwest ISO Tariff, since the Transmission Owner's Attachment O revenue requirements have already been reduced by the Attachment MM revenue requirements.  </t>
  </si>
  <si>
    <t>Pursuant to Attachment GG of the Midwest ISO Tariff, removes dollar amount of revenue requirements calculated pursuant to Attachment GG and recovered under Schedule 26 of the Midwest ISO Tariff.</t>
  </si>
  <si>
    <t xml:space="preserve">Removes from revenue credits revenues that are distributed pursuant to Schedules 26 and 37 of the Midwest ISO Tariff, since the Transmission Owner's Attachment O revenue requirements have already been reduced by the Attachment GG revenue requirements.  </t>
  </si>
  <si>
    <t>Minnesota Power Transmission and General Plant Depreciation Rates are shown in an attached schedule.</t>
  </si>
  <si>
    <t>Minnesota Power will provide supporting calculations and work papers for all DA (Direct Assignment) DC Amounts</t>
  </si>
  <si>
    <t>Schedule 10-FERC charges should not be included in O&amp;M recovered under this Attachment O.</t>
  </si>
  <si>
    <t>ALLETE records transmission lease payments to Account 567 - Rents, which are included in Transmission O&amp;M, Page 3, Line 1.  ALLETE removes those payments from Transmission O&amp;M, Page 3, Line 1</t>
  </si>
  <si>
    <t>For the 12 months ended 12/31/2013</t>
  </si>
  <si>
    <t>over</t>
  </si>
  <si>
    <t>under</t>
  </si>
  <si>
    <t>Attachment GG-ALLETE</t>
  </si>
  <si>
    <t>Formula Rate calculation</t>
  </si>
  <si>
    <t xml:space="preserve"> Utilizing Attachment O Data</t>
  </si>
  <si>
    <t>Page 1 of 2</t>
  </si>
  <si>
    <t xml:space="preserve">To be completed in conjunction with Attachment O. </t>
  </si>
  <si>
    <t>Attachment O</t>
  </si>
  <si>
    <t>Gross Transmission Plant- Total</t>
  </si>
  <si>
    <t>Attach O, p 2, line 2 col 5, 7, 9 (Note A)</t>
  </si>
  <si>
    <t>Net Transmission Plant - Total</t>
  </si>
  <si>
    <t>Attach O, p 2, line 14 col 5, 7, 9 (Note B)</t>
  </si>
  <si>
    <t>O&amp;M EXPENSE</t>
  </si>
  <si>
    <t>Total O&amp;M Allocated to Transmission</t>
  </si>
  <si>
    <t>Attach O, p 3, line 8 col 5, 7, 9</t>
  </si>
  <si>
    <t>Annual Allocation Factor for O&amp;M</t>
  </si>
  <si>
    <t>(For AC System line 3 col 5 divided by line 1 col 5 or</t>
  </si>
  <si>
    <t>For DC System line 3 col 7 divided by line 1 col 7)</t>
  </si>
  <si>
    <t>GENERAL AND COMMON (G&amp;C) DEPRECIATION EXPENSE</t>
  </si>
  <si>
    <t>Total G&amp;C Deprciation Expense</t>
  </si>
  <si>
    <t>Attach O, p 3, line 10 &amp; 11, col 5, 7, 9</t>
  </si>
  <si>
    <t>Annual Allocation Factor for G&amp;C Depreciation</t>
  </si>
  <si>
    <t>(For AC System line 5 col 5 divided by line 1 col 5 or</t>
  </si>
  <si>
    <t>Expense</t>
  </si>
  <si>
    <t>For DC System line 5 col 7 divided by line 1 col 7)</t>
  </si>
  <si>
    <t>TAXES OTHER THAN INCOME TAXES</t>
  </si>
  <si>
    <t>7</t>
  </si>
  <si>
    <t>Total Other Taxes</t>
  </si>
  <si>
    <t>Attach O, p 3, line 20 col 5, 7, 9</t>
  </si>
  <si>
    <t>8</t>
  </si>
  <si>
    <t>Annual Allocation Factor for Other Taxes</t>
  </si>
  <si>
    <t>(For AC System line 7 col 5 divided by line 1 col 5 or</t>
  </si>
  <si>
    <t>For DC System line 7 col 7 divided by line 1 col 7)</t>
  </si>
  <si>
    <t>9</t>
  </si>
  <si>
    <t>Annual Allocaton Factor for Expense</t>
  </si>
  <si>
    <t>(For AC System Sum line 4 col 5 plus line 6 col 5 plus line 8 col 5 or</t>
  </si>
  <si>
    <t>For DC System Sum line 4 col 7 plus line 6 col 7 plus line 8 col 7)</t>
  </si>
  <si>
    <t>INCOME TAXES</t>
  </si>
  <si>
    <t>10</t>
  </si>
  <si>
    <t>Attach O, p 3, line 27 col 5, 7, 9</t>
  </si>
  <si>
    <t>11</t>
  </si>
  <si>
    <t>Annual Allocation Factor for Income Tax</t>
  </si>
  <si>
    <t>(For AC System line 10 col 5 divided by line 2 col 5 or</t>
  </si>
  <si>
    <t>For DC System line 10 col 7 divided by line 2 col 7)</t>
  </si>
  <si>
    <t>12</t>
  </si>
  <si>
    <t>Return on Rate Base</t>
  </si>
  <si>
    <t>Attach O, p 3, line 28 col 5, 7, 9</t>
  </si>
  <si>
    <t>13</t>
  </si>
  <si>
    <t>Annual Allocation Factor for Return on Rate Base</t>
  </si>
  <si>
    <t>(For AC System line 12 col 5 divided by line 2 col 5 or</t>
  </si>
  <si>
    <t>For DC System line 12 col 7 divided by line 2 col 7)</t>
  </si>
  <si>
    <t>14</t>
  </si>
  <si>
    <t>Annual Allocation Factor for Return</t>
  </si>
  <si>
    <t>(For AC System Sum line 11 col 5 plus line 13 col 5 or</t>
  </si>
  <si>
    <t>For DC System Sum 11 col 7 plus line 13 col 7)</t>
  </si>
  <si>
    <t>Page 2 of 2</t>
  </si>
  <si>
    <t xml:space="preserve">                           Network Upgrade Charge Calculation By Project</t>
  </si>
  <si>
    <t>Line No.</t>
  </si>
  <si>
    <t>Project Name</t>
  </si>
  <si>
    <t>MTEP Project Number</t>
  </si>
  <si>
    <t xml:space="preserve">Project Gross Plant </t>
  </si>
  <si>
    <t>Annual Allocation Factor for Expense</t>
  </si>
  <si>
    <t>Annual Expense Charge</t>
  </si>
  <si>
    <t xml:space="preserve">Project Net Plant </t>
  </si>
  <si>
    <t>Annual Return Charge</t>
  </si>
  <si>
    <t>Project Depreciation Expense</t>
  </si>
  <si>
    <t>Annual Revenue Requirements</t>
  </si>
  <si>
    <t>True-Up Adjustment</t>
  </si>
  <si>
    <t>Network Upgrade Charge</t>
  </si>
  <si>
    <t>AC System Projects</t>
  </si>
  <si>
    <t>(Page 1, Line 9, Col 6)</t>
  </si>
  <si>
    <t>(Col. 3 * Col. 4)</t>
  </si>
  <si>
    <t>(Page 1, Line 14, Col 6)</t>
  </si>
  <si>
    <t>(Col. 6 * Col. 7)</t>
  </si>
  <si>
    <t>(Note E)</t>
  </si>
  <si>
    <t>(Sum Col. 5, 8 &amp; 9)</t>
  </si>
  <si>
    <t>(Note F)</t>
  </si>
  <si>
    <t xml:space="preserve">
(Note G)</t>
  </si>
  <si>
    <t>MTEP07- Badoura</t>
  </si>
  <si>
    <t>1b</t>
  </si>
  <si>
    <t>MTEP06-Boswell / Bemidji</t>
  </si>
  <si>
    <t>1c</t>
  </si>
  <si>
    <t>MTEP08 Fargo Phase 1</t>
  </si>
  <si>
    <t>286-1</t>
  </si>
  <si>
    <t>1d</t>
  </si>
  <si>
    <t>MTEP06 Fargo Phase 2</t>
  </si>
  <si>
    <t>286-2</t>
  </si>
  <si>
    <t>1e</t>
  </si>
  <si>
    <t>MTEP06 Fargo Phase 3</t>
  </si>
  <si>
    <t>286-3</t>
  </si>
  <si>
    <t>1f</t>
  </si>
  <si>
    <t>MTEP2634 Savanna Project</t>
  </si>
  <si>
    <t>1g</t>
  </si>
  <si>
    <t>MTEP07 Mesabi Energy</t>
  </si>
  <si>
    <t>1h</t>
  </si>
  <si>
    <t>MTEP11 9 Line Upgrade</t>
  </si>
  <si>
    <t>2</t>
  </si>
  <si>
    <t>Annual AC System Totals (Note G)</t>
  </si>
  <si>
    <t>DC System Projects</t>
  </si>
  <si>
    <t>(Page 1, Line 9, Col 8)</t>
  </si>
  <si>
    <t>(Page 1, Line 14, Col 8)</t>
  </si>
  <si>
    <t>3a</t>
  </si>
  <si>
    <t>None at this time</t>
  </si>
  <si>
    <t>3b</t>
  </si>
  <si>
    <t>3c</t>
  </si>
  <si>
    <t>4</t>
  </si>
  <si>
    <t>Annual DC System Totals</t>
  </si>
  <si>
    <t>Rev. Req. Adj For Attachment O</t>
  </si>
  <si>
    <t>Gross Transmission Plant is that identified on page 2 line 2 col 5, 7, 9 of Attachment O and is inclusive of any CWIP included in rate base when authorized by FERC order, less any prefunded AFUDC, if applicable.</t>
  </si>
  <si>
    <t>Net Transmission Plant is that identified on page 2 line 14 cols 5, 7, 9 of Attachment O and is inclusive of any CWIP and Unamortized Balance of Abandoned Plant in rate base when authorized by FERC order less any prefunded AFUDC, if applicable.</t>
  </si>
  <si>
    <t>Project Depreciation Expense is the actual value booked for the project and included in the Depreciation Expense in Attachment O (page 3 line 12).</t>
  </si>
  <si>
    <t>True-Up Adjustment is included pursuant to a FERC approved methodology if applicable.</t>
  </si>
  <si>
    <t>The Network Upgrade Charge is the value to be used in Schedule 26.</t>
  </si>
  <si>
    <t>The Total General and Common Depreciation Expense excludes any depreciation expense directly associated with a project and thereby included on page 2, column 9.</t>
  </si>
  <si>
    <t>Project Gross Plant is the total capital investment for the project calculated in the same method as the gross plant value in line 1 and includes CWIP in rate base when authorized by FERC Order less any prefunded AFUDC, if applicable.  This value includes</t>
  </si>
  <si>
    <t>Project Net Plant is the Project Gross Plant Identified in Column 3 less the associated Accumulated Depreciation and is inclusive of CWIP and Unamortized Balance of Abondoned Plant in rate base when authorized by FERC Order less any prefunded AFUDC, if ap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</si>
</sst>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  <numFmt numFmtId="177" formatCode="0.000"/>
    <numFmt numFmtId="178" formatCode="0_);\(0\)"/>
    <numFmt numFmtId="179" formatCode="_(&quot;$&quot;* #,##0.0_);_(&quot;$&quot;* \(#,##0.0\);_(&quot;$&quot;* &quot;-&quot;??_);_(@_)"/>
    <numFmt numFmtId="180" formatCode="_(* #,##0.0_);_(* \(#,##0.0\);_(* &quot;-&quot;??_);_(@_)"/>
    <numFmt numFmtId="181" formatCode="0;[Red]0"/>
    <numFmt numFmtId="182" formatCode="_(* #,##0.000_);_(* \(#,##0.000\);_(* &quot;-&quot;???_);_(@_)"/>
    <numFmt numFmtId="183" formatCode="0.000000"/>
    <numFmt numFmtId="184" formatCode="0.0000000"/>
    <numFmt numFmtId="185" formatCode="0.0"/>
  </numFmts>
  <fonts count="48"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7"/>
      <name val="Arial MT"/>
      <family val="0"/>
    </font>
    <font>
      <sz val="12"/>
      <color indexed="17"/>
      <name val="Arial"/>
      <family val="2"/>
    </font>
    <font>
      <sz val="10"/>
      <name val="Times New Roman"/>
      <family val="1"/>
    </font>
    <font>
      <sz val="10"/>
      <color indexed="17"/>
      <name val="Arial"/>
      <family val="2"/>
    </font>
    <font>
      <b/>
      <sz val="12"/>
      <color indexed="10"/>
      <name val="Times New Roman"/>
      <family val="1"/>
    </font>
    <font>
      <strike/>
      <sz val="12"/>
      <name val="Arial MT"/>
      <family val="0"/>
    </font>
    <font>
      <u val="single"/>
      <sz val="12"/>
      <name val="Arial MT"/>
      <family val="0"/>
    </font>
    <font>
      <u val="single"/>
      <sz val="12"/>
      <name val="Times New Roman"/>
      <family val="1"/>
    </font>
    <font>
      <sz val="8"/>
      <name val="Arial MT"/>
      <family val="0"/>
    </font>
    <font>
      <b/>
      <sz val="12"/>
      <name val="Arial MT"/>
      <family val="0"/>
    </font>
    <font>
      <b/>
      <sz val="12"/>
      <name val="Arial"/>
      <family val="2"/>
    </font>
    <font>
      <sz val="12"/>
      <color indexed="10"/>
      <name val="Arial MT"/>
      <family val="0"/>
    </font>
    <font>
      <sz val="12"/>
      <color indexed="10"/>
      <name val="Arial"/>
      <family val="2"/>
    </font>
    <font>
      <sz val="12"/>
      <color indexed="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u val="single"/>
      <sz val="12"/>
      <color indexed="36"/>
      <name val="Arial MT"/>
      <family val="0"/>
    </font>
    <font>
      <u val="single"/>
      <sz val="12"/>
      <color indexed="12"/>
      <name val="Arial MT"/>
      <family val="0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8">
    <xf numFmtId="173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0" fillId="0" borderId="0" applyProtection="0">
      <alignment/>
    </xf>
    <xf numFmtId="0" fontId="0" fillId="23" borderId="11" applyNumberFormat="0" applyFont="0" applyAlignment="0" applyProtection="0"/>
    <xf numFmtId="0" fontId="6" fillId="23" borderId="11" applyNumberFormat="0" applyFont="0" applyAlignment="0" applyProtection="0"/>
    <xf numFmtId="0" fontId="0" fillId="23" borderId="11" applyNumberFormat="0" applyFont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0" fontId="17" fillId="20" borderId="12" applyNumberForma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04">
    <xf numFmtId="173" fontId="0" fillId="0" borderId="0" xfId="0" applyAlignment="1">
      <alignment/>
    </xf>
    <xf numFmtId="0" fontId="24" fillId="0" borderId="0" xfId="138" applyFont="1" applyAlignment="1">
      <alignment/>
      <protection/>
    </xf>
    <xf numFmtId="0" fontId="24" fillId="0" borderId="0" xfId="138" applyNumberFormat="1" applyFont="1" applyAlignment="1">
      <alignment/>
      <protection/>
    </xf>
    <xf numFmtId="0" fontId="24" fillId="0" borderId="0" xfId="138" applyNumberFormat="1" applyFont="1" applyAlignment="1">
      <alignment horizontal="left"/>
      <protection/>
    </xf>
    <xf numFmtId="0" fontId="24" fillId="0" borderId="0" xfId="138" applyNumberFormat="1" applyFont="1">
      <alignment/>
      <protection/>
    </xf>
    <xf numFmtId="0" fontId="25" fillId="0" borderId="0" xfId="138" applyNumberFormat="1" applyFont="1" applyAlignment="1">
      <alignment horizontal="center"/>
      <protection/>
    </xf>
    <xf numFmtId="0" fontId="24" fillId="0" borderId="0" xfId="138" applyNumberFormat="1" applyFont="1" applyAlignment="1">
      <alignment horizontal="center"/>
      <protection/>
    </xf>
    <xf numFmtId="0" fontId="24" fillId="0" borderId="0" xfId="138" applyFont="1" applyAlignment="1">
      <alignment horizontal="center"/>
      <protection/>
    </xf>
    <xf numFmtId="0" fontId="24" fillId="0" borderId="0" xfId="138" applyNumberFormat="1" applyFont="1" applyAlignment="1">
      <alignment horizontal="right"/>
      <protection/>
    </xf>
    <xf numFmtId="3" fontId="24" fillId="0" borderId="0" xfId="138" applyNumberFormat="1" applyFont="1" applyAlignment="1">
      <alignment/>
      <protection/>
    </xf>
    <xf numFmtId="0" fontId="24" fillId="0" borderId="0" xfId="138" applyNumberFormat="1" applyFont="1" applyFill="1">
      <alignment/>
      <protection/>
    </xf>
    <xf numFmtId="49" fontId="25" fillId="22" borderId="0" xfId="138" applyNumberFormat="1" applyFont="1" applyFill="1" applyAlignment="1">
      <alignment horizontal="center" wrapText="1"/>
      <protection/>
    </xf>
    <xf numFmtId="0" fontId="24" fillId="0" borderId="0" xfId="138" applyNumberFormat="1" applyFont="1" applyFill="1" applyBorder="1">
      <alignment/>
      <protection/>
    </xf>
    <xf numFmtId="0" fontId="25" fillId="0" borderId="15" xfId="138" applyFont="1" applyBorder="1" applyAlignment="1">
      <alignment horizontal="center" wrapText="1"/>
      <protection/>
    </xf>
    <xf numFmtId="0" fontId="25" fillId="0" borderId="15" xfId="138" applyFont="1" applyBorder="1" applyAlignment="1">
      <alignment horizontal="center"/>
      <protection/>
    </xf>
    <xf numFmtId="0" fontId="25" fillId="0" borderId="0" xfId="138" applyFont="1" applyAlignment="1">
      <alignment horizontal="center"/>
      <protection/>
    </xf>
    <xf numFmtId="49" fontId="24" fillId="0" borderId="0" xfId="138" applyNumberFormat="1" applyFont="1">
      <alignment/>
      <protection/>
    </xf>
    <xf numFmtId="0" fontId="24" fillId="0" borderId="16" xfId="138" applyNumberFormat="1" applyFont="1" applyBorder="1" applyAlignment="1">
      <alignment horizontal="center"/>
      <protection/>
    </xf>
    <xf numFmtId="3" fontId="24" fillId="0" borderId="0" xfId="138" applyNumberFormat="1" applyFont="1">
      <alignment/>
      <protection/>
    </xf>
    <xf numFmtId="42" fontId="24" fillId="0" borderId="0" xfId="138" applyNumberFormat="1" applyFont="1" applyFill="1">
      <alignment/>
      <protection/>
    </xf>
    <xf numFmtId="0" fontId="24" fillId="0" borderId="0" xfId="138" applyFont="1" applyFill="1" applyAlignment="1">
      <alignment horizontal="center"/>
      <protection/>
    </xf>
    <xf numFmtId="42" fontId="24" fillId="0" borderId="0" xfId="138" applyNumberFormat="1" applyFont="1" applyFill="1" applyAlignment="1">
      <alignment horizontal="center"/>
      <protection/>
    </xf>
    <xf numFmtId="3" fontId="24" fillId="0" borderId="0" xfId="138" applyNumberFormat="1" applyFont="1" applyFill="1" applyAlignment="1">
      <alignment/>
      <protection/>
    </xf>
    <xf numFmtId="0" fontId="24" fillId="0" borderId="16" xfId="138" applyNumberFormat="1" applyFont="1" applyBorder="1" applyAlignment="1">
      <alignment horizontal="centerContinuous"/>
      <protection/>
    </xf>
    <xf numFmtId="174" fontId="24" fillId="0" borderId="0" xfId="96" applyNumberFormat="1" applyFont="1" applyAlignment="1">
      <alignment/>
    </xf>
    <xf numFmtId="166" fontId="24" fillId="0" borderId="0" xfId="138" applyNumberFormat="1" applyFont="1" applyAlignment="1">
      <alignment/>
      <protection/>
    </xf>
    <xf numFmtId="174" fontId="24" fillId="22" borderId="0" xfId="96" applyNumberFormat="1" applyFont="1" applyFill="1" applyAlignment="1">
      <alignment/>
    </xf>
    <xf numFmtId="3" fontId="24" fillId="0" borderId="0" xfId="138" applyNumberFormat="1" applyFont="1" applyFill="1" applyBorder="1">
      <alignment/>
      <protection/>
    </xf>
    <xf numFmtId="174" fontId="0" fillId="22" borderId="0" xfId="96" applyNumberFormat="1" applyFont="1" applyFill="1" applyAlignment="1">
      <alignment/>
    </xf>
    <xf numFmtId="0" fontId="0" fillId="0" borderId="0" xfId="138" applyFont="1" applyAlignment="1">
      <alignment/>
      <protection/>
    </xf>
    <xf numFmtId="174" fontId="24" fillId="0" borderId="16" xfId="96" applyNumberFormat="1" applyFont="1" applyBorder="1" applyAlignment="1">
      <alignment/>
    </xf>
    <xf numFmtId="174" fontId="24" fillId="0" borderId="15" xfId="96" applyNumberFormat="1" applyFont="1" applyBorder="1" applyAlignment="1">
      <alignment/>
    </xf>
    <xf numFmtId="3" fontId="24" fillId="0" borderId="0" xfId="138" applyNumberFormat="1" applyFont="1" applyBorder="1" applyAlignment="1">
      <alignment/>
      <protection/>
    </xf>
    <xf numFmtId="3" fontId="24" fillId="0" borderId="0" xfId="138" applyNumberFormat="1" applyFont="1" applyAlignment="1">
      <alignment horizontal="fill"/>
      <protection/>
    </xf>
    <xf numFmtId="174" fontId="0" fillId="0" borderId="0" xfId="96" applyNumberFormat="1" applyFont="1" applyAlignment="1">
      <alignment/>
    </xf>
    <xf numFmtId="3" fontId="0" fillId="0" borderId="0" xfId="138" applyNumberFormat="1" applyFont="1">
      <alignment/>
      <protection/>
    </xf>
    <xf numFmtId="3" fontId="0" fillId="0" borderId="0" xfId="138" applyNumberFormat="1" applyFont="1" applyAlignment="1">
      <alignment horizontal="center"/>
      <protection/>
    </xf>
    <xf numFmtId="174" fontId="24" fillId="22" borderId="15" xfId="96" applyNumberFormat="1" applyFont="1" applyFill="1" applyBorder="1" applyAlignment="1">
      <alignment/>
    </xf>
    <xf numFmtId="174" fontId="24" fillId="0" borderId="0" xfId="96" applyNumberFormat="1" applyFont="1" applyBorder="1" applyAlignment="1">
      <alignment horizontal="right"/>
    </xf>
    <xf numFmtId="42" fontId="24" fillId="0" borderId="0" xfId="138" applyNumberFormat="1" applyFont="1" applyBorder="1" applyAlignment="1">
      <alignment horizontal="right"/>
      <protection/>
    </xf>
    <xf numFmtId="42" fontId="24" fillId="0" borderId="0" xfId="138" applyNumberFormat="1" applyFont="1" applyBorder="1" applyAlignment="1">
      <alignment horizontal="center"/>
      <protection/>
    </xf>
    <xf numFmtId="0" fontId="0" fillId="0" borderId="0" xfId="138" applyNumberFormat="1" applyFont="1">
      <alignment/>
      <protection/>
    </xf>
    <xf numFmtId="0" fontId="24" fillId="0" borderId="0" xfId="138" applyFont="1" applyFill="1" applyAlignment="1">
      <alignment/>
      <protection/>
    </xf>
    <xf numFmtId="0" fontId="0" fillId="0" borderId="0" xfId="138" applyNumberFormat="1" applyFont="1" applyAlignment="1">
      <alignment horizontal="center"/>
      <protection/>
    </xf>
    <xf numFmtId="174" fontId="0" fillId="0" borderId="0" xfId="96" applyNumberFormat="1" applyFont="1" applyAlignment="1">
      <alignment/>
    </xf>
    <xf numFmtId="174" fontId="24" fillId="0" borderId="0" xfId="96" applyNumberFormat="1" applyFont="1" applyAlignment="1">
      <alignment/>
    </xf>
    <xf numFmtId="174" fontId="24" fillId="22" borderId="0" xfId="96" applyNumberFormat="1" applyFont="1" applyFill="1" applyAlignment="1">
      <alignment/>
    </xf>
    <xf numFmtId="3" fontId="24" fillId="0" borderId="0" xfId="138" applyNumberFormat="1" applyFont="1" applyAlignment="1">
      <alignment horizontal="center"/>
      <protection/>
    </xf>
    <xf numFmtId="174" fontId="24" fillId="0" borderId="0" xfId="96" applyNumberFormat="1" applyFont="1" applyFill="1" applyAlignment="1">
      <alignment/>
    </xf>
    <xf numFmtId="168" fontId="24" fillId="0" borderId="0" xfId="138" applyNumberFormat="1" applyFont="1">
      <alignment/>
      <protection/>
    </xf>
    <xf numFmtId="176" fontId="24" fillId="0" borderId="0" xfId="138" applyNumberFormat="1" applyFont="1" applyAlignment="1">
      <alignment/>
      <protection/>
    </xf>
    <xf numFmtId="44" fontId="24" fillId="0" borderId="0" xfId="138" applyNumberFormat="1" applyFont="1" applyAlignment="1">
      <alignment/>
      <protection/>
    </xf>
    <xf numFmtId="44" fontId="24" fillId="0" borderId="0" xfId="138" applyNumberFormat="1" applyFont="1" applyAlignment="1">
      <alignment horizontal="center"/>
      <protection/>
    </xf>
    <xf numFmtId="172" fontId="24" fillId="0" borderId="0" xfId="138" applyNumberFormat="1" applyFont="1" applyAlignment="1">
      <alignment/>
      <protection/>
    </xf>
    <xf numFmtId="172" fontId="24" fillId="0" borderId="0" xfId="138" applyNumberFormat="1" applyFont="1" applyAlignment="1">
      <alignment horizontal="center"/>
      <protection/>
    </xf>
    <xf numFmtId="172" fontId="24" fillId="0" borderId="0" xfId="138" applyNumberFormat="1" applyFont="1" applyFill="1" applyAlignment="1">
      <alignment/>
      <protection/>
    </xf>
    <xf numFmtId="172" fontId="24" fillId="0" borderId="0" xfId="138" applyNumberFormat="1" applyFont="1" applyFill="1" applyAlignment="1">
      <alignment horizontal="center"/>
      <protection/>
    </xf>
    <xf numFmtId="168" fontId="24" fillId="0" borderId="0" xfId="138" applyNumberFormat="1" applyFont="1" applyAlignment="1">
      <alignment horizontal="center"/>
      <protection/>
    </xf>
    <xf numFmtId="172" fontId="24" fillId="22" borderId="0" xfId="138" applyNumberFormat="1" applyFont="1" applyFill="1" applyProtection="1">
      <alignment/>
      <protection locked="0"/>
    </xf>
    <xf numFmtId="172" fontId="24" fillId="0" borderId="0" xfId="138" applyNumberFormat="1" applyFont="1" applyProtection="1">
      <alignment/>
      <protection locked="0"/>
    </xf>
    <xf numFmtId="0" fontId="24" fillId="0" borderId="0" xfId="138" applyNumberFormat="1" applyFont="1" applyFill="1" applyAlignment="1">
      <alignment horizontal="center"/>
      <protection/>
    </xf>
    <xf numFmtId="0" fontId="24" fillId="0" borderId="0" xfId="138" applyNumberFormat="1" applyFont="1" applyFill="1" applyAlignment="1">
      <alignment/>
      <protection/>
    </xf>
    <xf numFmtId="172" fontId="24" fillId="0" borderId="0" xfId="138" applyNumberFormat="1" applyFont="1" applyFill="1" applyProtection="1">
      <alignment/>
      <protection locked="0"/>
    </xf>
    <xf numFmtId="3" fontId="25" fillId="22" borderId="0" xfId="138" applyNumberFormat="1" applyFont="1" applyFill="1" applyAlignment="1">
      <alignment horizontal="center" wrapText="1"/>
      <protection/>
    </xf>
    <xf numFmtId="49" fontId="24" fillId="0" borderId="0" xfId="138" applyNumberFormat="1" applyFont="1" applyAlignment="1">
      <alignment horizontal="left"/>
      <protection/>
    </xf>
    <xf numFmtId="49" fontId="24" fillId="0" borderId="0" xfId="138" applyNumberFormat="1" applyFont="1" applyAlignment="1">
      <alignment horizontal="center"/>
      <protection/>
    </xf>
    <xf numFmtId="3" fontId="25" fillId="0" borderId="0" xfId="138" applyNumberFormat="1" applyFont="1" applyAlignment="1">
      <alignment horizontal="center"/>
      <protection/>
    </xf>
    <xf numFmtId="0" fontId="25" fillId="0" borderId="15" xfId="138" applyNumberFormat="1" applyFont="1" applyBorder="1" applyAlignment="1">
      <alignment horizontal="center"/>
      <protection/>
    </xf>
    <xf numFmtId="3" fontId="25" fillId="0" borderId="15" xfId="138" applyNumberFormat="1" applyFont="1" applyBorder="1" applyAlignment="1">
      <alignment/>
      <protection/>
    </xf>
    <xf numFmtId="0" fontId="24" fillId="0" borderId="15" xfId="138" applyFont="1" applyBorder="1" applyAlignment="1">
      <alignment/>
      <protection/>
    </xf>
    <xf numFmtId="3" fontId="25" fillId="0" borderId="0" xfId="138" applyNumberFormat="1" applyFont="1" applyAlignment="1">
      <alignment/>
      <protection/>
    </xf>
    <xf numFmtId="0" fontId="24" fillId="0" borderId="15" xfId="138" applyNumberFormat="1" applyFont="1" applyBorder="1" applyAlignment="1">
      <alignment horizontal="center"/>
      <protection/>
    </xf>
    <xf numFmtId="0" fontId="25" fillId="0" borderId="0" xfId="138" applyNumberFormat="1" applyFont="1" applyAlignment="1">
      <alignment/>
      <protection/>
    </xf>
    <xf numFmtId="165" fontId="24" fillId="0" borderId="0" xfId="138" applyNumberFormat="1" applyFont="1" applyAlignment="1">
      <alignment/>
      <protection/>
    </xf>
    <xf numFmtId="165" fontId="24" fillId="0" borderId="0" xfId="138" applyNumberFormat="1" applyFont="1" applyFill="1" applyAlignment="1">
      <alignment/>
      <protection/>
    </xf>
    <xf numFmtId="174" fontId="24" fillId="0" borderId="0" xfId="96" applyNumberFormat="1" applyFont="1" applyFill="1" applyAlignment="1">
      <alignment horizontal="center"/>
    </xf>
    <xf numFmtId="174" fontId="24" fillId="0" borderId="0" xfId="96" applyNumberFormat="1" applyFont="1" applyAlignment="1">
      <alignment horizontal="center"/>
    </xf>
    <xf numFmtId="174" fontId="24" fillId="22" borderId="16" xfId="96" applyNumberFormat="1" applyFont="1" applyFill="1" applyBorder="1" applyAlignment="1">
      <alignment/>
    </xf>
    <xf numFmtId="174" fontId="24" fillId="0" borderId="16" xfId="96" applyNumberFormat="1" applyFont="1" applyFill="1" applyBorder="1" applyAlignment="1">
      <alignment/>
    </xf>
    <xf numFmtId="174" fontId="24" fillId="0" borderId="0" xfId="96" applyNumberFormat="1" applyFont="1" applyFill="1" applyBorder="1" applyAlignment="1">
      <alignment/>
    </xf>
    <xf numFmtId="164" fontId="24" fillId="0" borderId="0" xfId="138" applyNumberFormat="1" applyFont="1" applyFill="1" applyAlignment="1">
      <alignment horizontal="center"/>
      <protection/>
    </xf>
    <xf numFmtId="164" fontId="24" fillId="0" borderId="0" xfId="138" applyNumberFormat="1" applyFont="1" applyAlignment="1">
      <alignment horizontal="center"/>
      <protection/>
    </xf>
    <xf numFmtId="174" fontId="24" fillId="0" borderId="0" xfId="96" applyNumberFormat="1" applyFont="1" applyFill="1" applyAlignment="1">
      <alignment horizontal="right"/>
    </xf>
    <xf numFmtId="174" fontId="24" fillId="22" borderId="0" xfId="96" applyNumberFormat="1" applyFont="1" applyFill="1" applyAlignment="1">
      <alignment horizontal="right"/>
    </xf>
    <xf numFmtId="174" fontId="24" fillId="0" borderId="0" xfId="96" applyNumberFormat="1" applyFont="1" applyAlignment="1">
      <alignment horizontal="right"/>
    </xf>
    <xf numFmtId="174" fontId="24" fillId="0" borderId="0" xfId="96" applyNumberFormat="1" applyFont="1" applyFill="1" applyBorder="1" applyAlignment="1">
      <alignment horizontal="right"/>
    </xf>
    <xf numFmtId="174" fontId="24" fillId="0" borderId="0" xfId="96" applyNumberFormat="1" applyFont="1" applyBorder="1" applyAlignment="1">
      <alignment/>
    </xf>
    <xf numFmtId="174" fontId="24" fillId="0" borderId="0" xfId="96" applyNumberFormat="1" applyFont="1" applyBorder="1" applyAlignment="1">
      <alignment horizontal="center"/>
    </xf>
    <xf numFmtId="165" fontId="24" fillId="0" borderId="0" xfId="138" applyNumberFormat="1" applyFont="1" applyFill="1" applyAlignment="1">
      <alignment horizontal="right"/>
      <protection/>
    </xf>
    <xf numFmtId="174" fontId="24" fillId="0" borderId="0" xfId="96" applyNumberFormat="1" applyFont="1" applyFill="1" applyBorder="1" applyAlignment="1">
      <alignment horizontal="center"/>
    </xf>
    <xf numFmtId="174" fontId="24" fillId="0" borderId="0" xfId="138" applyNumberFormat="1" applyFont="1" applyAlignment="1">
      <alignment/>
      <protection/>
    </xf>
    <xf numFmtId="0" fontId="24" fillId="0" borderId="16" xfId="138" applyFont="1" applyBorder="1" applyAlignment="1">
      <alignment/>
      <protection/>
    </xf>
    <xf numFmtId="3" fontId="24" fillId="0" borderId="17" xfId="138" applyNumberFormat="1" applyFont="1" applyBorder="1" applyAlignment="1">
      <alignment/>
      <protection/>
    </xf>
    <xf numFmtId="0" fontId="25" fillId="22" borderId="0" xfId="138" applyFont="1" applyFill="1" applyAlignment="1">
      <alignment horizontal="center" wrapText="1"/>
      <protection/>
    </xf>
    <xf numFmtId="0" fontId="26" fillId="0" borderId="0" xfId="138" applyNumberFormat="1" applyFont="1" applyAlignment="1">
      <alignment horizontal="center"/>
      <protection/>
    </xf>
    <xf numFmtId="3" fontId="26" fillId="0" borderId="0" xfId="138" applyNumberFormat="1" applyFont="1" applyAlignment="1">
      <alignment/>
      <protection/>
    </xf>
    <xf numFmtId="3" fontId="27" fillId="0" borderId="0" xfId="138" applyNumberFormat="1" applyFont="1" applyAlignment="1">
      <alignment/>
      <protection/>
    </xf>
    <xf numFmtId="171" fontId="24" fillId="0" borderId="0" xfId="138" applyNumberFormat="1" applyFont="1" applyFill="1" applyAlignment="1">
      <alignment horizontal="left"/>
      <protection/>
    </xf>
    <xf numFmtId="3" fontId="24" fillId="0" borderId="0" xfId="138" applyNumberFormat="1" applyFont="1" applyFill="1" applyAlignment="1" quotePrefix="1">
      <alignment/>
      <protection/>
    </xf>
    <xf numFmtId="0" fontId="28" fillId="0" borderId="0" xfId="138" applyFont="1" applyAlignment="1">
      <alignment/>
      <protection/>
    </xf>
    <xf numFmtId="166" fontId="24" fillId="0" borderId="0" xfId="138" applyNumberFormat="1" applyFont="1" applyFill="1" applyAlignment="1">
      <alignment horizontal="right"/>
      <protection/>
    </xf>
    <xf numFmtId="10" fontId="24" fillId="0" borderId="0" xfId="146" applyNumberFormat="1" applyFont="1" applyFill="1" applyAlignment="1">
      <alignment horizontal="center"/>
    </xf>
    <xf numFmtId="10" fontId="24" fillId="0" borderId="0" xfId="146" applyNumberFormat="1" applyFont="1" applyAlignment="1">
      <alignment horizontal="center"/>
    </xf>
    <xf numFmtId="166" fontId="24" fillId="0" borderId="0" xfId="138" applyNumberFormat="1" applyFont="1" applyAlignment="1">
      <alignment horizontal="center"/>
      <protection/>
    </xf>
    <xf numFmtId="164" fontId="24" fillId="0" borderId="0" xfId="138" applyNumberFormat="1" applyFont="1" applyAlignment="1">
      <alignment horizontal="left"/>
      <protection/>
    </xf>
    <xf numFmtId="10" fontId="24" fillId="0" borderId="0" xfId="138" applyNumberFormat="1" applyFont="1" applyFill="1" applyAlignment="1">
      <alignment horizontal="right"/>
      <protection/>
    </xf>
    <xf numFmtId="169" fontId="24" fillId="0" borderId="0" xfId="138" applyNumberFormat="1" applyFont="1" applyFill="1" applyAlignment="1">
      <alignment horizontal="right"/>
      <protection/>
    </xf>
    <xf numFmtId="10" fontId="24" fillId="0" borderId="0" xfId="138" applyNumberFormat="1" applyFont="1" applyFill="1" applyAlignment="1">
      <alignment horizontal="left"/>
      <protection/>
    </xf>
    <xf numFmtId="167" fontId="24" fillId="0" borderId="0" xfId="138" applyNumberFormat="1" applyFont="1" applyAlignment="1">
      <alignment/>
      <protection/>
    </xf>
    <xf numFmtId="174" fontId="24" fillId="0" borderId="0" xfId="96" applyNumberFormat="1" applyFont="1" applyFill="1" applyAlignment="1" applyProtection="1">
      <alignment/>
      <protection locked="0"/>
    </xf>
    <xf numFmtId="174" fontId="24" fillId="0" borderId="17" xfId="96" applyNumberFormat="1" applyFont="1" applyFill="1" applyBorder="1" applyAlignment="1">
      <alignment/>
    </xf>
    <xf numFmtId="0" fontId="24" fillId="0" borderId="16" xfId="138" applyNumberFormat="1" applyFont="1" applyFill="1" applyBorder="1">
      <alignment/>
      <protection/>
    </xf>
    <xf numFmtId="3" fontId="24" fillId="0" borderId="16" xfId="138" applyNumberFormat="1" applyFont="1" applyFill="1" applyBorder="1" applyAlignment="1">
      <alignment/>
      <protection/>
    </xf>
    <xf numFmtId="3" fontId="24" fillId="0" borderId="0" xfId="138" applyNumberFormat="1" applyFont="1" applyFill="1" applyAlignment="1">
      <alignment horizontal="center"/>
      <protection/>
    </xf>
    <xf numFmtId="49" fontId="24" fillId="0" borderId="0" xfId="138" applyNumberFormat="1" applyFont="1" applyFill="1">
      <alignment/>
      <protection/>
    </xf>
    <xf numFmtId="49" fontId="24" fillId="0" borderId="0" xfId="138" applyNumberFormat="1" applyFont="1" applyFill="1" applyAlignment="1">
      <alignment/>
      <protection/>
    </xf>
    <xf numFmtId="49" fontId="24" fillId="0" borderId="0" xfId="138" applyNumberFormat="1" applyFont="1" applyFill="1" applyAlignment="1">
      <alignment horizontal="center"/>
      <protection/>
    </xf>
    <xf numFmtId="3" fontId="24" fillId="0" borderId="0" xfId="138" applyNumberFormat="1" applyFont="1" applyFill="1" applyAlignment="1">
      <alignment horizontal="right"/>
      <protection/>
    </xf>
    <xf numFmtId="166" fontId="24" fillId="0" borderId="0" xfId="138" applyNumberFormat="1" applyFont="1" applyFill="1" applyAlignment="1">
      <alignment/>
      <protection/>
    </xf>
    <xf numFmtId="165" fontId="24" fillId="0" borderId="0" xfId="138" applyNumberFormat="1" applyFont="1" applyFill="1">
      <alignment/>
      <protection/>
    </xf>
    <xf numFmtId="166" fontId="24" fillId="0" borderId="0" xfId="138" applyNumberFormat="1" applyFont="1" applyFill="1">
      <alignment/>
      <protection/>
    </xf>
    <xf numFmtId="0" fontId="0" fillId="0" borderId="0" xfId="138" applyNumberFormat="1" applyFont="1" applyAlignment="1">
      <alignment/>
      <protection/>
    </xf>
    <xf numFmtId="3" fontId="0" fillId="0" borderId="0" xfId="138" applyNumberFormat="1" applyFont="1" applyAlignment="1">
      <alignment/>
      <protection/>
    </xf>
    <xf numFmtId="3" fontId="24" fillId="0" borderId="16" xfId="138" applyNumberFormat="1" applyFont="1" applyBorder="1" applyAlignment="1">
      <alignment/>
      <protection/>
    </xf>
    <xf numFmtId="3" fontId="24" fillId="0" borderId="16" xfId="138" applyNumberFormat="1" applyFont="1" applyBorder="1" applyAlignment="1">
      <alignment horizontal="center"/>
      <protection/>
    </xf>
    <xf numFmtId="4" fontId="24" fillId="0" borderId="0" xfId="138" applyNumberFormat="1" applyFont="1" applyAlignment="1">
      <alignment/>
      <protection/>
    </xf>
    <xf numFmtId="3" fontId="24" fillId="0" borderId="0" xfId="138" applyNumberFormat="1" applyFont="1" applyBorder="1" applyAlignment="1">
      <alignment horizontal="center"/>
      <protection/>
    </xf>
    <xf numFmtId="0" fontId="24" fillId="0" borderId="0" xfId="138" applyFont="1" applyAlignment="1" quotePrefix="1">
      <alignment horizontal="center"/>
      <protection/>
    </xf>
    <xf numFmtId="0" fontId="6" fillId="0" borderId="0" xfId="138" applyNumberFormat="1" applyFont="1" applyFill="1" applyBorder="1" applyAlignment="1">
      <alignment/>
      <protection/>
    </xf>
    <xf numFmtId="0" fontId="6" fillId="0" borderId="0" xfId="138" applyNumberFormat="1" applyFont="1" applyFill="1" applyBorder="1" applyAlignment="1">
      <alignment horizontal="center"/>
      <protection/>
    </xf>
    <xf numFmtId="0" fontId="29" fillId="0" borderId="0" xfId="138" applyFont="1" applyFill="1" applyBorder="1">
      <alignment/>
      <protection/>
    </xf>
    <xf numFmtId="0" fontId="22" fillId="0" borderId="0" xfId="138" applyFont="1" applyFill="1" applyBorder="1">
      <alignment/>
      <protection/>
    </xf>
    <xf numFmtId="0" fontId="6" fillId="0" borderId="0" xfId="138" applyFont="1" applyFill="1" applyBorder="1" applyAlignment="1">
      <alignment/>
      <protection/>
    </xf>
    <xf numFmtId="0" fontId="24" fillId="0" borderId="0" xfId="138" applyFont="1" applyFill="1" applyBorder="1" applyAlignment="1">
      <alignment/>
      <protection/>
    </xf>
    <xf numFmtId="49" fontId="25" fillId="0" borderId="0" xfId="138" applyNumberFormat="1" applyFont="1" applyFill="1" applyAlignment="1">
      <alignment horizontal="center" wrapText="1"/>
      <protection/>
    </xf>
    <xf numFmtId="3" fontId="25" fillId="0" borderId="15" xfId="138" applyNumberFormat="1" applyFont="1" applyBorder="1" applyAlignment="1">
      <alignment horizontal="center"/>
      <protection/>
    </xf>
    <xf numFmtId="0" fontId="24" fillId="0" borderId="15" xfId="138" applyFont="1" applyFill="1" applyBorder="1" applyAlignment="1">
      <alignment horizontal="center"/>
      <protection/>
    </xf>
    <xf numFmtId="166" fontId="25" fillId="0" borderId="0" xfId="138" applyNumberFormat="1" applyFont="1" applyFill="1" applyAlignment="1" quotePrefix="1">
      <alignment/>
      <protection/>
    </xf>
    <xf numFmtId="166" fontId="24" fillId="0" borderId="0" xfId="138" applyNumberFormat="1" applyFont="1" applyFill="1" applyAlignment="1">
      <alignment horizontal="center"/>
      <protection/>
    </xf>
    <xf numFmtId="0" fontId="24" fillId="0" borderId="16" xfId="138" applyNumberFormat="1" applyFont="1" applyBorder="1" applyAlignment="1">
      <alignment/>
      <protection/>
    </xf>
    <xf numFmtId="3" fontId="24" fillId="0" borderId="0" xfId="138" applyNumberFormat="1" applyFont="1" applyAlignment="1" quotePrefix="1">
      <alignment/>
      <protection/>
    </xf>
    <xf numFmtId="9" fontId="24" fillId="0" borderId="0" xfId="138" applyNumberFormat="1" applyFont="1" applyAlignment="1">
      <alignment/>
      <protection/>
    </xf>
    <xf numFmtId="169" fontId="24" fillId="0" borderId="0" xfId="138" applyNumberFormat="1" applyFont="1" applyAlignment="1">
      <alignment/>
      <protection/>
    </xf>
    <xf numFmtId="169" fontId="24" fillId="0" borderId="16" xfId="138" applyNumberFormat="1" applyFont="1" applyBorder="1" applyAlignment="1">
      <alignment/>
      <protection/>
    </xf>
    <xf numFmtId="0" fontId="24" fillId="0" borderId="0" xfId="138" applyNumberFormat="1" applyFont="1" applyBorder="1" applyAlignment="1">
      <alignment horizontal="center"/>
      <protection/>
    </xf>
    <xf numFmtId="0" fontId="24" fillId="0" borderId="0" xfId="138" applyFont="1" applyFill="1" applyAlignment="1" applyProtection="1">
      <alignment/>
      <protection/>
    </xf>
    <xf numFmtId="38" fontId="24" fillId="0" borderId="0" xfId="138" applyNumberFormat="1" applyFont="1" applyAlignment="1" applyProtection="1">
      <alignment/>
      <protection/>
    </xf>
    <xf numFmtId="38" fontId="24" fillId="0" borderId="0" xfId="138" applyNumberFormat="1" applyFont="1" applyAlignment="1">
      <alignment/>
      <protection/>
    </xf>
    <xf numFmtId="0" fontId="24" fillId="0" borderId="0" xfId="138" applyFont="1" applyBorder="1" applyAlignment="1">
      <alignment/>
      <protection/>
    </xf>
    <xf numFmtId="0" fontId="24" fillId="0" borderId="0" xfId="138" applyFont="1" applyBorder="1" applyAlignment="1">
      <alignment horizontal="center"/>
      <protection/>
    </xf>
    <xf numFmtId="174" fontId="24" fillId="22" borderId="0" xfId="96" applyNumberFormat="1" applyFont="1" applyFill="1" applyBorder="1" applyAlignment="1" applyProtection="1">
      <alignment/>
      <protection locked="0"/>
    </xf>
    <xf numFmtId="0" fontId="24" fillId="0" borderId="16" xfId="138" applyNumberFormat="1" applyFont="1" applyBorder="1">
      <alignment/>
      <protection/>
    </xf>
    <xf numFmtId="174" fontId="24" fillId="22" borderId="16" xfId="96" applyNumberFormat="1" applyFont="1" applyFill="1" applyBorder="1" applyAlignment="1" applyProtection="1">
      <alignment/>
      <protection locked="0"/>
    </xf>
    <xf numFmtId="3" fontId="30" fillId="0" borderId="0" xfId="138" applyNumberFormat="1" applyFont="1" applyAlignment="1">
      <alignment horizontal="left"/>
      <protection/>
    </xf>
    <xf numFmtId="3" fontId="30" fillId="0" borderId="0" xfId="138" applyNumberFormat="1" applyFont="1" applyAlignment="1">
      <alignment horizontal="center"/>
      <protection/>
    </xf>
    <xf numFmtId="174" fontId="24" fillId="0" borderId="0" xfId="96" applyNumberFormat="1" applyFont="1" applyFill="1" applyBorder="1" applyAlignment="1" applyProtection="1">
      <alignment/>
      <protection/>
    </xf>
    <xf numFmtId="3" fontId="21" fillId="0" borderId="0" xfId="138" applyNumberFormat="1" applyFont="1" applyAlignment="1">
      <alignment horizontal="center"/>
      <protection/>
    </xf>
    <xf numFmtId="172" fontId="24" fillId="0" borderId="0" xfId="138" applyNumberFormat="1" applyFont="1">
      <alignment/>
      <protection/>
    </xf>
    <xf numFmtId="174" fontId="24" fillId="22" borderId="0" xfId="96" applyNumberFormat="1" applyFont="1" applyFill="1" applyBorder="1" applyAlignment="1" applyProtection="1">
      <alignment/>
      <protection/>
    </xf>
    <xf numFmtId="3" fontId="24" fillId="0" borderId="0" xfId="138" applyNumberFormat="1" applyFont="1" applyAlignment="1" applyProtection="1">
      <alignment/>
      <protection/>
    </xf>
    <xf numFmtId="3" fontId="30" fillId="0" borderId="0" xfId="138" applyNumberFormat="1" applyFont="1" applyFill="1" applyAlignment="1">
      <alignment horizontal="left"/>
      <protection/>
    </xf>
    <xf numFmtId="3" fontId="21" fillId="0" borderId="0" xfId="138" applyNumberFormat="1" applyFont="1" applyFill="1" applyAlignment="1">
      <alignment horizontal="center"/>
      <protection/>
    </xf>
    <xf numFmtId="174" fontId="24" fillId="22" borderId="0" xfId="96" applyNumberFormat="1" applyFont="1" applyFill="1" applyBorder="1" applyAlignment="1" applyProtection="1">
      <alignment/>
      <protection locked="0"/>
    </xf>
    <xf numFmtId="0" fontId="24" fillId="0" borderId="0" xfId="138" applyNumberFormat="1" applyFont="1" applyBorder="1" applyAlignment="1">
      <alignment/>
      <protection/>
    </xf>
    <xf numFmtId="0" fontId="24" fillId="0" borderId="0" xfId="138" applyNumberFormat="1" applyFont="1" applyBorder="1">
      <alignment/>
      <protection/>
    </xf>
    <xf numFmtId="0" fontId="24" fillId="0" borderId="16" xfId="138" applyNumberFormat="1" applyFont="1" applyFill="1" applyBorder="1" applyAlignment="1">
      <alignment/>
      <protection/>
    </xf>
    <xf numFmtId="174" fontId="24" fillId="22" borderId="15" xfId="96" applyNumberFormat="1" applyFont="1" applyFill="1" applyBorder="1" applyAlignment="1" applyProtection="1">
      <alignment/>
      <protection locked="0"/>
    </xf>
    <xf numFmtId="174" fontId="24" fillId="0" borderId="0" xfId="96" applyNumberFormat="1" applyFont="1" applyFill="1" applyBorder="1" applyAlignment="1" applyProtection="1">
      <alignment/>
      <protection/>
    </xf>
    <xf numFmtId="173" fontId="24" fillId="0" borderId="0" xfId="138" applyNumberFormat="1" applyFont="1" applyAlignment="1">
      <alignment/>
      <protection/>
    </xf>
    <xf numFmtId="0" fontId="31" fillId="0" borderId="0" xfId="138" applyNumberFormat="1" applyFont="1" applyFill="1">
      <alignment/>
      <protection/>
    </xf>
    <xf numFmtId="3" fontId="31" fillId="0" borderId="0" xfId="138" applyNumberFormat="1" applyFont="1" applyFill="1" applyAlignment="1">
      <alignment/>
      <protection/>
    </xf>
    <xf numFmtId="0" fontId="31" fillId="0" borderId="0" xfId="138" applyFont="1" applyAlignment="1">
      <alignment horizontal="center"/>
      <protection/>
    </xf>
    <xf numFmtId="0" fontId="31" fillId="0" borderId="0" xfId="138" applyFont="1" applyAlignment="1">
      <alignment/>
      <protection/>
    </xf>
    <xf numFmtId="0" fontId="31" fillId="0" borderId="0" xfId="138" applyFont="1" applyFill="1" applyAlignment="1">
      <alignment/>
      <protection/>
    </xf>
    <xf numFmtId="0" fontId="32" fillId="0" borderId="0" xfId="138" applyNumberFormat="1" applyFont="1" applyFill="1" applyAlignment="1">
      <alignment horizontal="left"/>
      <protection/>
    </xf>
    <xf numFmtId="0" fontId="33" fillId="0" borderId="0" xfId="138" applyFont="1" applyFill="1" applyAlignment="1">
      <alignment/>
      <protection/>
    </xf>
    <xf numFmtId="174" fontId="24" fillId="0" borderId="0" xfId="96" applyNumberFormat="1" applyFont="1" applyFill="1" applyAlignment="1">
      <alignment/>
    </xf>
    <xf numFmtId="174" fontId="24" fillId="0" borderId="0" xfId="96" applyNumberFormat="1" applyFont="1" applyFill="1" applyBorder="1" applyAlignment="1">
      <alignment/>
    </xf>
    <xf numFmtId="174" fontId="24" fillId="0" borderId="16" xfId="96" applyNumberFormat="1" applyFont="1" applyFill="1" applyBorder="1" applyAlignment="1">
      <alignment/>
    </xf>
    <xf numFmtId="169" fontId="24" fillId="0" borderId="0" xfId="138" applyNumberFormat="1" applyFont="1" applyFill="1" applyAlignment="1">
      <alignment/>
      <protection/>
    </xf>
    <xf numFmtId="0" fontId="24" fillId="0" borderId="0" xfId="139" applyNumberFormat="1" applyFont="1" applyFill="1" applyAlignment="1">
      <alignment/>
    </xf>
    <xf numFmtId="3" fontId="24" fillId="0" borderId="0" xfId="139" applyNumberFormat="1" applyFont="1" applyFill="1" applyAlignment="1">
      <alignment/>
    </xf>
    <xf numFmtId="174" fontId="24" fillId="22" borderId="0" xfId="96" applyNumberFormat="1" applyFont="1" applyFill="1" applyBorder="1" applyAlignment="1">
      <alignment/>
    </xf>
    <xf numFmtId="174" fontId="24" fillId="0" borderId="15" xfId="96" applyNumberFormat="1" applyFont="1" applyFill="1" applyBorder="1" applyAlignment="1">
      <alignment/>
    </xf>
    <xf numFmtId="0" fontId="6" fillId="11" borderId="18" xfId="138" applyFont="1" applyFill="1" applyBorder="1" applyAlignment="1">
      <alignment/>
      <protection/>
    </xf>
    <xf numFmtId="0" fontId="6" fillId="11" borderId="0" xfId="138" applyFont="1" applyFill="1" applyBorder="1" applyAlignment="1">
      <alignment/>
      <protection/>
    </xf>
    <xf numFmtId="0" fontId="6" fillId="11" borderId="0" xfId="138" applyFont="1" applyFill="1" applyBorder="1" applyAlignment="1">
      <alignment horizontal="center"/>
      <protection/>
    </xf>
    <xf numFmtId="3" fontId="6" fillId="11" borderId="0" xfId="138" applyNumberFormat="1" applyFont="1" applyFill="1" applyBorder="1" applyAlignment="1">
      <alignment/>
      <protection/>
    </xf>
    <xf numFmtId="0" fontId="6" fillId="11" borderId="0" xfId="138" applyNumberFormat="1" applyFont="1" applyFill="1" applyBorder="1" applyAlignment="1">
      <alignment/>
      <protection/>
    </xf>
    <xf numFmtId="0" fontId="6" fillId="11" borderId="19" xfId="138" applyFont="1" applyFill="1" applyBorder="1" applyAlignment="1">
      <alignment/>
      <protection/>
    </xf>
    <xf numFmtId="3" fontId="6" fillId="11" borderId="0" xfId="138" applyNumberFormat="1" applyFont="1" applyFill="1" applyBorder="1" applyAlignment="1">
      <alignment horizontal="center"/>
      <protection/>
    </xf>
    <xf numFmtId="3" fontId="0" fillId="11" borderId="0" xfId="138" applyNumberFormat="1" applyFont="1" applyFill="1" applyBorder="1" applyAlignment="1">
      <alignment/>
      <protection/>
    </xf>
    <xf numFmtId="170" fontId="6" fillId="11" borderId="20" xfId="138" applyNumberFormat="1" applyFont="1" applyFill="1" applyBorder="1" applyAlignment="1">
      <alignment/>
      <protection/>
    </xf>
    <xf numFmtId="170" fontId="6" fillId="11" borderId="0" xfId="138" applyNumberFormat="1" applyFont="1" applyFill="1" applyBorder="1" applyAlignment="1">
      <alignment/>
      <protection/>
    </xf>
    <xf numFmtId="170" fontId="6" fillId="11" borderId="0" xfId="138" applyNumberFormat="1" applyFont="1" applyFill="1" applyBorder="1" applyAlignment="1">
      <alignment horizontal="center"/>
      <protection/>
    </xf>
    <xf numFmtId="0" fontId="0" fillId="11" borderId="0" xfId="138" applyFont="1" applyFill="1" applyBorder="1" applyAlignment="1">
      <alignment/>
      <protection/>
    </xf>
    <xf numFmtId="0" fontId="34" fillId="11" borderId="0" xfId="138" applyFont="1" applyFill="1" applyBorder="1" applyAlignment="1">
      <alignment/>
      <protection/>
    </xf>
    <xf numFmtId="0" fontId="6" fillId="11" borderId="18" xfId="138" applyNumberFormat="1" applyFont="1" applyFill="1" applyBorder="1" applyAlignment="1">
      <alignment/>
      <protection/>
    </xf>
    <xf numFmtId="0" fontId="6" fillId="11" borderId="0" xfId="138" applyNumberFormat="1" applyFont="1" applyFill="1" applyBorder="1" applyAlignment="1">
      <alignment horizontal="center"/>
      <protection/>
    </xf>
    <xf numFmtId="0" fontId="35" fillId="11" borderId="0" xfId="138" applyFont="1" applyFill="1" applyBorder="1">
      <alignment/>
      <protection/>
    </xf>
    <xf numFmtId="0" fontId="0" fillId="11" borderId="0" xfId="138" applyFont="1" applyFill="1" applyBorder="1">
      <alignment/>
      <protection/>
    </xf>
    <xf numFmtId="175" fontId="6" fillId="11" borderId="18" xfId="99" applyNumberFormat="1" applyFont="1" applyFill="1" applyBorder="1" applyAlignment="1">
      <alignment/>
    </xf>
    <xf numFmtId="175" fontId="6" fillId="11" borderId="0" xfId="99" applyNumberFormat="1" applyFont="1" applyFill="1" applyBorder="1" applyAlignment="1">
      <alignment/>
    </xf>
    <xf numFmtId="175" fontId="6" fillId="11" borderId="0" xfId="99" applyNumberFormat="1" applyFont="1" applyFill="1" applyBorder="1" applyAlignment="1">
      <alignment horizontal="center"/>
    </xf>
    <xf numFmtId="0" fontId="0" fillId="11" borderId="0" xfId="138" applyFont="1" applyFill="1" applyBorder="1" applyAlignment="1">
      <alignment horizontal="left" wrapText="1"/>
      <protection/>
    </xf>
    <xf numFmtId="170" fontId="6" fillId="11" borderId="18" xfId="138" applyNumberFormat="1" applyFont="1" applyFill="1" applyBorder="1" applyAlignment="1">
      <alignment/>
      <protection/>
    </xf>
    <xf numFmtId="170" fontId="6" fillId="11" borderId="15" xfId="138" applyNumberFormat="1" applyFont="1" applyFill="1" applyBorder="1" applyAlignment="1">
      <alignment/>
      <protection/>
    </xf>
    <xf numFmtId="170" fontId="6" fillId="11" borderId="15" xfId="138" applyNumberFormat="1" applyFont="1" applyFill="1" applyBorder="1" applyAlignment="1">
      <alignment horizontal="center"/>
      <protection/>
    </xf>
    <xf numFmtId="0" fontId="0" fillId="11" borderId="15" xfId="138" applyFont="1" applyFill="1" applyBorder="1" applyAlignment="1">
      <alignment/>
      <protection/>
    </xf>
    <xf numFmtId="3" fontId="6" fillId="11" borderId="15" xfId="138" applyNumberFormat="1" applyFont="1" applyFill="1" applyBorder="1" applyAlignment="1">
      <alignment/>
      <protection/>
    </xf>
    <xf numFmtId="0" fontId="6" fillId="11" borderId="15" xfId="138" applyNumberFormat="1" applyFont="1" applyFill="1" applyBorder="1" applyAlignment="1">
      <alignment/>
      <protection/>
    </xf>
    <xf numFmtId="0" fontId="6" fillId="11" borderId="15" xfId="138" applyFont="1" applyFill="1" applyBorder="1" applyAlignment="1">
      <alignment/>
      <protection/>
    </xf>
    <xf numFmtId="0" fontId="6" fillId="11" borderId="21" xfId="138" applyFont="1" applyFill="1" applyBorder="1" applyAlignment="1">
      <alignment/>
      <protection/>
    </xf>
    <xf numFmtId="0" fontId="25" fillId="0" borderId="22" xfId="138" applyFont="1" applyBorder="1" applyAlignment="1">
      <alignment/>
      <protection/>
    </xf>
    <xf numFmtId="0" fontId="24" fillId="0" borderId="23" xfId="138" applyFont="1" applyFill="1" applyBorder="1" applyAlignment="1">
      <alignment/>
      <protection/>
    </xf>
    <xf numFmtId="0" fontId="24" fillId="0" borderId="24" xfId="138" applyFont="1" applyFill="1" applyBorder="1" applyAlignment="1">
      <alignment/>
      <protection/>
    </xf>
    <xf numFmtId="0" fontId="24" fillId="0" borderId="18" xfId="138" applyFont="1" applyFill="1" applyBorder="1" applyAlignment="1">
      <alignment/>
      <protection/>
    </xf>
    <xf numFmtId="0" fontId="24" fillId="0" borderId="19" xfId="138" applyFont="1" applyFill="1" applyBorder="1" applyAlignment="1">
      <alignment/>
      <protection/>
    </xf>
    <xf numFmtId="174" fontId="6" fillId="11" borderId="20" xfId="96" applyNumberFormat="1" applyFont="1" applyFill="1" applyBorder="1" applyAlignment="1">
      <alignment/>
    </xf>
    <xf numFmtId="174" fontId="6" fillId="11" borderId="18" xfId="96" applyNumberFormat="1" applyFont="1" applyFill="1" applyBorder="1" applyAlignment="1">
      <alignment/>
    </xf>
    <xf numFmtId="0" fontId="24" fillId="0" borderId="0" xfId="138" applyNumberFormat="1" applyFont="1" applyFill="1" applyAlignment="1" quotePrefix="1">
      <alignment horizontal="left"/>
      <protection/>
    </xf>
    <xf numFmtId="0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139" applyNumberFormat="1" applyFont="1" applyFill="1" applyAlignment="1">
      <alignment/>
    </xf>
    <xf numFmtId="3" fontId="36" fillId="0" borderId="0" xfId="139" applyNumberFormat="1" applyFont="1" applyFill="1" applyAlignment="1">
      <alignment/>
    </xf>
    <xf numFmtId="165" fontId="24" fillId="0" borderId="0" xfId="138" applyNumberFormat="1" applyFont="1" applyBorder="1" applyAlignment="1">
      <alignment/>
      <protection/>
    </xf>
    <xf numFmtId="174" fontId="24" fillId="22" borderId="0" xfId="96" applyNumberFormat="1" applyFont="1" applyFill="1" applyBorder="1" applyAlignment="1">
      <alignment/>
    </xf>
    <xf numFmtId="174" fontId="24" fillId="22" borderId="15" xfId="96" applyNumberFormat="1" applyFont="1" applyFill="1" applyBorder="1" applyAlignment="1">
      <alignment/>
    </xf>
    <xf numFmtId="0" fontId="24" fillId="0" borderId="0" xfId="138" applyNumberFormat="1" applyFont="1" applyFill="1" applyBorder="1" applyAlignment="1">
      <alignment/>
      <protection/>
    </xf>
    <xf numFmtId="0" fontId="24" fillId="0" borderId="0" xfId="138" applyNumberFormat="1" applyFont="1" applyFill="1" applyBorder="1" applyAlignment="1">
      <alignment horizontal="left"/>
      <protection/>
    </xf>
    <xf numFmtId="3" fontId="24" fillId="0" borderId="0" xfId="138" applyNumberFormat="1" applyFont="1" applyFill="1" applyBorder="1" applyAlignment="1">
      <alignment/>
      <protection/>
    </xf>
    <xf numFmtId="0" fontId="24" fillId="22" borderId="0" xfId="138" applyFont="1" applyFill="1" applyAlignment="1">
      <alignment/>
      <protection/>
    </xf>
    <xf numFmtId="0" fontId="24" fillId="22" borderId="0" xfId="138" applyFont="1" applyFill="1" applyAlignment="1">
      <alignment horizontal="center"/>
      <protection/>
    </xf>
    <xf numFmtId="0" fontId="24" fillId="0" borderId="0" xfId="138" applyNumberFormat="1" applyFont="1" applyFill="1" applyAlignment="1">
      <alignment horizontal="right"/>
      <protection/>
    </xf>
    <xf numFmtId="10" fontId="24" fillId="22" borderId="0" xfId="138" applyNumberFormat="1" applyFont="1" applyFill="1">
      <alignment/>
      <protection/>
    </xf>
    <xf numFmtId="0" fontId="36" fillId="0" borderId="0" xfId="138" applyNumberFormat="1" applyFont="1" applyFill="1">
      <alignment/>
      <protection/>
    </xf>
    <xf numFmtId="10" fontId="24" fillId="0" borderId="0" xfId="138" applyNumberFormat="1" applyFont="1" applyFill="1">
      <alignment/>
      <protection/>
    </xf>
    <xf numFmtId="0" fontId="24" fillId="0" borderId="0" xfId="138" applyFont="1">
      <alignment/>
      <protection/>
    </xf>
    <xf numFmtId="0" fontId="33" fillId="0" borderId="0" xfId="138" applyNumberFormat="1" applyFont="1" applyFill="1">
      <alignment/>
      <protection/>
    </xf>
    <xf numFmtId="0" fontId="33" fillId="0" borderId="0" xfId="138" applyFont="1" applyFill="1" applyAlignment="1">
      <alignment horizontal="center"/>
      <protection/>
    </xf>
    <xf numFmtId="0" fontId="24" fillId="0" borderId="0" xfId="138" applyNumberFormat="1" applyFont="1" applyFill="1" applyAlignment="1">
      <alignment vertical="top" wrapText="1"/>
      <protection/>
    </xf>
    <xf numFmtId="0" fontId="30" fillId="0" borderId="0" xfId="138" applyNumberFormat="1" applyFont="1" applyFill="1" applyAlignment="1">
      <alignment horizontal="left"/>
      <protection/>
    </xf>
    <xf numFmtId="0" fontId="30" fillId="0" borderId="0" xfId="138" applyNumberFormat="1" applyFont="1" applyFill="1" applyAlignment="1">
      <alignment horizontal="center"/>
      <protection/>
    </xf>
    <xf numFmtId="0" fontId="24" fillId="0" borderId="16" xfId="138" applyNumberFormat="1" applyFont="1" applyFill="1" applyBorder="1" applyAlignment="1">
      <alignment horizontal="center"/>
      <protection/>
    </xf>
    <xf numFmtId="0" fontId="24" fillId="0" borderId="0" xfId="138" applyFont="1" applyFill="1" applyAlignment="1">
      <alignment horizontal="center" vertical="top" wrapText="1"/>
      <protection/>
    </xf>
    <xf numFmtId="0" fontId="24" fillId="0" borderId="0" xfId="138" applyFont="1" applyFill="1" applyAlignment="1">
      <alignment horizontal="center" vertical="top"/>
      <protection/>
    </xf>
    <xf numFmtId="175" fontId="24" fillId="0" borderId="0" xfId="99" applyNumberFormat="1" applyFont="1" applyFill="1" applyAlignment="1">
      <alignment/>
    </xf>
    <xf numFmtId="0" fontId="24" fillId="0" borderId="0" xfId="138" applyFont="1" applyFill="1" applyAlignment="1">
      <alignment horizontal="center" vertical="center" wrapText="1"/>
      <protection/>
    </xf>
    <xf numFmtId="174" fontId="24" fillId="22" borderId="0" xfId="96" applyNumberFormat="1" applyFont="1" applyFill="1" applyBorder="1" applyAlignment="1">
      <alignment/>
    </xf>
    <xf numFmtId="174" fontId="24" fillId="22" borderId="15" xfId="96" applyNumberFormat="1" applyFont="1" applyFill="1" applyBorder="1" applyAlignment="1">
      <alignment/>
    </xf>
    <xf numFmtId="3" fontId="24" fillId="0" borderId="25" xfId="138" applyNumberFormat="1" applyFont="1" applyBorder="1" applyAlignment="1">
      <alignment/>
      <protection/>
    </xf>
    <xf numFmtId="174" fontId="0" fillId="22" borderId="16" xfId="96" applyNumberFormat="1" applyFont="1" applyFill="1" applyBorder="1" applyAlignment="1">
      <alignment/>
    </xf>
    <xf numFmtId="177" fontId="24" fillId="22" borderId="15" xfId="96" applyNumberFormat="1" applyFont="1" applyFill="1" applyBorder="1" applyAlignment="1">
      <alignment/>
    </xf>
    <xf numFmtId="0" fontId="24" fillId="24" borderId="0" xfId="0" applyNumberFormat="1" applyFont="1" applyFill="1" applyAlignment="1">
      <alignment/>
    </xf>
    <xf numFmtId="0" fontId="25" fillId="24" borderId="0" xfId="0" applyNumberFormat="1" applyFont="1" applyFill="1" applyAlignment="1">
      <alignment horizontal="center"/>
    </xf>
    <xf numFmtId="0" fontId="24" fillId="24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4" fillId="24" borderId="0" xfId="0" applyNumberFormat="1" applyFont="1" applyFill="1" applyAlignment="1">
      <alignment horizontal="left"/>
    </xf>
    <xf numFmtId="0" fontId="24" fillId="24" borderId="0" xfId="0" applyNumberFormat="1" applyFont="1" applyFill="1" applyAlignment="1">
      <alignment/>
    </xf>
    <xf numFmtId="0" fontId="24" fillId="25" borderId="0" xfId="0" applyNumberFormat="1" applyFont="1" applyFill="1" applyAlignment="1">
      <alignment/>
    </xf>
    <xf numFmtId="0" fontId="24" fillId="25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right"/>
    </xf>
    <xf numFmtId="3" fontId="24" fillId="24" borderId="0" xfId="0" applyNumberFormat="1" applyFont="1" applyFill="1" applyAlignment="1">
      <alignment/>
    </xf>
    <xf numFmtId="0" fontId="24" fillId="24" borderId="0" xfId="0" applyNumberFormat="1" applyFont="1" applyFill="1" applyAlignment="1">
      <alignment horizontal="center"/>
    </xf>
    <xf numFmtId="49" fontId="24" fillId="22" borderId="0" xfId="0" applyNumberFormat="1" applyFont="1" applyFill="1" applyAlignment="1">
      <alignment/>
    </xf>
    <xf numFmtId="0" fontId="24" fillId="22" borderId="0" xfId="0" applyNumberFormat="1" applyFont="1" applyFill="1" applyAlignment="1">
      <alignment/>
    </xf>
    <xf numFmtId="49" fontId="24" fillId="24" borderId="0" xfId="0" applyNumberFormat="1" applyFont="1" applyFill="1" applyAlignment="1">
      <alignment/>
    </xf>
    <xf numFmtId="0" fontId="0" fillId="24" borderId="0" xfId="0" applyNumberFormat="1" applyFill="1" applyAlignment="1">
      <alignment horizontal="center"/>
    </xf>
    <xf numFmtId="0" fontId="0" fillId="24" borderId="0" xfId="0" applyNumberFormat="1" applyFill="1" applyAlignment="1">
      <alignment/>
    </xf>
    <xf numFmtId="0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/>
    </xf>
    <xf numFmtId="3" fontId="21" fillId="24" borderId="0" xfId="0" applyNumberFormat="1" applyFont="1" applyFill="1" applyAlignment="1">
      <alignment/>
    </xf>
    <xf numFmtId="174" fontId="24" fillId="24" borderId="0" xfId="96" applyNumberFormat="1" applyFont="1" applyFill="1" applyAlignment="1" quotePrefix="1">
      <alignment horizontal="center" vertical="center"/>
    </xf>
    <xf numFmtId="3" fontId="21" fillId="24" borderId="0" xfId="0" applyNumberFormat="1" applyFont="1" applyFill="1" applyAlignment="1">
      <alignment/>
    </xf>
    <xf numFmtId="49" fontId="24" fillId="24" borderId="0" xfId="0" applyNumberFormat="1" applyFont="1" applyFill="1" applyAlignment="1">
      <alignment horizontal="center"/>
    </xf>
    <xf numFmtId="49" fontId="24" fillId="24" borderId="0" xfId="0" applyNumberFormat="1" applyFont="1" applyFill="1" applyBorder="1" applyAlignment="1">
      <alignment horizontal="center"/>
    </xf>
    <xf numFmtId="0" fontId="21" fillId="24" borderId="0" xfId="0" applyNumberFormat="1" applyFont="1" applyFill="1" applyAlignment="1">
      <alignment/>
    </xf>
    <xf numFmtId="3" fontId="25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38" fillId="24" borderId="0" xfId="0" applyNumberFormat="1" applyFont="1" applyFill="1" applyBorder="1" applyAlignment="1">
      <alignment horizontal="center"/>
    </xf>
    <xf numFmtId="3" fontId="25" fillId="24" borderId="0" xfId="0" applyNumberFormat="1" applyFont="1" applyFill="1" applyAlignment="1">
      <alignment/>
    </xf>
    <xf numFmtId="3" fontId="39" fillId="24" borderId="0" xfId="0" applyNumberFormat="1" applyFont="1" applyFill="1" applyAlignment="1">
      <alignment/>
    </xf>
    <xf numFmtId="0" fontId="25" fillId="0" borderId="0" xfId="0" applyNumberFormat="1" applyFont="1" applyAlignment="1">
      <alignment horizontal="center"/>
    </xf>
    <xf numFmtId="0" fontId="25" fillId="24" borderId="0" xfId="0" applyNumberFormat="1" applyFont="1" applyFill="1" applyBorder="1" applyAlignment="1">
      <alignment horizontal="center"/>
    </xf>
    <xf numFmtId="0" fontId="0" fillId="24" borderId="16" xfId="0" applyNumberFormat="1" applyFill="1" applyBorder="1" applyAlignment="1">
      <alignment horizontal="center"/>
    </xf>
    <xf numFmtId="0" fontId="39" fillId="24" borderId="0" xfId="0" applyNumberFormat="1" applyFont="1" applyFill="1" applyAlignment="1">
      <alignment/>
    </xf>
    <xf numFmtId="10" fontId="21" fillId="24" borderId="0" xfId="0" applyNumberFormat="1" applyFont="1" applyFill="1" applyAlignment="1">
      <alignment/>
    </xf>
    <xf numFmtId="3" fontId="0" fillId="24" borderId="0" xfId="0" applyNumberFormat="1" applyFill="1" applyAlignment="1">
      <alignment horizontal="center"/>
    </xf>
    <xf numFmtId="3" fontId="24" fillId="24" borderId="0" xfId="0" applyNumberFormat="1" applyFont="1" applyFill="1" applyAlignment="1">
      <alignment horizontal="center"/>
    </xf>
    <xf numFmtId="174" fontId="21" fillId="22" borderId="0" xfId="96" applyNumberFormat="1" applyFont="1" applyFill="1" applyAlignment="1">
      <alignment/>
    </xf>
    <xf numFmtId="165" fontId="21" fillId="24" borderId="0" xfId="0" applyNumberFormat="1" applyFont="1" applyFill="1" applyAlignment="1">
      <alignment/>
    </xf>
    <xf numFmtId="0" fontId="0" fillId="24" borderId="0" xfId="0" applyNumberFormat="1" applyFill="1" applyBorder="1" applyAlignment="1">
      <alignment/>
    </xf>
    <xf numFmtId="10" fontId="39" fillId="24" borderId="0" xfId="0" applyNumberFormat="1" applyFont="1" applyFill="1" applyAlignment="1">
      <alignment/>
    </xf>
    <xf numFmtId="0" fontId="24" fillId="0" borderId="0" xfId="0" applyNumberFormat="1" applyFont="1" applyFill="1" applyBorder="1" applyAlignment="1">
      <alignment/>
    </xf>
    <xf numFmtId="0" fontId="24" fillId="24" borderId="0" xfId="0" applyNumberFormat="1" applyFont="1" applyFill="1" applyAlignment="1">
      <alignment vertical="top"/>
    </xf>
    <xf numFmtId="49" fontId="0" fillId="24" borderId="0" xfId="0" applyNumberFormat="1" applyFill="1" applyAlignment="1">
      <alignment horizontal="center"/>
    </xf>
    <xf numFmtId="174" fontId="21" fillId="22" borderId="0" xfId="96" applyNumberFormat="1" applyFont="1" applyFill="1" applyBorder="1" applyAlignment="1">
      <alignment/>
    </xf>
    <xf numFmtId="166" fontId="21" fillId="24" borderId="0" xfId="0" applyNumberFormat="1" applyFont="1" applyFill="1" applyAlignment="1">
      <alignment/>
    </xf>
    <xf numFmtId="0" fontId="39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 horizontal="center"/>
    </xf>
    <xf numFmtId="0" fontId="4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3" fontId="41" fillId="24" borderId="0" xfId="0" applyNumberFormat="1" applyFont="1" applyFill="1" applyAlignment="1">
      <alignment/>
    </xf>
    <xf numFmtId="164" fontId="24" fillId="24" borderId="0" xfId="0" applyNumberFormat="1" applyFont="1" applyFill="1" applyAlignment="1">
      <alignment horizontal="center"/>
    </xf>
    <xf numFmtId="3" fontId="21" fillId="24" borderId="0" xfId="0" applyNumberFormat="1" applyFont="1" applyFill="1" applyAlignment="1">
      <alignment horizontal="center"/>
    </xf>
    <xf numFmtId="10" fontId="21" fillId="24" borderId="0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10" fontId="21" fillId="0" borderId="0" xfId="0" applyNumberFormat="1" applyFont="1" applyFill="1" applyAlignment="1">
      <alignment/>
    </xf>
    <xf numFmtId="0" fontId="21" fillId="24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10" fontId="24" fillId="24" borderId="0" xfId="0" applyNumberFormat="1" applyFont="1" applyFill="1" applyAlignment="1">
      <alignment/>
    </xf>
    <xf numFmtId="0" fontId="24" fillId="0" borderId="0" xfId="0" applyNumberFormat="1" applyFont="1" applyFill="1" applyBorder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10" fontId="25" fillId="24" borderId="0" xfId="0" applyNumberFormat="1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3" fontId="21" fillId="22" borderId="0" xfId="0" applyNumberFormat="1" applyFont="1" applyFill="1" applyBorder="1" applyAlignment="1">
      <alignment/>
    </xf>
    <xf numFmtId="0" fontId="21" fillId="22" borderId="0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/>
    </xf>
    <xf numFmtId="178" fontId="39" fillId="0" borderId="0" xfId="0" applyNumberFormat="1" applyFont="1" applyFill="1" applyBorder="1" applyAlignment="1">
      <alignment horizontal="center"/>
    </xf>
    <xf numFmtId="0" fontId="38" fillId="0" borderId="26" xfId="0" applyNumberFormat="1" applyFont="1" applyFill="1" applyBorder="1" applyAlignment="1">
      <alignment horizontal="center" wrapText="1"/>
    </xf>
    <xf numFmtId="0" fontId="38" fillId="0" borderId="27" xfId="0" applyNumberFormat="1" applyFont="1" applyFill="1" applyBorder="1" applyAlignment="1">
      <alignment/>
    </xf>
    <xf numFmtId="0" fontId="38" fillId="0" borderId="27" xfId="0" applyNumberFormat="1" applyFont="1" applyFill="1" applyBorder="1" applyAlignment="1">
      <alignment horizontal="center" wrapText="1"/>
    </xf>
    <xf numFmtId="0" fontId="39" fillId="0" borderId="27" xfId="0" applyNumberFormat="1" applyFont="1" applyFill="1" applyBorder="1" applyAlignment="1">
      <alignment horizontal="center" wrapText="1"/>
    </xf>
    <xf numFmtId="0" fontId="38" fillId="0" borderId="28" xfId="0" applyNumberFormat="1" applyFont="1" applyFill="1" applyBorder="1" applyAlignment="1">
      <alignment horizontal="center" wrapText="1"/>
    </xf>
    <xf numFmtId="3" fontId="39" fillId="0" borderId="28" xfId="0" applyNumberFormat="1" applyFont="1" applyFill="1" applyBorder="1" applyAlignment="1">
      <alignment horizontal="center" wrapText="1"/>
    </xf>
    <xf numFmtId="3" fontId="39" fillId="0" borderId="27" xfId="0" applyNumberFormat="1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 horizontal="center" wrapText="1"/>
    </xf>
    <xf numFmtId="0" fontId="21" fillId="0" borderId="27" xfId="0" applyNumberFormat="1" applyFont="1" applyFill="1" applyBorder="1" applyAlignment="1">
      <alignment/>
    </xf>
    <xf numFmtId="0" fontId="21" fillId="0" borderId="27" xfId="0" applyNumberFormat="1" applyFont="1" applyFill="1" applyBorder="1" applyAlignment="1">
      <alignment horizontal="center"/>
    </xf>
    <xf numFmtId="0" fontId="21" fillId="0" borderId="27" xfId="0" applyNumberFormat="1" applyFont="1" applyFill="1" applyBorder="1" applyAlignment="1">
      <alignment horizontal="center" wrapText="1"/>
    </xf>
    <xf numFmtId="0" fontId="21" fillId="0" borderId="28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 horizontal="center" wrapText="1"/>
    </xf>
    <xf numFmtId="0" fontId="21" fillId="0" borderId="18" xfId="0" applyNumberFormat="1" applyFont="1" applyFill="1" applyBorder="1" applyAlignment="1">
      <alignment/>
    </xf>
    <xf numFmtId="0" fontId="21" fillId="0" borderId="29" xfId="0" applyNumberFormat="1" applyFont="1" applyFill="1" applyBorder="1" applyAlignment="1">
      <alignment/>
    </xf>
    <xf numFmtId="3" fontId="21" fillId="0" borderId="29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173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10" fontId="0" fillId="0" borderId="0" xfId="146" applyNumberFormat="1" applyFont="1" applyFill="1" applyBorder="1" applyAlignment="1">
      <alignment/>
    </xf>
    <xf numFmtId="44" fontId="0" fillId="0" borderId="29" xfId="99" applyFont="1" applyFill="1" applyBorder="1" applyAlignment="1">
      <alignment/>
    </xf>
    <xf numFmtId="175" fontId="43" fillId="22" borderId="0" xfId="99" applyNumberFormat="1" applyFont="1" applyFill="1" applyBorder="1" applyAlignment="1">
      <alignment/>
    </xf>
    <xf numFmtId="44" fontId="6" fillId="0" borderId="29" xfId="99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 horizontal="right"/>
    </xf>
    <xf numFmtId="173" fontId="4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42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44" fillId="0" borderId="15" xfId="0" applyNumberFormat="1" applyFont="1" applyFill="1" applyBorder="1" applyAlignment="1">
      <alignment/>
    </xf>
    <xf numFmtId="0" fontId="44" fillId="0" borderId="3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75" fontId="21" fillId="0" borderId="0" xfId="99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0" fontId="44" fillId="0" borderId="29" xfId="0" applyNumberFormat="1" applyFont="1" applyFill="1" applyBorder="1" applyAlignment="1">
      <alignment/>
    </xf>
    <xf numFmtId="1" fontId="21" fillId="0" borderId="0" xfId="96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0" fontId="21" fillId="0" borderId="0" xfId="0" applyNumberFormat="1" applyFont="1" applyFill="1" applyBorder="1" applyAlignment="1">
      <alignment/>
    </xf>
    <xf numFmtId="10" fontId="39" fillId="0" borderId="0" xfId="0" applyNumberFormat="1" applyFont="1" applyFill="1" applyBorder="1" applyAlignment="1">
      <alignment/>
    </xf>
    <xf numFmtId="10" fontId="21" fillId="24" borderId="0" xfId="0" applyNumberFormat="1" applyFont="1" applyFill="1" applyAlignment="1">
      <alignment wrapText="1"/>
    </xf>
    <xf numFmtId="0" fontId="24" fillId="22" borderId="0" xfId="138" applyNumberFormat="1" applyFont="1" applyFill="1" applyAlignment="1">
      <alignment horizontal="right"/>
      <protection/>
    </xf>
    <xf numFmtId="0" fontId="24" fillId="22" borderId="0" xfId="138" applyFont="1" applyFill="1" applyAlignment="1">
      <alignment/>
      <protection/>
    </xf>
    <xf numFmtId="175" fontId="6" fillId="11" borderId="17" xfId="103" applyNumberFormat="1" applyFont="1" applyFill="1" applyBorder="1" applyAlignment="1">
      <alignment/>
    </xf>
    <xf numFmtId="175" fontId="47" fillId="22" borderId="29" xfId="99" applyNumberFormat="1" applyFont="1" applyFill="1" applyBorder="1" applyAlignment="1">
      <alignment/>
    </xf>
    <xf numFmtId="175" fontId="47" fillId="22" borderId="29" xfId="99" applyNumberFormat="1" applyFont="1" applyFill="1" applyBorder="1" applyAlignment="1">
      <alignment/>
    </xf>
    <xf numFmtId="175" fontId="6" fillId="0" borderId="29" xfId="99" applyNumberFormat="1" applyFont="1" applyFill="1" applyBorder="1" applyAlignment="1">
      <alignment/>
    </xf>
    <xf numFmtId="175" fontId="47" fillId="22" borderId="31" xfId="99" applyNumberFormat="1" applyFont="1" applyFill="1" applyBorder="1" applyAlignment="1">
      <alignment/>
    </xf>
    <xf numFmtId="0" fontId="42" fillId="0" borderId="31" xfId="0" applyNumberFormat="1" applyFont="1" applyBorder="1" applyAlignment="1">
      <alignment/>
    </xf>
    <xf numFmtId="175" fontId="0" fillId="0" borderId="29" xfId="99" applyNumberFormat="1" applyFont="1" applyFill="1" applyBorder="1" applyAlignment="1">
      <alignment/>
    </xf>
    <xf numFmtId="175" fontId="6" fillId="22" borderId="0" xfId="99" applyNumberFormat="1" applyFont="1" applyFill="1" applyBorder="1" applyAlignment="1">
      <alignment/>
    </xf>
    <xf numFmtId="175" fontId="6" fillId="22" borderId="0" xfId="99" applyNumberFormat="1" applyFont="1" applyFill="1" applyBorder="1" applyAlignment="1">
      <alignment/>
    </xf>
    <xf numFmtId="173" fontId="0" fillId="0" borderId="0" xfId="0" applyFont="1" applyAlignment="1">
      <alignment/>
    </xf>
    <xf numFmtId="0" fontId="24" fillId="0" borderId="0" xfId="138" applyNumberFormat="1" applyFont="1" applyFill="1" applyAlignment="1">
      <alignment horizontal="left" vertical="top" wrapText="1"/>
      <protection/>
    </xf>
    <xf numFmtId="0" fontId="24" fillId="0" borderId="0" xfId="138" applyNumberFormat="1" applyFont="1" applyFill="1" applyAlignment="1">
      <alignment horizontal="left" vertical="center" wrapText="1"/>
      <protection/>
    </xf>
    <xf numFmtId="0" fontId="24" fillId="0" borderId="0" xfId="139" applyNumberFormat="1" applyFont="1" applyFill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</cellXfs>
  <cellStyles count="144">
    <cellStyle name="Normal" xfId="0"/>
    <cellStyle name="20% - Accent1" xfId="15"/>
    <cellStyle name="20% - Accent1 2" xfId="16"/>
    <cellStyle name="20% - Accent1_2011 TRUE-UP ALLETE MISO Attachment O with CWIP Working Papers" xfId="17"/>
    <cellStyle name="20% - Accent2" xfId="18"/>
    <cellStyle name="20% - Accent2 2" xfId="19"/>
    <cellStyle name="20% - Accent2_2011 TRUE-UP ALLETE MISO Attachment O with CWIP Working Papers" xfId="20"/>
    <cellStyle name="20% - Accent3" xfId="21"/>
    <cellStyle name="20% - Accent3 2" xfId="22"/>
    <cellStyle name="20% - Accent3_2011 TRUE-UP ALLETE MISO Attachment O with CWIP Working Papers" xfId="23"/>
    <cellStyle name="20% - Accent4" xfId="24"/>
    <cellStyle name="20% - Accent4 2" xfId="25"/>
    <cellStyle name="20% - Accent4_2011 TRUE-UP ALLETE MISO Attachment O with CWIP Working Papers" xfId="26"/>
    <cellStyle name="20% - Accent5" xfId="27"/>
    <cellStyle name="20% - Accent5 2" xfId="28"/>
    <cellStyle name="20% - Accent5_2011 TRUE-UP ALLETE MISO Attachment O with CWIP Working Papers" xfId="29"/>
    <cellStyle name="20% - Accent6" xfId="30"/>
    <cellStyle name="20% - Accent6 2" xfId="31"/>
    <cellStyle name="20% - Accent6_2011 TRUE-UP ALLETE MISO Attachment O with CWIP Working Papers" xfId="32"/>
    <cellStyle name="40% - Accent1" xfId="33"/>
    <cellStyle name="40% - Accent1 2" xfId="34"/>
    <cellStyle name="40% - Accent1_2011 TRUE-UP ALLETE MISO Attachment O with CWIP Working Papers" xfId="35"/>
    <cellStyle name="40% - Accent2" xfId="36"/>
    <cellStyle name="40% - Accent2 2" xfId="37"/>
    <cellStyle name="40% - Accent2_2011 TRUE-UP ALLETE MISO Attachment O with CWIP Working Papers" xfId="38"/>
    <cellStyle name="40% - Accent3" xfId="39"/>
    <cellStyle name="40% - Accent3 2" xfId="40"/>
    <cellStyle name="40% - Accent3_2011 TRUE-UP ALLETE MISO Attachment O with CWIP Working Papers" xfId="41"/>
    <cellStyle name="40% - Accent4" xfId="42"/>
    <cellStyle name="40% - Accent4 2" xfId="43"/>
    <cellStyle name="40% - Accent4_2011 TRUE-UP ALLETE MISO Attachment O with CWIP Working Papers" xfId="44"/>
    <cellStyle name="40% - Accent5" xfId="45"/>
    <cellStyle name="40% - Accent5 2" xfId="46"/>
    <cellStyle name="40% - Accent5_2011 TRUE-UP ALLETE MISO Attachment O with CWIP Working Papers" xfId="47"/>
    <cellStyle name="40% - Accent6" xfId="48"/>
    <cellStyle name="40% - Accent6 2" xfId="49"/>
    <cellStyle name="40% - Accent6_2011 TRUE-UP ALLETE MISO Attachment O with CWIP Working Papers" xfId="50"/>
    <cellStyle name="60% - Accent1" xfId="51"/>
    <cellStyle name="60% - Accent1 2" xfId="52"/>
    <cellStyle name="60% - Accent1_2011 TRUE-UP ALLETE MISO Attachment O with CWIP Working Papers" xfId="53"/>
    <cellStyle name="60% - Accent2" xfId="54"/>
    <cellStyle name="60% - Accent2 2" xfId="55"/>
    <cellStyle name="60% - Accent2_2011 TRUE-UP ALLETE MISO Attachment O with CWIP Working Papers" xfId="56"/>
    <cellStyle name="60% - Accent3" xfId="57"/>
    <cellStyle name="60% - Accent3 2" xfId="58"/>
    <cellStyle name="60% - Accent3_2011 TRUE-UP ALLETE MISO Attachment O with CWIP Working Papers" xfId="59"/>
    <cellStyle name="60% - Accent4" xfId="60"/>
    <cellStyle name="60% - Accent4 2" xfId="61"/>
    <cellStyle name="60% - Accent4_2011 TRUE-UP ALLETE MISO Attachment O with CWIP Working Papers" xfId="62"/>
    <cellStyle name="60% - Accent5" xfId="63"/>
    <cellStyle name="60% - Accent5 2" xfId="64"/>
    <cellStyle name="60% - Accent5_2011 TRUE-UP ALLETE MISO Attachment O with CWIP Working Papers" xfId="65"/>
    <cellStyle name="60% - Accent6" xfId="66"/>
    <cellStyle name="60% - Accent6 2" xfId="67"/>
    <cellStyle name="60% - Accent6_2011 TRUE-UP ALLETE MISO Attachment O with CWIP Working Papers" xfId="68"/>
    <cellStyle name="Accent1" xfId="69"/>
    <cellStyle name="Accent1 2" xfId="70"/>
    <cellStyle name="Accent1_2011 TRUE-UP ALLETE MISO Attachment O with CWIP Working Papers" xfId="71"/>
    <cellStyle name="Accent2" xfId="72"/>
    <cellStyle name="Accent2 2" xfId="73"/>
    <cellStyle name="Accent2_2011 TRUE-UP ALLETE MISO Attachment O with CWIP Working Papers" xfId="74"/>
    <cellStyle name="Accent3" xfId="75"/>
    <cellStyle name="Accent3 2" xfId="76"/>
    <cellStyle name="Accent3_2011 TRUE-UP ALLETE MISO Attachment O with CWIP Working Papers" xfId="77"/>
    <cellStyle name="Accent4" xfId="78"/>
    <cellStyle name="Accent4 2" xfId="79"/>
    <cellStyle name="Accent4_2011 TRUE-UP ALLETE MISO Attachment O with CWIP Working Papers" xfId="80"/>
    <cellStyle name="Accent5" xfId="81"/>
    <cellStyle name="Accent5 2" xfId="82"/>
    <cellStyle name="Accent5_2011 TRUE-UP ALLETE MISO Attachment O with CWIP Working Papers" xfId="83"/>
    <cellStyle name="Accent6" xfId="84"/>
    <cellStyle name="Accent6 2" xfId="85"/>
    <cellStyle name="Accent6_2011 TRUE-UP ALLETE MISO Attachment O with CWIP Working Papers" xfId="86"/>
    <cellStyle name="Bad" xfId="87"/>
    <cellStyle name="Bad 2" xfId="88"/>
    <cellStyle name="Bad_2011 TRUE-UP ALLETE MISO Attachment O with CWIP Working Papers" xfId="89"/>
    <cellStyle name="Calculation" xfId="90"/>
    <cellStyle name="Calculation 2" xfId="91"/>
    <cellStyle name="Calculation_2011 TRUE-UP ALLETE MISO Attachment O with CWIP Working Papers" xfId="92"/>
    <cellStyle name="Check Cell" xfId="93"/>
    <cellStyle name="Check Cell 2" xfId="94"/>
    <cellStyle name="Check Cell_2011 TRUE-UP ALLETE MISO Attachment O with CWIP Working Papers" xfId="95"/>
    <cellStyle name="Comma" xfId="96"/>
    <cellStyle name="Comma [0]" xfId="97"/>
    <cellStyle name="Comma 2" xfId="98"/>
    <cellStyle name="Currency" xfId="99"/>
    <cellStyle name="Currency [0]" xfId="100"/>
    <cellStyle name="Currency 2" xfId="101"/>
    <cellStyle name="Currency 3" xfId="102"/>
    <cellStyle name="Currency 4" xfId="103"/>
    <cellStyle name="Explanatory Text" xfId="104"/>
    <cellStyle name="Explanatory Text 2" xfId="105"/>
    <cellStyle name="Explanatory Text_2011 TRUE-UP ALLETE MISO Attachment O with CWIP Working Papers" xfId="106"/>
    <cellStyle name="Followed Hyperlink" xfId="107"/>
    <cellStyle name="Good" xfId="108"/>
    <cellStyle name="Good 2" xfId="109"/>
    <cellStyle name="Good_2011 TRUE-UP ALLETE MISO Attachment O with CWIP Working Papers" xfId="110"/>
    <cellStyle name="Heading 1" xfId="111"/>
    <cellStyle name="Heading 1 2" xfId="112"/>
    <cellStyle name="Heading 1_2011 TRUE-UP ALLETE MISO Attachment O with CWIP Working Papers" xfId="113"/>
    <cellStyle name="Heading 2" xfId="114"/>
    <cellStyle name="Heading 2 2" xfId="115"/>
    <cellStyle name="Heading 2_2011 TRUE-UP ALLETE MISO Attachment O with CWIP Working Papers" xfId="116"/>
    <cellStyle name="Heading 3" xfId="117"/>
    <cellStyle name="Heading 3 2" xfId="118"/>
    <cellStyle name="Heading 3_2011 TRUE-UP ALLETE MISO Attachment O with CWIP Working Papers" xfId="119"/>
    <cellStyle name="Heading 4" xfId="120"/>
    <cellStyle name="Heading 4 2" xfId="121"/>
    <cellStyle name="Heading 4_2011 TRUE-UP ALLETE MISO Attachment O with CWIP Working Papers" xfId="122"/>
    <cellStyle name="Hyperlink" xfId="123"/>
    <cellStyle name="Input" xfId="124"/>
    <cellStyle name="Input 2" xfId="125"/>
    <cellStyle name="Input_2011 TRUE-UP ALLETE MISO Attachment O with CWIP Working Papers" xfId="126"/>
    <cellStyle name="Linked Cell" xfId="127"/>
    <cellStyle name="Linked Cell 2" xfId="128"/>
    <cellStyle name="Linked Cell_2011 TRUE-UP ALLETE MISO Attachment O with CWIP Working Papers" xfId="129"/>
    <cellStyle name="Neutral" xfId="130"/>
    <cellStyle name="Neutral 2" xfId="131"/>
    <cellStyle name="Neutral_2011 TRUE-UP ALLETE MISO Attachment O with CWIP Working Papers" xfId="132"/>
    <cellStyle name="Normal 2" xfId="133"/>
    <cellStyle name="Normal 2 2" xfId="134"/>
    <cellStyle name="Normal 2_2011 TRUE-UP ALLETE MISO Attachment O with CWIP Working Papers" xfId="135"/>
    <cellStyle name="Normal 3" xfId="136"/>
    <cellStyle name="Normal 4" xfId="137"/>
    <cellStyle name="Normal_ATE-4  Attachment  O Populated (3)" xfId="138"/>
    <cellStyle name="Normal_Attachment O &amp; GG Final 11_11_09" xfId="139"/>
    <cellStyle name="Note" xfId="140"/>
    <cellStyle name="Note 2" xfId="141"/>
    <cellStyle name="Note_Attach O True Up Summary" xfId="142"/>
    <cellStyle name="Output" xfId="143"/>
    <cellStyle name="Output 2" xfId="144"/>
    <cellStyle name="Output_2011 TRUE-UP ALLETE MISO Attachment O with CWIP Working Papers" xfId="145"/>
    <cellStyle name="Percent" xfId="146"/>
    <cellStyle name="Percent 2" xfId="147"/>
    <cellStyle name="Percent 3" xfId="148"/>
    <cellStyle name="Title" xfId="149"/>
    <cellStyle name="Title 2" xfId="150"/>
    <cellStyle name="Title_2011 TRUE-UP ALLETE MISO Attachment O with CWIP Working Papers" xfId="151"/>
    <cellStyle name="Total" xfId="152"/>
    <cellStyle name="Total 2" xfId="153"/>
    <cellStyle name="Total_2011 TRUE-UP ALLETE MISO Attachment O with CWIP Working Papers" xfId="154"/>
    <cellStyle name="Warning Text" xfId="155"/>
    <cellStyle name="Warning Text 2" xfId="156"/>
    <cellStyle name="Warning Text_2011 TRUE-UP ALLETE MISO Attachment O with CWIP Working Papers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9"/>
  <sheetViews>
    <sheetView tabSelected="1" zoomScale="75" zoomScaleNormal="75" zoomScalePageLayoutView="0" workbookViewId="0" topLeftCell="A1">
      <selection activeCell="M28" sqref="M28"/>
    </sheetView>
  </sheetViews>
  <sheetFormatPr defaultColWidth="7.10546875" defaultRowHeight="15"/>
  <cols>
    <col min="1" max="1" width="5.99609375" style="1" customWidth="1"/>
    <col min="2" max="2" width="1.4375" style="1" customWidth="1"/>
    <col min="3" max="3" width="31.6640625" style="1" customWidth="1"/>
    <col min="4" max="4" width="34.3359375" style="1" customWidth="1"/>
    <col min="5" max="5" width="16.77734375" style="1" customWidth="1"/>
    <col min="6" max="6" width="6.77734375" style="1" customWidth="1"/>
    <col min="7" max="7" width="5.6640625" style="1" customWidth="1"/>
    <col min="8" max="8" width="10.6640625" style="1" customWidth="1"/>
    <col min="9" max="9" width="9.3359375" style="1" customWidth="1"/>
    <col min="10" max="10" width="13.77734375" style="1" customWidth="1"/>
    <col min="11" max="11" width="2.3359375" style="1" customWidth="1"/>
    <col min="12" max="12" width="8.99609375" style="7" customWidth="1"/>
    <col min="13" max="13" width="15.88671875" style="1" customWidth="1"/>
    <col min="14" max="14" width="2.99609375" style="1" customWidth="1"/>
    <col min="15" max="15" width="7.99609375" style="7" customWidth="1"/>
    <col min="16" max="16" width="13.10546875" style="1" customWidth="1"/>
    <col min="17" max="17" width="7.10546875" style="1" customWidth="1"/>
    <col min="18" max="18" width="11.77734375" style="1" customWidth="1"/>
    <col min="19" max="20" width="7.10546875" style="1" customWidth="1"/>
    <col min="21" max="21" width="10.10546875" style="1" customWidth="1"/>
    <col min="22" max="25" width="7.10546875" style="1" customWidth="1"/>
    <col min="26" max="26" width="25.88671875" style="1" customWidth="1"/>
    <col min="27" max="16384" width="7.10546875" style="1" customWidth="1"/>
  </cols>
  <sheetData>
    <row r="1" spans="3:16" ht="15.75">
      <c r="C1" s="2"/>
      <c r="D1" s="2"/>
      <c r="E1" s="3"/>
      <c r="F1" s="2"/>
      <c r="G1" s="2"/>
      <c r="H1" s="2"/>
      <c r="I1" s="4"/>
      <c r="J1" s="4"/>
      <c r="K1" s="4"/>
      <c r="P1" s="7" t="s">
        <v>25</v>
      </c>
    </row>
    <row r="2" spans="3:16" ht="15.75">
      <c r="C2" s="2" t="s">
        <v>26</v>
      </c>
      <c r="D2" s="2"/>
      <c r="E2" s="3" t="s">
        <v>0</v>
      </c>
      <c r="F2" s="2"/>
      <c r="G2" s="2"/>
      <c r="H2" s="2"/>
      <c r="I2" s="4"/>
      <c r="K2" s="10"/>
      <c r="L2" s="20"/>
      <c r="M2" s="385"/>
      <c r="N2" s="385"/>
      <c r="O2" s="231"/>
      <c r="P2" s="384" t="s">
        <v>453</v>
      </c>
    </row>
    <row r="3" spans="3:11" ht="15.75">
      <c r="C3" s="2"/>
      <c r="D3" s="9" t="s">
        <v>3</v>
      </c>
      <c r="E3" s="9" t="s">
        <v>27</v>
      </c>
      <c r="F3" s="9"/>
      <c r="G3" s="9"/>
      <c r="H3" s="9"/>
      <c r="I3" s="4"/>
      <c r="J3" s="4"/>
      <c r="K3" s="4"/>
    </row>
    <row r="4" spans="3:11" ht="15.75">
      <c r="C4" s="4"/>
      <c r="D4" s="4"/>
      <c r="E4" s="4"/>
      <c r="F4" s="4"/>
      <c r="G4" s="4"/>
      <c r="H4" s="4"/>
      <c r="I4" s="4"/>
      <c r="J4" s="4"/>
      <c r="K4" s="4"/>
    </row>
    <row r="5" spans="1:16" ht="31.5">
      <c r="A5" s="6"/>
      <c r="C5" s="4"/>
      <c r="D5" s="10"/>
      <c r="E5" s="11" t="s">
        <v>28</v>
      </c>
      <c r="F5" s="12"/>
      <c r="G5" s="4"/>
      <c r="H5" s="4"/>
      <c r="I5" s="4"/>
      <c r="J5" s="4"/>
      <c r="K5" s="4"/>
      <c r="L5" s="13" t="s">
        <v>29</v>
      </c>
      <c r="M5" s="14" t="s">
        <v>30</v>
      </c>
      <c r="N5" s="15"/>
      <c r="O5" s="13" t="s">
        <v>31</v>
      </c>
      <c r="P5" s="14" t="s">
        <v>32</v>
      </c>
    </row>
    <row r="6" spans="1:11" ht="15.75">
      <c r="A6" s="6"/>
      <c r="C6" s="4"/>
      <c r="D6" s="4"/>
      <c r="E6" s="16"/>
      <c r="F6" s="4"/>
      <c r="G6" s="4"/>
      <c r="H6" s="4"/>
      <c r="I6" s="4"/>
      <c r="J6" s="4"/>
      <c r="K6" s="4"/>
    </row>
    <row r="7" spans="1:11" ht="15.75">
      <c r="A7" s="6" t="s">
        <v>1</v>
      </c>
      <c r="C7" s="4"/>
      <c r="D7" s="4"/>
      <c r="E7" s="16"/>
      <c r="F7" s="4"/>
      <c r="G7" s="4"/>
      <c r="H7" s="4"/>
      <c r="I7" s="4"/>
      <c r="J7" s="6" t="s">
        <v>33</v>
      </c>
      <c r="K7" s="4"/>
    </row>
    <row r="8" spans="1:11" ht="16.5" thickBot="1">
      <c r="A8" s="17" t="s">
        <v>2</v>
      </c>
      <c r="C8" s="4"/>
      <c r="D8" s="4"/>
      <c r="E8" s="4"/>
      <c r="F8" s="4"/>
      <c r="G8" s="4"/>
      <c r="H8" s="4"/>
      <c r="I8" s="4"/>
      <c r="J8" s="17" t="s">
        <v>34</v>
      </c>
      <c r="K8" s="4"/>
    </row>
    <row r="9" spans="1:16" ht="15.75">
      <c r="A9" s="6">
        <v>1</v>
      </c>
      <c r="C9" s="4" t="s">
        <v>35</v>
      </c>
      <c r="D9" s="4"/>
      <c r="E9" s="18"/>
      <c r="F9" s="4"/>
      <c r="G9" s="4"/>
      <c r="H9" s="4"/>
      <c r="I9" s="4"/>
      <c r="J9" s="19">
        <f>J191</f>
        <v>53452848.60565753</v>
      </c>
      <c r="K9" s="10"/>
      <c r="L9" s="20"/>
      <c r="M9" s="19">
        <f>M191</f>
        <v>35967471.74755199</v>
      </c>
      <c r="N9" s="19"/>
      <c r="O9" s="21"/>
      <c r="P9" s="246">
        <f>P191</f>
        <v>17485376.91819554</v>
      </c>
    </row>
    <row r="10" spans="1:11" ht="15.75">
      <c r="A10" s="6"/>
      <c r="C10" s="4"/>
      <c r="D10" s="4"/>
      <c r="E10" s="4"/>
      <c r="F10" s="4"/>
      <c r="G10" s="4"/>
      <c r="H10" s="4"/>
      <c r="I10" s="4"/>
      <c r="J10" s="18"/>
      <c r="K10" s="4"/>
    </row>
    <row r="11" spans="1:11" ht="15.75">
      <c r="A11" s="6"/>
      <c r="C11" s="4"/>
      <c r="D11" s="4"/>
      <c r="E11" s="4"/>
      <c r="F11" s="4"/>
      <c r="G11" s="4"/>
      <c r="H11" s="4"/>
      <c r="I11" s="4"/>
      <c r="J11" s="18"/>
      <c r="K11" s="4"/>
    </row>
    <row r="12" spans="1:16" ht="16.5" thickBot="1">
      <c r="A12" s="6" t="s">
        <v>3</v>
      </c>
      <c r="C12" s="2" t="s">
        <v>36</v>
      </c>
      <c r="D12" s="22" t="s">
        <v>37</v>
      </c>
      <c r="E12" s="17" t="s">
        <v>38</v>
      </c>
      <c r="F12" s="9"/>
      <c r="G12" s="23" t="s">
        <v>4</v>
      </c>
      <c r="H12" s="23"/>
      <c r="I12" s="4"/>
      <c r="J12" s="18"/>
      <c r="K12" s="4"/>
      <c r="P12" s="24"/>
    </row>
    <row r="13" spans="1:16" ht="15.75">
      <c r="A13" s="6">
        <v>2</v>
      </c>
      <c r="C13" s="2" t="s">
        <v>39</v>
      </c>
      <c r="D13" s="9" t="s">
        <v>40</v>
      </c>
      <c r="E13" s="24">
        <f>J293</f>
        <v>707162.9</v>
      </c>
      <c r="F13" s="9"/>
      <c r="G13" s="9" t="s">
        <v>41</v>
      </c>
      <c r="H13" s="25">
        <f>J208</f>
        <v>0.8880796803345029</v>
      </c>
      <c r="I13" s="9"/>
      <c r="J13" s="24">
        <f>+H13*E13</f>
        <v>628017.0021764201</v>
      </c>
      <c r="K13" s="4"/>
      <c r="L13" s="7" t="s">
        <v>42</v>
      </c>
      <c r="M13" s="24">
        <f>J13-P13</f>
        <v>628017.0021764201</v>
      </c>
      <c r="N13" s="9"/>
      <c r="O13" s="7" t="s">
        <v>42</v>
      </c>
      <c r="P13" s="26">
        <v>0</v>
      </c>
    </row>
    <row r="14" spans="1:16" ht="15.75">
      <c r="A14" s="6">
        <v>3</v>
      </c>
      <c r="C14" s="2" t="s">
        <v>43</v>
      </c>
      <c r="D14" s="9" t="s">
        <v>44</v>
      </c>
      <c r="E14" s="24">
        <f>J300</f>
        <v>2293400</v>
      </c>
      <c r="F14" s="9"/>
      <c r="G14" s="9" t="str">
        <f aca="true" t="shared" si="0" ref="G14:H16">+G13</f>
        <v>TP</v>
      </c>
      <c r="H14" s="25">
        <f t="shared" si="0"/>
        <v>0.8880796803345029</v>
      </c>
      <c r="I14" s="9"/>
      <c r="J14" s="24">
        <f>+H14*E14</f>
        <v>2036721.938879149</v>
      </c>
      <c r="K14" s="4"/>
      <c r="L14" s="7" t="s">
        <v>42</v>
      </c>
      <c r="M14" s="24">
        <f>J14-P14</f>
        <v>1588200.938879149</v>
      </c>
      <c r="N14" s="9"/>
      <c r="O14" s="7" t="s">
        <v>42</v>
      </c>
      <c r="P14" s="26">
        <v>448521</v>
      </c>
    </row>
    <row r="15" spans="1:18" ht="15.75">
      <c r="A15" s="6">
        <v>4</v>
      </c>
      <c r="C15" s="27" t="s">
        <v>45</v>
      </c>
      <c r="D15" s="9"/>
      <c r="E15" s="26">
        <v>0</v>
      </c>
      <c r="F15" s="9"/>
      <c r="G15" s="9" t="str">
        <f t="shared" si="0"/>
        <v>TP</v>
      </c>
      <c r="H15" s="25">
        <f t="shared" si="0"/>
        <v>0.8880796803345029</v>
      </c>
      <c r="I15" s="9"/>
      <c r="J15" s="24">
        <f>+H15*E15</f>
        <v>0</v>
      </c>
      <c r="K15" s="4"/>
      <c r="L15" s="7" t="s">
        <v>42</v>
      </c>
      <c r="M15" s="24">
        <f>J15-P15</f>
        <v>0</v>
      </c>
      <c r="N15" s="9"/>
      <c r="O15" s="7" t="s">
        <v>42</v>
      </c>
      <c r="P15" s="28">
        <v>0</v>
      </c>
      <c r="Q15" s="29"/>
      <c r="R15" s="29"/>
    </row>
    <row r="16" spans="1:18" ht="16.5" thickBot="1">
      <c r="A16" s="6">
        <v>5</v>
      </c>
      <c r="C16" s="27" t="s">
        <v>46</v>
      </c>
      <c r="D16" s="9"/>
      <c r="E16" s="26">
        <v>0</v>
      </c>
      <c r="F16" s="9"/>
      <c r="G16" s="9" t="str">
        <f t="shared" si="0"/>
        <v>TP</v>
      </c>
      <c r="H16" s="25">
        <f t="shared" si="0"/>
        <v>0.8880796803345029</v>
      </c>
      <c r="I16" s="9"/>
      <c r="J16" s="30">
        <f>+H16*E16</f>
        <v>0</v>
      </c>
      <c r="K16" s="4"/>
      <c r="L16" s="7" t="s">
        <v>42</v>
      </c>
      <c r="M16" s="30">
        <f>J16-P16</f>
        <v>0</v>
      </c>
      <c r="N16" s="32"/>
      <c r="O16" s="7" t="s">
        <v>42</v>
      </c>
      <c r="P16" s="251">
        <v>0</v>
      </c>
      <c r="Q16" s="29"/>
      <c r="R16" s="29"/>
    </row>
    <row r="17" spans="1:18" ht="15.75">
      <c r="A17" s="6">
        <v>6</v>
      </c>
      <c r="C17" s="2" t="s">
        <v>47</v>
      </c>
      <c r="D17" s="4"/>
      <c r="E17" s="33" t="s">
        <v>3</v>
      </c>
      <c r="F17" s="9"/>
      <c r="G17" s="9"/>
      <c r="H17" s="25"/>
      <c r="I17" s="9"/>
      <c r="J17" s="24">
        <f>SUM(J13:J16)</f>
        <v>2664738.941055569</v>
      </c>
      <c r="K17" s="4"/>
      <c r="M17" s="34">
        <f>SUM(M13:M16)</f>
        <v>2216217.941055569</v>
      </c>
      <c r="N17" s="35"/>
      <c r="O17" s="36"/>
      <c r="P17" s="34">
        <f>SUM(P13:P16)</f>
        <v>448521</v>
      </c>
      <c r="Q17" s="29"/>
      <c r="R17" s="29"/>
    </row>
    <row r="18" spans="1:18" ht="15.75">
      <c r="A18" s="6"/>
      <c r="C18" s="2"/>
      <c r="D18" s="4"/>
      <c r="E18" s="33"/>
      <c r="F18" s="9"/>
      <c r="G18" s="9"/>
      <c r="H18" s="25"/>
      <c r="I18" s="9"/>
      <c r="J18" s="24"/>
      <c r="K18" s="4"/>
      <c r="M18" s="34"/>
      <c r="N18" s="35"/>
      <c r="O18" s="36"/>
      <c r="P18" s="34"/>
      <c r="Q18" s="29"/>
      <c r="R18" s="29"/>
    </row>
    <row r="19" spans="1:18" ht="15.75">
      <c r="A19" s="6" t="s">
        <v>48</v>
      </c>
      <c r="C19" s="2" t="s">
        <v>49</v>
      </c>
      <c r="D19" s="4"/>
      <c r="E19" s="33"/>
      <c r="F19" s="9"/>
      <c r="G19" s="9"/>
      <c r="H19" s="25"/>
      <c r="I19" s="9"/>
      <c r="J19" s="48">
        <f>M19+P19</f>
        <v>53143574</v>
      </c>
      <c r="K19" s="4"/>
      <c r="M19" s="46">
        <v>36932775</v>
      </c>
      <c r="N19" s="18"/>
      <c r="O19" s="47"/>
      <c r="P19" s="46">
        <v>16210799</v>
      </c>
      <c r="Q19" s="29"/>
      <c r="R19" s="29"/>
    </row>
    <row r="20" spans="1:18" ht="15.75">
      <c r="A20" s="6" t="s">
        <v>50</v>
      </c>
      <c r="C20" s="2" t="s">
        <v>51</v>
      </c>
      <c r="D20" s="4"/>
      <c r="E20" s="33"/>
      <c r="F20" s="9"/>
      <c r="G20" s="9"/>
      <c r="H20" s="25"/>
      <c r="I20" s="9"/>
      <c r="J20" s="183">
        <f>M20+P20</f>
        <v>52463913</v>
      </c>
      <c r="K20" s="4"/>
      <c r="M20" s="227">
        <v>37142600</v>
      </c>
      <c r="N20" s="18"/>
      <c r="O20" s="47"/>
      <c r="P20" s="227">
        <v>15321313</v>
      </c>
      <c r="Q20" s="29"/>
      <c r="R20" s="29"/>
    </row>
    <row r="21" spans="1:18" ht="15.75">
      <c r="A21" s="6" t="s">
        <v>52</v>
      </c>
      <c r="C21" s="2" t="s">
        <v>53</v>
      </c>
      <c r="D21" s="4" t="s">
        <v>54</v>
      </c>
      <c r="E21" s="33"/>
      <c r="F21" s="9"/>
      <c r="G21" s="9"/>
      <c r="H21" s="25"/>
      <c r="I21" s="9" t="s">
        <v>455</v>
      </c>
      <c r="J21" s="48">
        <f>J19-J20</f>
        <v>679661</v>
      </c>
      <c r="K21" s="4"/>
      <c r="M21" s="26">
        <f>M19-M20</f>
        <v>-209825</v>
      </c>
      <c r="N21" s="18"/>
      <c r="O21" s="47"/>
      <c r="P21" s="26">
        <f>P19-P20</f>
        <v>889486</v>
      </c>
      <c r="Q21" s="29"/>
      <c r="R21" s="29"/>
    </row>
    <row r="22" spans="1:18" ht="15.75">
      <c r="A22" s="6"/>
      <c r="C22" s="2"/>
      <c r="D22" s="4"/>
      <c r="E22" s="33"/>
      <c r="F22" s="9"/>
      <c r="G22" s="9"/>
      <c r="H22" s="25"/>
      <c r="I22" s="9"/>
      <c r="J22" s="24"/>
      <c r="K22" s="4"/>
      <c r="M22" s="45"/>
      <c r="N22" s="18"/>
      <c r="O22" s="47"/>
      <c r="P22" s="45"/>
      <c r="Q22" s="29"/>
      <c r="R22" s="29"/>
    </row>
    <row r="23" spans="1:18" ht="15.75">
      <c r="A23" s="6" t="s">
        <v>55</v>
      </c>
      <c r="C23" s="2" t="s">
        <v>56</v>
      </c>
      <c r="D23" s="4"/>
      <c r="E23" s="33"/>
      <c r="F23" s="9"/>
      <c r="G23" s="9"/>
      <c r="H23" s="25"/>
      <c r="I23" s="9"/>
      <c r="J23" s="48">
        <f>M23+P23</f>
        <v>2045000</v>
      </c>
      <c r="K23" s="4"/>
      <c r="M23" s="46">
        <v>1545000</v>
      </c>
      <c r="N23" s="18"/>
      <c r="O23" s="47"/>
      <c r="P23" s="46">
        <v>500000</v>
      </c>
      <c r="Q23" s="29"/>
      <c r="R23" s="29"/>
    </row>
    <row r="24" spans="1:18" ht="15.75">
      <c r="A24" s="6" t="s">
        <v>57</v>
      </c>
      <c r="C24" s="2" t="s">
        <v>58</v>
      </c>
      <c r="D24" s="4"/>
      <c r="E24" s="33"/>
      <c r="F24" s="9"/>
      <c r="G24" s="9"/>
      <c r="H24" s="25"/>
      <c r="I24" s="9"/>
      <c r="J24" s="183">
        <f>M24+P24</f>
        <v>1937600</v>
      </c>
      <c r="K24" s="4"/>
      <c r="M24" s="227">
        <v>1437600</v>
      </c>
      <c r="N24" s="18"/>
      <c r="O24" s="47"/>
      <c r="P24" s="227">
        <v>500000</v>
      </c>
      <c r="Q24" s="29"/>
      <c r="R24" s="29"/>
    </row>
    <row r="25" spans="1:18" ht="15.75">
      <c r="A25" s="6" t="s">
        <v>59</v>
      </c>
      <c r="C25" s="2" t="s">
        <v>60</v>
      </c>
      <c r="D25" s="4" t="s">
        <v>61</v>
      </c>
      <c r="E25" s="33"/>
      <c r="F25" s="9"/>
      <c r="G25" s="9"/>
      <c r="H25" s="25"/>
      <c r="I25" s="9" t="s">
        <v>454</v>
      </c>
      <c r="J25" s="48"/>
      <c r="K25" s="4"/>
      <c r="M25" s="26">
        <f>-M23+M24</f>
        <v>-107400</v>
      </c>
      <c r="N25" s="18"/>
      <c r="O25" s="47"/>
      <c r="P25" s="26">
        <f>-P23+P24</f>
        <v>0</v>
      </c>
      <c r="Q25" s="29"/>
      <c r="R25" s="29"/>
    </row>
    <row r="26" spans="1:18" ht="15.75">
      <c r="A26" s="6"/>
      <c r="C26" s="2"/>
      <c r="D26" s="4"/>
      <c r="E26" s="33"/>
      <c r="F26" s="9"/>
      <c r="G26" s="9"/>
      <c r="H26" s="25"/>
      <c r="I26" s="9"/>
      <c r="J26" s="48"/>
      <c r="K26" s="4"/>
      <c r="M26" s="26"/>
      <c r="N26" s="18"/>
      <c r="O26" s="47"/>
      <c r="P26" s="26"/>
      <c r="Q26" s="29"/>
      <c r="R26" s="29"/>
    </row>
    <row r="27" spans="1:18" ht="15.75">
      <c r="A27" s="6" t="s">
        <v>62</v>
      </c>
      <c r="C27" s="2" t="s">
        <v>63</v>
      </c>
      <c r="D27" s="4"/>
      <c r="E27" s="33"/>
      <c r="F27" s="9"/>
      <c r="G27" s="9"/>
      <c r="H27" s="25"/>
      <c r="I27" s="9"/>
      <c r="J27" s="183"/>
      <c r="K27" s="4"/>
      <c r="M27" s="252">
        <v>25.8365</v>
      </c>
      <c r="N27" s="18"/>
      <c r="O27" s="47"/>
      <c r="P27" s="252">
        <v>30.643</v>
      </c>
      <c r="Q27" s="29"/>
      <c r="R27" s="29"/>
    </row>
    <row r="28" spans="1:18" ht="15.75">
      <c r="A28" s="6" t="s">
        <v>64</v>
      </c>
      <c r="C28" s="2" t="s">
        <v>65</v>
      </c>
      <c r="D28" s="4" t="s">
        <v>66</v>
      </c>
      <c r="E28" s="33"/>
      <c r="F28" s="9"/>
      <c r="G28" s="9"/>
      <c r="H28" s="25"/>
      <c r="I28" s="9" t="s">
        <v>454</v>
      </c>
      <c r="J28" s="48">
        <f>SUM(M28:P28)</f>
        <v>-2774840.1</v>
      </c>
      <c r="K28" s="4"/>
      <c r="M28" s="26">
        <f>M27*M25</f>
        <v>-2774840.1</v>
      </c>
      <c r="N28" s="18"/>
      <c r="O28" s="47"/>
      <c r="P28" s="26">
        <f>P27*P25</f>
        <v>0</v>
      </c>
      <c r="Q28" s="29"/>
      <c r="R28" s="29"/>
    </row>
    <row r="29" spans="1:18" ht="15.75">
      <c r="A29" s="6"/>
      <c r="C29" s="2"/>
      <c r="D29" s="4"/>
      <c r="E29" s="33"/>
      <c r="F29" s="9"/>
      <c r="G29" s="9"/>
      <c r="H29" s="25"/>
      <c r="I29" s="9"/>
      <c r="J29" s="24"/>
      <c r="K29" s="4"/>
      <c r="M29" s="45"/>
      <c r="N29" s="18"/>
      <c r="O29" s="47"/>
      <c r="P29" s="176"/>
      <c r="Q29" s="29"/>
      <c r="R29" s="29"/>
    </row>
    <row r="30" spans="1:18" ht="15.75">
      <c r="A30" s="6" t="s">
        <v>67</v>
      </c>
      <c r="C30" s="2" t="s">
        <v>68</v>
      </c>
      <c r="D30" s="4"/>
      <c r="E30" s="33"/>
      <c r="F30" s="9"/>
      <c r="G30" s="9"/>
      <c r="H30" s="25"/>
      <c r="I30" s="9"/>
      <c r="J30" s="48">
        <f>SUM(M30:P30)</f>
        <v>-167533</v>
      </c>
      <c r="K30" s="4"/>
      <c r="M30" s="46">
        <v>-194003</v>
      </c>
      <c r="N30" s="18"/>
      <c r="O30" s="47"/>
      <c r="P30" s="46">
        <v>26470</v>
      </c>
      <c r="Q30" s="29"/>
      <c r="R30" s="29"/>
    </row>
    <row r="31" spans="1:18" ht="15.75">
      <c r="A31" s="6"/>
      <c r="C31" s="2"/>
      <c r="D31" s="4"/>
      <c r="E31" s="33"/>
      <c r="F31" s="9"/>
      <c r="G31" s="9"/>
      <c r="H31" s="25"/>
      <c r="I31" s="9"/>
      <c r="J31" s="24"/>
      <c r="K31" s="4"/>
      <c r="M31" s="45"/>
      <c r="N31" s="18"/>
      <c r="O31" s="47"/>
      <c r="P31" s="45"/>
      <c r="Q31" s="29"/>
      <c r="R31" s="29"/>
    </row>
    <row r="32" spans="1:18" ht="15.75">
      <c r="A32" s="6">
        <v>7</v>
      </c>
      <c r="C32" s="2" t="s">
        <v>69</v>
      </c>
      <c r="D32" s="4" t="s">
        <v>428</v>
      </c>
      <c r="E32" s="33"/>
      <c r="F32" s="9"/>
      <c r="G32" s="9"/>
      <c r="H32" s="9"/>
      <c r="I32" s="9"/>
      <c r="J32" s="38">
        <f>+J9-J17+J21+J28+J30</f>
        <v>48525397.564601965</v>
      </c>
      <c r="K32" s="4"/>
      <c r="M32" s="38">
        <f>+M9-M17+M21+M28+M30</f>
        <v>30572585.706496425</v>
      </c>
      <c r="N32" s="39"/>
      <c r="O32" s="40"/>
      <c r="P32" s="38">
        <f>+P9-P17+P21+P28+P30</f>
        <v>17952811.91819554</v>
      </c>
      <c r="Q32" s="29"/>
      <c r="R32" s="29"/>
    </row>
    <row r="33" spans="1:18" ht="15.75">
      <c r="A33" s="6" t="s">
        <v>70</v>
      </c>
      <c r="C33" s="1" t="s">
        <v>71</v>
      </c>
      <c r="D33" s="4"/>
      <c r="E33" s="33"/>
      <c r="F33" s="9"/>
      <c r="G33" s="9"/>
      <c r="H33" s="9"/>
      <c r="I33" s="9"/>
      <c r="J33" s="31">
        <f>M33+P33</f>
        <v>262259</v>
      </c>
      <c r="K33" s="4"/>
      <c r="L33" s="7" t="s">
        <v>42</v>
      </c>
      <c r="M33" s="227">
        <v>0</v>
      </c>
      <c r="N33" s="4"/>
      <c r="O33" s="7" t="s">
        <v>42</v>
      </c>
      <c r="P33" s="37">
        <v>262259</v>
      </c>
      <c r="Q33" s="29"/>
      <c r="R33" s="29"/>
    </row>
    <row r="34" spans="1:18" ht="15.75">
      <c r="A34" s="6" t="s">
        <v>72</v>
      </c>
      <c r="C34" s="42" t="s">
        <v>73</v>
      </c>
      <c r="D34" s="9"/>
      <c r="E34" s="9"/>
      <c r="J34" s="24">
        <f>J32-J33</f>
        <v>48263138.564601965</v>
      </c>
      <c r="K34" s="4"/>
      <c r="M34" s="24">
        <f>M32-M33</f>
        <v>30572585.706496425</v>
      </c>
      <c r="N34" s="4"/>
      <c r="O34" s="6"/>
      <c r="P34" s="24">
        <f>P32-P33</f>
        <v>17690552.91819554</v>
      </c>
      <c r="Q34" s="29"/>
      <c r="R34" s="29"/>
    </row>
    <row r="35" spans="1:18" ht="15.75">
      <c r="A35" s="6"/>
      <c r="D35" s="9"/>
      <c r="J35" s="24"/>
      <c r="K35" s="4"/>
      <c r="M35" s="34"/>
      <c r="N35" s="41"/>
      <c r="O35" s="43"/>
      <c r="P35" s="44"/>
      <c r="Q35" s="29"/>
      <c r="R35" s="29"/>
    </row>
    <row r="36" spans="1:18" ht="15.75">
      <c r="A36" s="6"/>
      <c r="C36" s="2" t="s">
        <v>74</v>
      </c>
      <c r="D36" s="4"/>
      <c r="E36" s="18"/>
      <c r="F36" s="4"/>
      <c r="G36" s="4"/>
      <c r="H36" s="4"/>
      <c r="I36" s="4"/>
      <c r="J36" s="45"/>
      <c r="K36" s="4"/>
      <c r="M36" s="34"/>
      <c r="N36" s="41"/>
      <c r="O36" s="43"/>
      <c r="P36" s="44"/>
      <c r="Q36" s="29"/>
      <c r="R36" s="29"/>
    </row>
    <row r="37" spans="1:18" ht="15.75">
      <c r="A37" s="6">
        <v>8</v>
      </c>
      <c r="C37" s="2" t="s">
        <v>75</v>
      </c>
      <c r="E37" s="18"/>
      <c r="F37" s="4"/>
      <c r="G37" s="4"/>
      <c r="H37" s="10" t="s">
        <v>76</v>
      </c>
      <c r="I37" s="4"/>
      <c r="J37" s="176">
        <f>M37</f>
        <v>1698000</v>
      </c>
      <c r="K37" s="4"/>
      <c r="L37" s="7" t="s">
        <v>42</v>
      </c>
      <c r="M37" s="26">
        <v>1698000</v>
      </c>
      <c r="N37" s="9"/>
      <c r="O37" s="7" t="s">
        <v>42</v>
      </c>
      <c r="P37" s="26">
        <v>0</v>
      </c>
      <c r="Q37" s="29"/>
      <c r="R37" s="29"/>
    </row>
    <row r="38" spans="1:16" ht="15.75">
      <c r="A38" s="6">
        <v>9</v>
      </c>
      <c r="C38" s="2" t="s">
        <v>77</v>
      </c>
      <c r="D38" s="9"/>
      <c r="E38" s="9"/>
      <c r="F38" s="9"/>
      <c r="G38" s="9"/>
      <c r="H38" s="22" t="s">
        <v>78</v>
      </c>
      <c r="I38" s="9"/>
      <c r="J38" s="176">
        <v>0</v>
      </c>
      <c r="K38" s="4"/>
      <c r="L38" s="7" t="s">
        <v>42</v>
      </c>
      <c r="M38" s="26">
        <f>J38</f>
        <v>0</v>
      </c>
      <c r="N38" s="9"/>
      <c r="O38" s="7" t="s">
        <v>42</v>
      </c>
      <c r="P38" s="26">
        <v>0</v>
      </c>
    </row>
    <row r="39" spans="1:16" ht="15.75">
      <c r="A39" s="6">
        <v>10</v>
      </c>
      <c r="C39" s="27" t="s">
        <v>79</v>
      </c>
      <c r="D39" s="4"/>
      <c r="E39" s="4"/>
      <c r="F39" s="4"/>
      <c r="H39" s="10" t="s">
        <v>5</v>
      </c>
      <c r="I39" s="4"/>
      <c r="J39" s="176">
        <v>0</v>
      </c>
      <c r="K39" s="4"/>
      <c r="L39" s="7" t="s">
        <v>42</v>
      </c>
      <c r="M39" s="26">
        <f>J39</f>
        <v>0</v>
      </c>
      <c r="N39" s="9"/>
      <c r="O39" s="7" t="s">
        <v>42</v>
      </c>
      <c r="P39" s="26">
        <v>0</v>
      </c>
    </row>
    <row r="40" spans="1:16" ht="15.75">
      <c r="A40" s="6">
        <v>11</v>
      </c>
      <c r="C40" s="2" t="s">
        <v>80</v>
      </c>
      <c r="D40" s="4"/>
      <c r="E40" s="4"/>
      <c r="F40" s="4"/>
      <c r="H40" s="10" t="s">
        <v>6</v>
      </c>
      <c r="I40" s="4"/>
      <c r="J40" s="177">
        <v>0</v>
      </c>
      <c r="K40" s="4"/>
      <c r="L40" s="7" t="s">
        <v>42</v>
      </c>
      <c r="M40" s="26">
        <f>J40</f>
        <v>0</v>
      </c>
      <c r="N40" s="9"/>
      <c r="O40" s="7" t="s">
        <v>42</v>
      </c>
      <c r="P40" s="26">
        <v>0</v>
      </c>
    </row>
    <row r="41" spans="1:16" ht="15.75">
      <c r="A41" s="6">
        <v>12</v>
      </c>
      <c r="C41" s="27" t="s">
        <v>81</v>
      </c>
      <c r="D41" s="4"/>
      <c r="E41" s="4"/>
      <c r="F41" s="4"/>
      <c r="G41" s="4"/>
      <c r="H41" s="4"/>
      <c r="I41" s="4"/>
      <c r="J41" s="177">
        <f>M41+P41</f>
        <v>513800</v>
      </c>
      <c r="K41" s="4"/>
      <c r="L41" s="7" t="s">
        <v>42</v>
      </c>
      <c r="M41" s="26">
        <v>13800</v>
      </c>
      <c r="N41" s="9"/>
      <c r="O41" s="7" t="s">
        <v>42</v>
      </c>
      <c r="P41" s="26">
        <v>500000</v>
      </c>
    </row>
    <row r="42" spans="1:16" ht="15.75">
      <c r="A42" s="6">
        <v>13</v>
      </c>
      <c r="C42" s="27" t="s">
        <v>82</v>
      </c>
      <c r="D42" s="4"/>
      <c r="E42" s="4"/>
      <c r="F42" s="4"/>
      <c r="G42" s="4"/>
      <c r="H42" s="10"/>
      <c r="I42" s="4"/>
      <c r="J42" s="177">
        <v>0</v>
      </c>
      <c r="K42" s="4"/>
      <c r="L42" s="7" t="s">
        <v>42</v>
      </c>
      <c r="M42" s="26">
        <f>J42</f>
        <v>0</v>
      </c>
      <c r="N42" s="9"/>
      <c r="O42" s="7" t="s">
        <v>42</v>
      </c>
      <c r="P42" s="26">
        <v>0</v>
      </c>
    </row>
    <row r="43" spans="1:16" ht="16.5" thickBot="1">
      <c r="A43" s="6">
        <v>14</v>
      </c>
      <c r="C43" s="27" t="s">
        <v>83</v>
      </c>
      <c r="D43" s="4"/>
      <c r="E43" s="4"/>
      <c r="F43" s="4"/>
      <c r="G43" s="4"/>
      <c r="H43" s="4"/>
      <c r="I43" s="4"/>
      <c r="J43" s="178">
        <v>0</v>
      </c>
      <c r="K43" s="4"/>
      <c r="L43" s="7" t="s">
        <v>42</v>
      </c>
      <c r="M43" s="37">
        <f>J43</f>
        <v>0</v>
      </c>
      <c r="N43" s="32"/>
      <c r="O43" s="7" t="s">
        <v>42</v>
      </c>
      <c r="P43" s="37">
        <v>0</v>
      </c>
    </row>
    <row r="44" spans="1:16" ht="15.75">
      <c r="A44" s="6">
        <v>15</v>
      </c>
      <c r="C44" s="2" t="s">
        <v>84</v>
      </c>
      <c r="D44" s="4"/>
      <c r="E44" s="4"/>
      <c r="F44" s="4"/>
      <c r="G44" s="4"/>
      <c r="H44" s="4"/>
      <c r="I44" s="4"/>
      <c r="J44" s="45">
        <f>SUM(J37:J43)</f>
        <v>2211800</v>
      </c>
      <c r="K44" s="4"/>
      <c r="M44" s="24">
        <f>SUM(M37:M43)</f>
        <v>1711800</v>
      </c>
      <c r="N44" s="9"/>
      <c r="O44" s="47"/>
      <c r="P44" s="48">
        <f>SUM(P37:P43)</f>
        <v>500000</v>
      </c>
    </row>
    <row r="45" spans="1:11" ht="15.75">
      <c r="A45" s="6"/>
      <c r="C45" s="2"/>
      <c r="D45" s="4"/>
      <c r="E45" s="4"/>
      <c r="F45" s="4"/>
      <c r="G45" s="4"/>
      <c r="H45" s="4"/>
      <c r="I45" s="4"/>
      <c r="J45" s="18"/>
      <c r="K45" s="4"/>
    </row>
    <row r="46" spans="1:16" ht="15.75">
      <c r="A46" s="6">
        <v>16</v>
      </c>
      <c r="C46" s="2" t="s">
        <v>85</v>
      </c>
      <c r="D46" s="4" t="s">
        <v>86</v>
      </c>
      <c r="E46" s="49"/>
      <c r="F46" s="4"/>
      <c r="G46" s="4"/>
      <c r="H46" s="4"/>
      <c r="I46" s="4"/>
      <c r="K46" s="4"/>
      <c r="M46" s="50">
        <f>M34/M44</f>
        <v>17.85990519131699</v>
      </c>
      <c r="N46" s="51"/>
      <c r="O46" s="52"/>
      <c r="P46" s="50">
        <f>P34/P44</f>
        <v>35.38110583639108</v>
      </c>
    </row>
    <row r="47" spans="1:16" ht="15.75">
      <c r="A47" s="6">
        <v>17</v>
      </c>
      <c r="C47" s="2" t="s">
        <v>87</v>
      </c>
      <c r="D47" s="4" t="s">
        <v>88</v>
      </c>
      <c r="E47" s="49"/>
      <c r="F47" s="4"/>
      <c r="G47" s="4"/>
      <c r="H47" s="4"/>
      <c r="I47" s="4"/>
      <c r="K47" s="4"/>
      <c r="M47" s="50">
        <f>M46/12</f>
        <v>1.4883254326097493</v>
      </c>
      <c r="N47" s="51"/>
      <c r="O47" s="52"/>
      <c r="P47" s="50">
        <f>P46/12</f>
        <v>2.9484254863659234</v>
      </c>
    </row>
    <row r="48" spans="1:16" ht="15.75">
      <c r="A48" s="6">
        <v>18</v>
      </c>
      <c r="C48" s="2" t="s">
        <v>89</v>
      </c>
      <c r="D48" s="3" t="s">
        <v>90</v>
      </c>
      <c r="E48" s="49"/>
      <c r="F48" s="4"/>
      <c r="G48" s="4"/>
      <c r="H48" s="4"/>
      <c r="I48" s="4"/>
      <c r="J48" s="53"/>
      <c r="K48" s="4"/>
      <c r="M48" s="53">
        <f>M46/52</f>
        <v>0.3434597152176344</v>
      </c>
      <c r="N48" s="53"/>
      <c r="O48" s="54"/>
      <c r="P48" s="53">
        <f>+P46/52</f>
        <v>0.6804058814690592</v>
      </c>
    </row>
    <row r="49" spans="1:16" ht="15.75">
      <c r="A49" s="6"/>
      <c r="C49" s="2"/>
      <c r="D49" s="3"/>
      <c r="E49" s="49"/>
      <c r="F49" s="4"/>
      <c r="G49" s="4"/>
      <c r="H49" s="4"/>
      <c r="I49" s="4"/>
      <c r="J49" s="53"/>
      <c r="K49" s="4"/>
      <c r="M49" s="53"/>
      <c r="N49" s="53"/>
      <c r="O49" s="54"/>
      <c r="P49" s="53"/>
    </row>
    <row r="50" spans="1:16" ht="15.75">
      <c r="A50" s="6"/>
      <c r="C50" s="2"/>
      <c r="D50" s="3"/>
      <c r="E50" s="49"/>
      <c r="F50" s="4"/>
      <c r="G50" s="4"/>
      <c r="H50" s="4"/>
      <c r="I50" s="4"/>
      <c r="J50" s="53"/>
      <c r="K50" s="4"/>
      <c r="M50" s="54" t="s">
        <v>91</v>
      </c>
      <c r="N50" s="54"/>
      <c r="O50" s="54"/>
      <c r="P50" s="54" t="s">
        <v>91</v>
      </c>
    </row>
    <row r="51" spans="1:16" ht="15.75">
      <c r="A51" s="6">
        <v>19</v>
      </c>
      <c r="C51" s="2" t="s">
        <v>92</v>
      </c>
      <c r="D51" s="3" t="s">
        <v>93</v>
      </c>
      <c r="E51" s="49"/>
      <c r="F51" s="4" t="s">
        <v>94</v>
      </c>
      <c r="H51" s="4"/>
      <c r="I51" s="4"/>
      <c r="J51" s="53"/>
      <c r="K51" s="4"/>
      <c r="M51" s="55">
        <f>+M46/260</f>
        <v>0.06869194304352688</v>
      </c>
      <c r="N51" s="55"/>
      <c r="O51" s="56"/>
      <c r="P51" s="55">
        <f>+P46/260</f>
        <v>0.13608117629381183</v>
      </c>
    </row>
    <row r="52" spans="1:16" ht="15.75">
      <c r="A52" s="6">
        <v>20</v>
      </c>
      <c r="C52" s="2" t="s">
        <v>95</v>
      </c>
      <c r="D52" s="3" t="s">
        <v>96</v>
      </c>
      <c r="E52" s="49"/>
      <c r="F52" s="4" t="s">
        <v>97</v>
      </c>
      <c r="H52" s="4"/>
      <c r="I52" s="4"/>
      <c r="J52" s="53"/>
      <c r="K52" s="4"/>
      <c r="M52" s="55">
        <f>+M46/4160*1000</f>
        <v>4.29324644022043</v>
      </c>
      <c r="N52" s="55"/>
      <c r="O52" s="56"/>
      <c r="P52" s="55">
        <f>+P46/4160*1000</f>
        <v>8.50507351836324</v>
      </c>
    </row>
    <row r="53" spans="1:16" ht="15.75">
      <c r="A53" s="6"/>
      <c r="C53" s="2"/>
      <c r="D53" s="4"/>
      <c r="E53" s="4"/>
      <c r="F53" s="4" t="s">
        <v>98</v>
      </c>
      <c r="H53" s="4"/>
      <c r="I53" s="4"/>
      <c r="K53" s="4"/>
      <c r="M53" s="42"/>
      <c r="N53" s="42"/>
      <c r="O53" s="20"/>
      <c r="P53" s="42"/>
    </row>
    <row r="54" spans="1:16" ht="15.75">
      <c r="A54" s="6"/>
      <c r="C54" s="2"/>
      <c r="D54" s="4"/>
      <c r="E54" s="57"/>
      <c r="F54" s="4"/>
      <c r="G54" s="4"/>
      <c r="H54" s="4"/>
      <c r="I54" s="4"/>
      <c r="J54" s="7"/>
      <c r="K54" s="4"/>
      <c r="M54" s="20" t="s">
        <v>99</v>
      </c>
      <c r="N54" s="42"/>
      <c r="O54" s="20"/>
      <c r="P54" s="20" t="s">
        <v>99</v>
      </c>
    </row>
    <row r="55" spans="1:16" ht="15.75">
      <c r="A55" s="6"/>
      <c r="C55" s="2"/>
      <c r="D55" s="3"/>
      <c r="E55" s="49"/>
      <c r="F55" s="4"/>
      <c r="G55" s="4"/>
      <c r="H55" s="4"/>
      <c r="I55" s="4"/>
      <c r="J55" s="53"/>
      <c r="K55" s="4"/>
      <c r="M55" s="55"/>
      <c r="N55" s="55"/>
      <c r="O55" s="56"/>
      <c r="P55" s="55"/>
    </row>
    <row r="56" spans="1:16" ht="15.75">
      <c r="A56" s="6">
        <v>21</v>
      </c>
      <c r="C56" s="2" t="s">
        <v>92</v>
      </c>
      <c r="D56" s="3" t="s">
        <v>100</v>
      </c>
      <c r="E56" s="49"/>
      <c r="F56" s="4" t="s">
        <v>94</v>
      </c>
      <c r="H56" s="4"/>
      <c r="I56" s="4"/>
      <c r="J56" s="53"/>
      <c r="K56" s="4"/>
      <c r="M56" s="55">
        <f>+M46/365</f>
        <v>0.0489312470994986</v>
      </c>
      <c r="N56" s="55"/>
      <c r="O56" s="56"/>
      <c r="P56" s="55">
        <f>+P46/365</f>
        <v>0.09693453653805775</v>
      </c>
    </row>
    <row r="57" spans="1:16" ht="15.75">
      <c r="A57" s="6">
        <v>22</v>
      </c>
      <c r="C57" s="2" t="s">
        <v>95</v>
      </c>
      <c r="D57" s="3" t="s">
        <v>101</v>
      </c>
      <c r="E57" s="49"/>
      <c r="F57" s="4" t="s">
        <v>97</v>
      </c>
      <c r="H57" s="4"/>
      <c r="I57" s="4"/>
      <c r="J57" s="53"/>
      <c r="K57" s="4"/>
      <c r="M57" s="55">
        <f>+M46/8760*1000</f>
        <v>2.0388019624791083</v>
      </c>
      <c r="N57" s="55"/>
      <c r="O57" s="56"/>
      <c r="P57" s="55">
        <f>+P46/8760*1000</f>
        <v>4.038939022419073</v>
      </c>
    </row>
    <row r="58" spans="1:16" ht="15.75">
      <c r="A58" s="6"/>
      <c r="C58" s="2"/>
      <c r="D58" s="4" t="s">
        <v>102</v>
      </c>
      <c r="E58" s="4"/>
      <c r="F58" s="4" t="s">
        <v>98</v>
      </c>
      <c r="H58" s="4"/>
      <c r="I58" s="4"/>
      <c r="K58" s="4"/>
      <c r="M58" s="42"/>
      <c r="N58" s="42"/>
      <c r="O58" s="20"/>
      <c r="P58" s="42"/>
    </row>
    <row r="59" spans="1:16" ht="15.75">
      <c r="A59" s="6"/>
      <c r="C59" s="2"/>
      <c r="D59" s="4"/>
      <c r="E59" s="4"/>
      <c r="F59" s="4"/>
      <c r="H59" s="4"/>
      <c r="I59" s="4"/>
      <c r="K59" s="4"/>
      <c r="M59" s="42"/>
      <c r="N59" s="42"/>
      <c r="O59" s="20"/>
      <c r="P59" s="42"/>
    </row>
    <row r="60" spans="1:16" ht="15.75">
      <c r="A60" s="6">
        <v>23</v>
      </c>
      <c r="C60" s="2" t="s">
        <v>103</v>
      </c>
      <c r="D60" s="4" t="s">
        <v>104</v>
      </c>
      <c r="E60" s="58">
        <v>0</v>
      </c>
      <c r="F60" s="59" t="s">
        <v>105</v>
      </c>
      <c r="G60" s="59"/>
      <c r="H60" s="59"/>
      <c r="I60" s="59"/>
      <c r="J60" s="59">
        <f>E60</f>
        <v>0</v>
      </c>
      <c r="K60" s="59" t="s">
        <v>105</v>
      </c>
      <c r="M60" s="42"/>
      <c r="N60" s="42"/>
      <c r="O60" s="20"/>
      <c r="P60" s="42"/>
    </row>
    <row r="61" spans="1:16" ht="15.75">
      <c r="A61" s="6">
        <v>24</v>
      </c>
      <c r="C61" s="2"/>
      <c r="D61" s="4"/>
      <c r="E61" s="58">
        <v>0</v>
      </c>
      <c r="F61" s="59" t="s">
        <v>106</v>
      </c>
      <c r="G61" s="59"/>
      <c r="H61" s="59"/>
      <c r="I61" s="59"/>
      <c r="J61" s="59">
        <f>E61</f>
        <v>0</v>
      </c>
      <c r="K61" s="59" t="s">
        <v>106</v>
      </c>
      <c r="M61" s="42"/>
      <c r="N61" s="42"/>
      <c r="O61" s="20"/>
      <c r="P61" s="42"/>
    </row>
    <row r="62" spans="1:16" ht="15.75">
      <c r="A62" s="6"/>
      <c r="C62" s="2"/>
      <c r="D62" s="4"/>
      <c r="E62" s="4"/>
      <c r="F62" s="59"/>
      <c r="G62" s="59"/>
      <c r="H62" s="59"/>
      <c r="I62" s="59"/>
      <c r="J62" s="59"/>
      <c r="K62" s="59"/>
      <c r="M62" s="42"/>
      <c r="N62" s="42"/>
      <c r="O62" s="20"/>
      <c r="P62" s="42"/>
    </row>
    <row r="63" spans="1:16" ht="15.75">
      <c r="A63" s="6"/>
      <c r="C63" s="2"/>
      <c r="D63" s="4"/>
      <c r="E63" s="4"/>
      <c r="F63" s="59"/>
      <c r="G63" s="59"/>
      <c r="H63" s="59"/>
      <c r="I63" s="59"/>
      <c r="J63" s="59"/>
      <c r="K63" s="59"/>
      <c r="M63" s="42"/>
      <c r="N63" s="42"/>
      <c r="O63" s="20"/>
      <c r="P63" s="42"/>
    </row>
    <row r="64" spans="1:16" ht="15.75">
      <c r="A64" s="6"/>
      <c r="C64" s="2"/>
      <c r="D64" s="4"/>
      <c r="E64" s="4"/>
      <c r="F64" s="59"/>
      <c r="G64" s="59"/>
      <c r="H64" s="59"/>
      <c r="I64" s="59"/>
      <c r="J64" s="59"/>
      <c r="K64" s="59"/>
      <c r="M64" s="42"/>
      <c r="N64" s="42"/>
      <c r="O64" s="20"/>
      <c r="P64" s="42"/>
    </row>
    <row r="65" spans="1:16" ht="15.75">
      <c r="A65" s="6"/>
      <c r="C65" s="2"/>
      <c r="D65" s="4"/>
      <c r="E65" s="62"/>
      <c r="F65" s="59"/>
      <c r="G65" s="59"/>
      <c r="H65" s="59"/>
      <c r="I65" s="59"/>
      <c r="J65" s="59"/>
      <c r="K65" s="59"/>
      <c r="M65" s="42"/>
      <c r="N65" s="42"/>
      <c r="O65" s="20"/>
      <c r="P65" s="42"/>
    </row>
    <row r="66" spans="3:16" ht="15.75">
      <c r="C66" s="2" t="s">
        <v>26</v>
      </c>
      <c r="D66" s="2"/>
      <c r="E66" s="3" t="s">
        <v>0</v>
      </c>
      <c r="F66" s="2"/>
      <c r="G66" s="2"/>
      <c r="H66" s="2"/>
      <c r="I66" s="4"/>
      <c r="J66" s="42"/>
      <c r="K66" s="10"/>
      <c r="L66" s="20"/>
      <c r="P66" s="7" t="s">
        <v>107</v>
      </c>
    </row>
    <row r="67" spans="3:18" ht="15.75">
      <c r="C67" s="2"/>
      <c r="D67" s="9" t="s">
        <v>3</v>
      </c>
      <c r="E67" s="9" t="s">
        <v>27</v>
      </c>
      <c r="F67" s="9"/>
      <c r="G67" s="9"/>
      <c r="H67" s="9"/>
      <c r="I67" s="4"/>
      <c r="J67" s="4"/>
      <c r="K67" s="4"/>
      <c r="M67" s="385"/>
      <c r="N67" s="385"/>
      <c r="O67" s="232"/>
      <c r="P67" s="384" t="s">
        <v>453</v>
      </c>
      <c r="R67" s="10"/>
    </row>
    <row r="68" spans="3:11" ht="15.75">
      <c r="C68" s="2"/>
      <c r="D68" s="9"/>
      <c r="E68" s="9"/>
      <c r="F68" s="9"/>
      <c r="G68" s="9"/>
      <c r="H68" s="9"/>
      <c r="I68" s="4"/>
      <c r="J68" s="4"/>
      <c r="K68" s="4"/>
    </row>
    <row r="69" spans="3:11" ht="31.5">
      <c r="C69" s="2"/>
      <c r="D69" s="4"/>
      <c r="E69" s="63" t="str">
        <f>E5</f>
        <v>Allete, Inc. dba Minnesota Power</v>
      </c>
      <c r="F69" s="9"/>
      <c r="G69" s="9"/>
      <c r="H69" s="9"/>
      <c r="I69" s="9"/>
      <c r="J69" s="9"/>
      <c r="K69" s="9"/>
    </row>
    <row r="70" spans="3:16" ht="15.75">
      <c r="C70" s="6" t="s">
        <v>7</v>
      </c>
      <c r="D70" s="6" t="s">
        <v>8</v>
      </c>
      <c r="E70" s="6" t="s">
        <v>9</v>
      </c>
      <c r="F70" s="9" t="s">
        <v>3</v>
      </c>
      <c r="G70" s="9"/>
      <c r="H70" s="64" t="s">
        <v>10</v>
      </c>
      <c r="I70" s="9"/>
      <c r="J70" s="65" t="s">
        <v>108</v>
      </c>
      <c r="K70" s="9"/>
      <c r="L70" s="65" t="s">
        <v>109</v>
      </c>
      <c r="M70" s="65" t="s">
        <v>110</v>
      </c>
      <c r="O70" s="65" t="s">
        <v>111</v>
      </c>
      <c r="P70" s="65" t="s">
        <v>112</v>
      </c>
    </row>
    <row r="71" spans="3:16" ht="15.75">
      <c r="C71" s="2"/>
      <c r="D71" s="66" t="s">
        <v>113</v>
      </c>
      <c r="E71" s="9"/>
      <c r="F71" s="9"/>
      <c r="G71" s="9"/>
      <c r="H71" s="6"/>
      <c r="I71" s="9"/>
      <c r="J71" s="5" t="s">
        <v>11</v>
      </c>
      <c r="K71" s="9"/>
      <c r="L71" s="15" t="s">
        <v>114</v>
      </c>
      <c r="M71" s="15" t="s">
        <v>30</v>
      </c>
      <c r="N71" s="15"/>
      <c r="O71" s="15" t="s">
        <v>115</v>
      </c>
      <c r="P71" s="15" t="s">
        <v>32</v>
      </c>
    </row>
    <row r="72" spans="1:16" ht="15.75">
      <c r="A72" s="6" t="s">
        <v>1</v>
      </c>
      <c r="C72" s="2"/>
      <c r="D72" s="14" t="s">
        <v>12</v>
      </c>
      <c r="E72" s="67" t="s">
        <v>116</v>
      </c>
      <c r="F72" s="68"/>
      <c r="G72" s="67" t="s">
        <v>117</v>
      </c>
      <c r="H72" s="69"/>
      <c r="I72" s="70"/>
      <c r="J72" s="71" t="s">
        <v>118</v>
      </c>
      <c r="K72" s="9"/>
      <c r="L72" s="14" t="s">
        <v>4</v>
      </c>
      <c r="M72" s="69" t="s">
        <v>119</v>
      </c>
      <c r="O72" s="14" t="s">
        <v>4</v>
      </c>
      <c r="P72" s="69" t="s">
        <v>120</v>
      </c>
    </row>
    <row r="73" spans="1:11" ht="16.5" thickBot="1">
      <c r="A73" s="17" t="s">
        <v>2</v>
      </c>
      <c r="C73" s="72" t="s">
        <v>121</v>
      </c>
      <c r="D73" s="9"/>
      <c r="E73" s="9"/>
      <c r="F73" s="9"/>
      <c r="G73" s="9"/>
      <c r="H73" s="9"/>
      <c r="I73" s="9"/>
      <c r="J73" s="9"/>
      <c r="K73" s="9"/>
    </row>
    <row r="74" spans="1:11" ht="15.75">
      <c r="A74" s="6"/>
      <c r="C74" s="2"/>
      <c r="D74" s="22"/>
      <c r="E74" s="9"/>
      <c r="F74" s="9"/>
      <c r="G74" s="9"/>
      <c r="H74" s="9"/>
      <c r="I74" s="9"/>
      <c r="J74" s="9"/>
      <c r="K74" s="9"/>
    </row>
    <row r="75" spans="1:11" ht="15.75">
      <c r="A75" s="6"/>
      <c r="C75" s="2" t="s">
        <v>429</v>
      </c>
      <c r="D75" s="22"/>
      <c r="E75" s="9"/>
      <c r="F75" s="9"/>
      <c r="G75" s="9"/>
      <c r="H75" s="22"/>
      <c r="I75" s="9"/>
      <c r="J75" s="9"/>
      <c r="K75" s="9"/>
    </row>
    <row r="76" spans="1:11" ht="15.75">
      <c r="A76" s="6">
        <v>1</v>
      </c>
      <c r="C76" s="2" t="s">
        <v>122</v>
      </c>
      <c r="D76" s="22" t="s">
        <v>123</v>
      </c>
      <c r="E76" s="26">
        <v>1730719928</v>
      </c>
      <c r="F76" s="9"/>
      <c r="G76" s="9" t="s">
        <v>124</v>
      </c>
      <c r="H76" s="73" t="s">
        <v>3</v>
      </c>
      <c r="I76" s="9"/>
      <c r="J76" s="9" t="s">
        <v>3</v>
      </c>
      <c r="K76" s="9"/>
    </row>
    <row r="77" spans="1:16" s="42" customFormat="1" ht="15.75">
      <c r="A77" s="60">
        <v>2</v>
      </c>
      <c r="C77" s="61" t="s">
        <v>125</v>
      </c>
      <c r="D77" s="22" t="s">
        <v>126</v>
      </c>
      <c r="E77" s="26">
        <v>446094312</v>
      </c>
      <c r="F77" s="22"/>
      <c r="G77" s="22" t="s">
        <v>41</v>
      </c>
      <c r="H77" s="74">
        <f>J208</f>
        <v>0.8880796803345029</v>
      </c>
      <c r="I77" s="22"/>
      <c r="J77" s="48">
        <f>+H77*E77</f>
        <v>396167294</v>
      </c>
      <c r="K77" s="48"/>
      <c r="L77" s="75" t="s">
        <v>42</v>
      </c>
      <c r="M77" s="48">
        <f>J77-P77</f>
        <v>280182773</v>
      </c>
      <c r="N77" s="48"/>
      <c r="O77" s="75" t="s">
        <v>42</v>
      </c>
      <c r="P77" s="26">
        <v>115984521</v>
      </c>
    </row>
    <row r="78" spans="1:16" ht="15.75">
      <c r="A78" s="6">
        <v>3</v>
      </c>
      <c r="C78" s="2" t="s">
        <v>127</v>
      </c>
      <c r="D78" s="22" t="s">
        <v>128</v>
      </c>
      <c r="E78" s="26">
        <v>479544440</v>
      </c>
      <c r="F78" s="9"/>
      <c r="G78" s="9" t="s">
        <v>124</v>
      </c>
      <c r="H78" s="73" t="s">
        <v>3</v>
      </c>
      <c r="I78" s="9"/>
      <c r="J78" s="24" t="s">
        <v>3</v>
      </c>
      <c r="K78" s="24"/>
      <c r="L78" s="76"/>
      <c r="M78" s="24"/>
      <c r="N78" s="24"/>
      <c r="O78" s="76"/>
      <c r="P78" s="24"/>
    </row>
    <row r="79" spans="1:16" ht="15.75">
      <c r="A79" s="6">
        <v>4</v>
      </c>
      <c r="C79" s="2" t="s">
        <v>129</v>
      </c>
      <c r="D79" s="22" t="s">
        <v>130</v>
      </c>
      <c r="E79" s="26">
        <v>201628326</v>
      </c>
      <c r="F79" s="9"/>
      <c r="G79" s="9" t="s">
        <v>131</v>
      </c>
      <c r="H79" s="73">
        <f>J234</f>
        <v>0.11289187194556022</v>
      </c>
      <c r="I79" s="9"/>
      <c r="J79" s="24">
        <f>+H79*E79</f>
        <v>22762199.15938967</v>
      </c>
      <c r="K79" s="24"/>
      <c r="L79" s="75" t="s">
        <v>132</v>
      </c>
      <c r="M79" s="48">
        <f>J79-P79</f>
        <v>16098189.266618427</v>
      </c>
      <c r="N79" s="48"/>
      <c r="O79" s="75" t="s">
        <v>133</v>
      </c>
      <c r="P79" s="24">
        <f>J79*$J$212</f>
        <v>6664009.892771243</v>
      </c>
    </row>
    <row r="80" spans="1:16" ht="16.5" thickBot="1">
      <c r="A80" s="6">
        <v>5</v>
      </c>
      <c r="C80" s="2" t="s">
        <v>134</v>
      </c>
      <c r="D80" s="22" t="s">
        <v>135</v>
      </c>
      <c r="E80" s="77">
        <v>0</v>
      </c>
      <c r="F80" s="9"/>
      <c r="G80" s="9" t="s">
        <v>136</v>
      </c>
      <c r="H80" s="74">
        <f>L263</f>
        <v>0.11289187194556022</v>
      </c>
      <c r="I80" s="22"/>
      <c r="J80" s="78">
        <f>+H80*E80</f>
        <v>0</v>
      </c>
      <c r="K80" s="48"/>
      <c r="L80" s="75" t="s">
        <v>132</v>
      </c>
      <c r="M80" s="78">
        <f>J80-P80</f>
        <v>0</v>
      </c>
      <c r="N80" s="79"/>
      <c r="O80" s="75" t="s">
        <v>133</v>
      </c>
      <c r="P80" s="30">
        <f>J80*$J$212</f>
        <v>0</v>
      </c>
    </row>
    <row r="81" spans="1:16" ht="15.75">
      <c r="A81" s="6">
        <v>6</v>
      </c>
      <c r="C81" s="2" t="s">
        <v>137</v>
      </c>
      <c r="D81" s="22"/>
      <c r="E81" s="24">
        <f>SUM(E76:E80)</f>
        <v>2857987006</v>
      </c>
      <c r="F81" s="9"/>
      <c r="G81" s="9" t="s">
        <v>138</v>
      </c>
      <c r="H81" s="80">
        <f>IF(J81&gt;0,J81/E81,0)</f>
        <v>0.14658201464173826</v>
      </c>
      <c r="I81" s="22"/>
      <c r="J81" s="48">
        <f>SUM(J76:J80)</f>
        <v>418929493.1593897</v>
      </c>
      <c r="K81" s="48"/>
      <c r="L81" s="75"/>
      <c r="M81" s="48">
        <f>SUM(M76:M80)</f>
        <v>296280962.26661843</v>
      </c>
      <c r="N81" s="48"/>
      <c r="O81" s="75"/>
      <c r="P81" s="48">
        <f>SUM(P77:P80)</f>
        <v>122648530.89277124</v>
      </c>
    </row>
    <row r="82" spans="3:16" ht="15.75">
      <c r="C82" s="2"/>
      <c r="D82" s="22"/>
      <c r="E82" s="24"/>
      <c r="F82" s="9"/>
      <c r="G82" s="9"/>
      <c r="H82" s="81"/>
      <c r="I82" s="9"/>
      <c r="J82" s="24"/>
      <c r="K82" s="24"/>
      <c r="L82" s="75"/>
      <c r="M82" s="48"/>
      <c r="N82" s="48"/>
      <c r="O82" s="75"/>
      <c r="P82" s="24"/>
    </row>
    <row r="83" spans="3:16" ht="15.75">
      <c r="C83" s="2" t="s">
        <v>430</v>
      </c>
      <c r="D83" s="22"/>
      <c r="E83" s="24"/>
      <c r="F83" s="9"/>
      <c r="G83" s="9"/>
      <c r="H83" s="9"/>
      <c r="I83" s="9"/>
      <c r="J83" s="24"/>
      <c r="K83" s="24"/>
      <c r="L83" s="75"/>
      <c r="M83" s="48"/>
      <c r="N83" s="48"/>
      <c r="O83" s="75"/>
      <c r="P83" s="24"/>
    </row>
    <row r="84" spans="1:16" ht="15.75">
      <c r="A84" s="6">
        <v>7</v>
      </c>
      <c r="C84" s="2" t="str">
        <f>+C76</f>
        <v>  Production</v>
      </c>
      <c r="D84" s="22" t="s">
        <v>139</v>
      </c>
      <c r="E84" s="26">
        <v>674331372</v>
      </c>
      <c r="F84" s="9"/>
      <c r="G84" s="9" t="str">
        <f aca="true" t="shared" si="1" ref="G84:H88">+G76</f>
        <v>NA</v>
      </c>
      <c r="H84" s="73" t="str">
        <f t="shared" si="1"/>
        <v> </v>
      </c>
      <c r="I84" s="9"/>
      <c r="J84" s="24" t="s">
        <v>3</v>
      </c>
      <c r="K84" s="24"/>
      <c r="L84" s="75"/>
      <c r="M84" s="48"/>
      <c r="N84" s="48"/>
      <c r="O84" s="75"/>
      <c r="P84" s="24"/>
    </row>
    <row r="85" spans="1:16" s="42" customFormat="1" ht="15.75">
      <c r="A85" s="60">
        <v>8</v>
      </c>
      <c r="C85" s="61" t="str">
        <f>+C77</f>
        <v>  Transmission</v>
      </c>
      <c r="D85" s="22" t="s">
        <v>140</v>
      </c>
      <c r="E85" s="26">
        <v>179670039</v>
      </c>
      <c r="F85" s="22"/>
      <c r="G85" s="22" t="str">
        <f t="shared" si="1"/>
        <v>TP</v>
      </c>
      <c r="H85" s="74">
        <f t="shared" si="1"/>
        <v>0.8880796803345029</v>
      </c>
      <c r="I85" s="22"/>
      <c r="J85" s="48">
        <f>+H85*E85</f>
        <v>159561310.80080768</v>
      </c>
      <c r="K85" s="48"/>
      <c r="L85" s="75" t="s">
        <v>42</v>
      </c>
      <c r="M85" s="82">
        <f>J85-P85</f>
        <v>112521083.80080768</v>
      </c>
      <c r="N85" s="82"/>
      <c r="O85" s="75" t="s">
        <v>42</v>
      </c>
      <c r="P85" s="83">
        <v>47040227</v>
      </c>
    </row>
    <row r="86" spans="1:16" ht="15.75">
      <c r="A86" s="6">
        <v>9</v>
      </c>
      <c r="C86" s="2" t="str">
        <f>+C78</f>
        <v>  Distribution</v>
      </c>
      <c r="D86" s="22" t="s">
        <v>141</v>
      </c>
      <c r="E86" s="26">
        <v>205254525</v>
      </c>
      <c r="F86" s="9"/>
      <c r="G86" s="9" t="str">
        <f t="shared" si="1"/>
        <v>NA</v>
      </c>
      <c r="H86" s="73" t="str">
        <f t="shared" si="1"/>
        <v> </v>
      </c>
      <c r="I86" s="9"/>
      <c r="J86" s="24" t="s">
        <v>3</v>
      </c>
      <c r="K86" s="24"/>
      <c r="L86" s="75"/>
      <c r="M86" s="82"/>
      <c r="N86" s="82"/>
      <c r="O86" s="75"/>
      <c r="P86" s="84"/>
    </row>
    <row r="87" spans="1:16" ht="15.75">
      <c r="A87" s="6">
        <v>10</v>
      </c>
      <c r="C87" s="2" t="str">
        <f>+C79</f>
        <v>  General &amp; Intangible</v>
      </c>
      <c r="D87" s="22" t="s">
        <v>441</v>
      </c>
      <c r="E87" s="26">
        <v>84656194</v>
      </c>
      <c r="F87" s="9"/>
      <c r="G87" s="9" t="str">
        <f t="shared" si="1"/>
        <v>W/S</v>
      </c>
      <c r="H87" s="73">
        <f t="shared" si="1"/>
        <v>0.11289187194556022</v>
      </c>
      <c r="I87" s="9"/>
      <c r="J87" s="24">
        <f>+H87*E87</f>
        <v>9556996.212446503</v>
      </c>
      <c r="K87" s="24"/>
      <c r="L87" s="75" t="s">
        <v>142</v>
      </c>
      <c r="M87" s="48">
        <f>J87-P87</f>
        <v>6759027.665604719</v>
      </c>
      <c r="N87" s="85"/>
      <c r="O87" s="75" t="s">
        <v>133</v>
      </c>
      <c r="P87" s="24">
        <f>J87*$J$212</f>
        <v>2797968.5468417844</v>
      </c>
    </row>
    <row r="88" spans="1:16" ht="16.5" thickBot="1">
      <c r="A88" s="6">
        <v>11</v>
      </c>
      <c r="C88" s="2" t="str">
        <f>+C80</f>
        <v>  Common</v>
      </c>
      <c r="D88" s="22" t="s">
        <v>135</v>
      </c>
      <c r="E88" s="77">
        <v>0</v>
      </c>
      <c r="F88" s="9"/>
      <c r="G88" s="9" t="str">
        <f t="shared" si="1"/>
        <v>CE</v>
      </c>
      <c r="H88" s="73">
        <f t="shared" si="1"/>
        <v>0.11289187194556022</v>
      </c>
      <c r="I88" s="9"/>
      <c r="J88" s="30">
        <f>+H88*E88</f>
        <v>0</v>
      </c>
      <c r="K88" s="24"/>
      <c r="L88" s="75" t="s">
        <v>132</v>
      </c>
      <c r="M88" s="78">
        <f>J88-P88</f>
        <v>0</v>
      </c>
      <c r="N88" s="79"/>
      <c r="O88" s="75" t="s">
        <v>133</v>
      </c>
      <c r="P88" s="30">
        <f>J88*$J$212</f>
        <v>0</v>
      </c>
    </row>
    <row r="89" spans="1:16" ht="15.75">
      <c r="A89" s="6">
        <v>12</v>
      </c>
      <c r="C89" s="2" t="s">
        <v>143</v>
      </c>
      <c r="D89" s="22"/>
      <c r="E89" s="24">
        <f>SUM(E84:E88)</f>
        <v>1143912130</v>
      </c>
      <c r="F89" s="9"/>
      <c r="G89" s="9"/>
      <c r="H89" s="9"/>
      <c r="I89" s="9"/>
      <c r="J89" s="24">
        <f>SUM(J84:J88)</f>
        <v>169118307.0132542</v>
      </c>
      <c r="K89" s="24"/>
      <c r="L89" s="76"/>
      <c r="M89" s="82">
        <f>SUM(M85:M88)</f>
        <v>119280111.46641241</v>
      </c>
      <c r="N89" s="82"/>
      <c r="O89" s="75"/>
      <c r="P89" s="82">
        <f>SUM(P85:P88)</f>
        <v>49838195.546841785</v>
      </c>
    </row>
    <row r="90" spans="1:16" ht="15.75">
      <c r="A90" s="6"/>
      <c r="D90" s="22" t="s">
        <v>3</v>
      </c>
      <c r="E90" s="24"/>
      <c r="F90" s="9"/>
      <c r="G90" s="9"/>
      <c r="H90" s="81"/>
      <c r="I90" s="9"/>
      <c r="J90" s="24"/>
      <c r="K90" s="24"/>
      <c r="L90" s="76"/>
      <c r="M90" s="24"/>
      <c r="N90" s="24"/>
      <c r="O90" s="76"/>
      <c r="P90" s="24"/>
    </row>
    <row r="91" spans="1:16" ht="15.75">
      <c r="A91" s="6"/>
      <c r="C91" s="2" t="s">
        <v>144</v>
      </c>
      <c r="D91" s="22"/>
      <c r="E91" s="24"/>
      <c r="F91" s="9"/>
      <c r="G91" s="9"/>
      <c r="H91" s="9"/>
      <c r="I91" s="9"/>
      <c r="J91" s="24"/>
      <c r="K91" s="24"/>
      <c r="L91" s="76"/>
      <c r="M91" s="24"/>
      <c r="N91" s="24"/>
      <c r="O91" s="76"/>
      <c r="P91" s="24"/>
    </row>
    <row r="92" spans="1:16" ht="15.75">
      <c r="A92" s="6">
        <v>13</v>
      </c>
      <c r="C92" s="2" t="str">
        <f>+C84</f>
        <v>  Production</v>
      </c>
      <c r="D92" s="22" t="s">
        <v>145</v>
      </c>
      <c r="E92" s="24">
        <f>E76-E84</f>
        <v>1056388556</v>
      </c>
      <c r="F92" s="9"/>
      <c r="G92" s="9"/>
      <c r="H92" s="81"/>
      <c r="I92" s="9"/>
      <c r="J92" s="24" t="s">
        <v>3</v>
      </c>
      <c r="K92" s="24"/>
      <c r="L92" s="76"/>
      <c r="M92" s="24"/>
      <c r="N92" s="24"/>
      <c r="O92" s="76"/>
      <c r="P92" s="24"/>
    </row>
    <row r="93" spans="1:16" s="42" customFormat="1" ht="15.75">
      <c r="A93" s="60">
        <v>14</v>
      </c>
      <c r="C93" s="61" t="str">
        <f>+C85</f>
        <v>  Transmission</v>
      </c>
      <c r="D93" s="22" t="s">
        <v>146</v>
      </c>
      <c r="E93" s="48">
        <f>E77-E85</f>
        <v>266424273</v>
      </c>
      <c r="F93" s="22"/>
      <c r="G93" s="22"/>
      <c r="H93" s="74"/>
      <c r="I93" s="22"/>
      <c r="J93" s="48">
        <f>J77-J85</f>
        <v>236605983.19919232</v>
      </c>
      <c r="K93" s="48"/>
      <c r="L93" s="75"/>
      <c r="M93" s="48">
        <f>M77-M85</f>
        <v>167661689.19919232</v>
      </c>
      <c r="N93" s="48"/>
      <c r="O93" s="75"/>
      <c r="P93" s="48">
        <f>P77-P85</f>
        <v>68944294</v>
      </c>
    </row>
    <row r="94" spans="1:16" ht="15.75">
      <c r="A94" s="6">
        <v>15</v>
      </c>
      <c r="C94" s="2" t="str">
        <f>+C86</f>
        <v>  Distribution</v>
      </c>
      <c r="D94" s="22" t="s">
        <v>147</v>
      </c>
      <c r="E94" s="24">
        <f>E78-E86</f>
        <v>274289915</v>
      </c>
      <c r="F94" s="9"/>
      <c r="G94" s="9"/>
      <c r="H94" s="81"/>
      <c r="I94" s="9"/>
      <c r="J94" s="24" t="s">
        <v>3</v>
      </c>
      <c r="K94" s="24"/>
      <c r="L94" s="76"/>
      <c r="M94" s="24" t="s">
        <v>3</v>
      </c>
      <c r="N94" s="24"/>
      <c r="O94" s="76"/>
      <c r="P94" s="24" t="s">
        <v>3</v>
      </c>
    </row>
    <row r="95" spans="1:16" ht="15.75">
      <c r="A95" s="6">
        <v>16</v>
      </c>
      <c r="C95" s="2" t="str">
        <f>+C87</f>
        <v>  General &amp; Intangible</v>
      </c>
      <c r="D95" s="22" t="s">
        <v>148</v>
      </c>
      <c r="E95" s="24">
        <f>E79-E87</f>
        <v>116972132</v>
      </c>
      <c r="F95" s="9"/>
      <c r="G95" s="9"/>
      <c r="H95" s="81"/>
      <c r="I95" s="9"/>
      <c r="J95" s="24">
        <f>J79-J87</f>
        <v>13205202.946943168</v>
      </c>
      <c r="K95" s="24"/>
      <c r="L95" s="76"/>
      <c r="M95" s="24">
        <f>M79-M87</f>
        <v>9339161.601013709</v>
      </c>
      <c r="N95" s="24"/>
      <c r="O95" s="76"/>
      <c r="P95" s="24">
        <f>P79-P87</f>
        <v>3866041.3459294587</v>
      </c>
    </row>
    <row r="96" spans="1:16" ht="16.5" thickBot="1">
      <c r="A96" s="6">
        <v>17</v>
      </c>
      <c r="C96" s="2" t="str">
        <f>+C88</f>
        <v>  Common</v>
      </c>
      <c r="D96" s="22" t="s">
        <v>149</v>
      </c>
      <c r="E96" s="30">
        <f>E80-E88</f>
        <v>0</v>
      </c>
      <c r="F96" s="9"/>
      <c r="G96" s="9"/>
      <c r="H96" s="81"/>
      <c r="I96" s="9"/>
      <c r="J96" s="30">
        <f>J80-J88</f>
        <v>0</v>
      </c>
      <c r="K96" s="24"/>
      <c r="L96" s="76"/>
      <c r="M96" s="30">
        <v>0</v>
      </c>
      <c r="N96" s="86"/>
      <c r="O96" s="87"/>
      <c r="P96" s="78">
        <f>P80-P88</f>
        <v>0</v>
      </c>
    </row>
    <row r="97" spans="1:16" ht="15.75">
      <c r="A97" s="6">
        <v>18</v>
      </c>
      <c r="C97" s="2" t="s">
        <v>150</v>
      </c>
      <c r="D97" s="22"/>
      <c r="E97" s="24">
        <f>SUM(E92:E96)</f>
        <v>1714074876</v>
      </c>
      <c r="F97" s="9"/>
      <c r="G97" s="9" t="s">
        <v>151</v>
      </c>
      <c r="H97" s="81">
        <f>IF(J97&gt;0,J97/E97,0)</f>
        <v>0.1457411164727529</v>
      </c>
      <c r="I97" s="9"/>
      <c r="J97" s="24">
        <f>SUM(J92:J96)</f>
        <v>249811186.14613548</v>
      </c>
      <c r="K97" s="24"/>
      <c r="L97" s="76"/>
      <c r="M97" s="48">
        <f>SUM(M93:M96)</f>
        <v>177000850.80020604</v>
      </c>
      <c r="N97" s="48"/>
      <c r="O97" s="75"/>
      <c r="P97" s="48">
        <f>SUM(P93:P96)</f>
        <v>72810335.34592946</v>
      </c>
    </row>
    <row r="98" spans="1:16" ht="15.75">
      <c r="A98" s="6"/>
      <c r="C98" s="2"/>
      <c r="D98" s="22"/>
      <c r="E98" s="24"/>
      <c r="F98" s="9"/>
      <c r="G98" s="9"/>
      <c r="H98" s="81"/>
      <c r="I98" s="9"/>
      <c r="J98" s="24"/>
      <c r="K98" s="24"/>
      <c r="L98" s="76"/>
      <c r="M98" s="48"/>
      <c r="N98" s="48"/>
      <c r="O98" s="75"/>
      <c r="P98" s="48"/>
    </row>
    <row r="99" spans="1:16" ht="15.75">
      <c r="A99" s="6" t="s">
        <v>397</v>
      </c>
      <c r="C99" s="221" t="s">
        <v>398</v>
      </c>
      <c r="D99" s="222"/>
      <c r="E99" s="24"/>
      <c r="F99" s="9"/>
      <c r="G99" s="9"/>
      <c r="H99" s="81"/>
      <c r="I99" s="9"/>
      <c r="J99" s="24"/>
      <c r="K99" s="24"/>
      <c r="L99" s="76"/>
      <c r="M99" s="48"/>
      <c r="N99" s="48"/>
      <c r="O99" s="75"/>
      <c r="P99" s="48"/>
    </row>
    <row r="100" spans="1:16" ht="15.75">
      <c r="A100" s="6"/>
      <c r="C100" s="223" t="s">
        <v>406</v>
      </c>
      <c r="D100" s="224" t="s">
        <v>407</v>
      </c>
      <c r="E100" s="248">
        <v>43167084</v>
      </c>
      <c r="F100" s="9"/>
      <c r="G100" s="148" t="s">
        <v>3</v>
      </c>
      <c r="H100" s="225">
        <v>1</v>
      </c>
      <c r="I100" s="32"/>
      <c r="J100" s="48">
        <v>43167084</v>
      </c>
      <c r="K100" s="79"/>
      <c r="L100" s="89" t="s">
        <v>42</v>
      </c>
      <c r="M100" s="79">
        <f>J100-P100</f>
        <v>43167084</v>
      </c>
      <c r="N100" s="79"/>
      <c r="O100" s="89" t="s">
        <v>42</v>
      </c>
      <c r="P100" s="226">
        <v>0</v>
      </c>
    </row>
    <row r="101" spans="1:16" ht="15.75">
      <c r="A101" s="6"/>
      <c r="C101" s="180"/>
      <c r="D101" s="181"/>
      <c r="E101" s="24"/>
      <c r="F101" s="9"/>
      <c r="I101" s="9"/>
      <c r="J101" s="24"/>
      <c r="K101" s="24"/>
      <c r="L101" s="76"/>
      <c r="M101" s="24"/>
      <c r="N101" s="24"/>
      <c r="O101" s="76"/>
      <c r="P101" s="24"/>
    </row>
    <row r="102" spans="1:16" ht="15.75">
      <c r="A102" s="6"/>
      <c r="C102" s="2" t="s">
        <v>152</v>
      </c>
      <c r="D102" s="22"/>
      <c r="E102" s="24"/>
      <c r="F102" s="9"/>
      <c r="G102" s="9"/>
      <c r="H102" s="9"/>
      <c r="I102" s="9"/>
      <c r="J102" s="24"/>
      <c r="K102" s="24"/>
      <c r="L102" s="76"/>
      <c r="M102" s="24"/>
      <c r="N102" s="24"/>
      <c r="O102" s="76"/>
      <c r="P102" s="24"/>
    </row>
    <row r="103" spans="1:16" ht="15.75">
      <c r="A103" s="6">
        <v>19</v>
      </c>
      <c r="C103" s="61" t="s">
        <v>153</v>
      </c>
      <c r="D103" s="22" t="s">
        <v>154</v>
      </c>
      <c r="E103" s="46">
        <v>-33988152</v>
      </c>
      <c r="F103" s="22"/>
      <c r="G103" s="22" t="str">
        <f>+G84</f>
        <v>NA</v>
      </c>
      <c r="H103" s="88" t="s">
        <v>155</v>
      </c>
      <c r="I103" s="9"/>
      <c r="J103" s="24">
        <v>0</v>
      </c>
      <c r="K103" s="24"/>
      <c r="L103" s="76" t="s">
        <v>3</v>
      </c>
      <c r="M103" s="86">
        <v>0</v>
      </c>
      <c r="N103" s="86"/>
      <c r="O103" s="87"/>
      <c r="P103" s="86">
        <v>0</v>
      </c>
    </row>
    <row r="104" spans="1:18" ht="15.75">
      <c r="A104" s="6">
        <v>20</v>
      </c>
      <c r="C104" s="61" t="s">
        <v>156</v>
      </c>
      <c r="D104" s="22" t="s">
        <v>157</v>
      </c>
      <c r="E104" s="46">
        <v>-528990647</v>
      </c>
      <c r="F104" s="9"/>
      <c r="G104" s="9" t="s">
        <v>158</v>
      </c>
      <c r="H104" s="73">
        <f>+H97</f>
        <v>0.1457411164727529</v>
      </c>
      <c r="I104" s="9"/>
      <c r="J104" s="24">
        <f aca="true" t="shared" si="2" ref="J104:J109">E104*H104</f>
        <v>-77095687.49742392</v>
      </c>
      <c r="K104" s="24"/>
      <c r="L104" s="75" t="s">
        <v>159</v>
      </c>
      <c r="M104" s="79">
        <f aca="true" t="shared" si="3" ref="M104:M109">J104-P104</f>
        <v>-54625265.147606924</v>
      </c>
      <c r="N104" s="79"/>
      <c r="O104" s="89" t="s">
        <v>160</v>
      </c>
      <c r="P104" s="86">
        <f>J104*$J$216</f>
        <v>-22470422.349816997</v>
      </c>
      <c r="R104" s="90"/>
    </row>
    <row r="105" spans="1:18" ht="15.75">
      <c r="A105" s="6">
        <v>21</v>
      </c>
      <c r="C105" s="61" t="s">
        <v>161</v>
      </c>
      <c r="D105" s="22" t="s">
        <v>162</v>
      </c>
      <c r="E105" s="46">
        <v>-143875594</v>
      </c>
      <c r="F105" s="9"/>
      <c r="G105" s="9" t="s">
        <v>158</v>
      </c>
      <c r="H105" s="73">
        <f>+H104</f>
        <v>0.1457411164727529</v>
      </c>
      <c r="I105" s="9"/>
      <c r="J105" s="24">
        <f t="shared" si="2"/>
        <v>-20968589.70274051</v>
      </c>
      <c r="K105" s="24"/>
      <c r="L105" s="75" t="s">
        <v>159</v>
      </c>
      <c r="M105" s="79">
        <f t="shared" si="3"/>
        <v>-14857053.740157042</v>
      </c>
      <c r="N105" s="79"/>
      <c r="O105" s="89" t="s">
        <v>160</v>
      </c>
      <c r="P105" s="86">
        <f>J105*$J$216</f>
        <v>-6111535.962583466</v>
      </c>
      <c r="R105" s="90"/>
    </row>
    <row r="106" spans="1:18" ht="15.75">
      <c r="A106" s="6">
        <v>22</v>
      </c>
      <c r="C106" s="61" t="s">
        <v>163</v>
      </c>
      <c r="D106" s="22" t="s">
        <v>164</v>
      </c>
      <c r="E106" s="46">
        <v>261828236</v>
      </c>
      <c r="F106" s="9"/>
      <c r="G106" s="9" t="str">
        <f>+G105</f>
        <v>NP</v>
      </c>
      <c r="H106" s="73">
        <f>+H105</f>
        <v>0.1457411164727529</v>
      </c>
      <c r="I106" s="9"/>
      <c r="J106" s="24">
        <f t="shared" si="2"/>
        <v>38159139.43873143</v>
      </c>
      <c r="K106" s="24"/>
      <c r="L106" s="75" t="s">
        <v>159</v>
      </c>
      <c r="M106" s="79">
        <f t="shared" si="3"/>
        <v>27037220.59310852</v>
      </c>
      <c r="N106" s="79"/>
      <c r="O106" s="89" t="s">
        <v>160</v>
      </c>
      <c r="P106" s="86">
        <f>J106*$J$216</f>
        <v>11121918.845622914</v>
      </c>
      <c r="R106" s="90"/>
    </row>
    <row r="107" spans="1:18" ht="15.75">
      <c r="A107" s="6">
        <v>23</v>
      </c>
      <c r="C107" s="42" t="s">
        <v>165</v>
      </c>
      <c r="D107" s="42" t="s">
        <v>166</v>
      </c>
      <c r="E107" s="182">
        <v>0</v>
      </c>
      <c r="F107" s="9"/>
      <c r="G107" s="9" t="s">
        <v>158</v>
      </c>
      <c r="H107" s="73">
        <f>+H105</f>
        <v>0.1457411164727529</v>
      </c>
      <c r="I107" s="9"/>
      <c r="J107" s="86">
        <f t="shared" si="2"/>
        <v>0</v>
      </c>
      <c r="K107" s="24"/>
      <c r="L107" s="75" t="s">
        <v>159</v>
      </c>
      <c r="M107" s="79">
        <f t="shared" si="3"/>
        <v>0</v>
      </c>
      <c r="N107" s="79"/>
      <c r="O107" s="89" t="s">
        <v>160</v>
      </c>
      <c r="P107" s="86">
        <f>J107*$J$216</f>
        <v>0</v>
      </c>
      <c r="R107" s="90"/>
    </row>
    <row r="108" spans="1:18" ht="15.75">
      <c r="A108" s="6" t="s">
        <v>399</v>
      </c>
      <c r="C108" s="42" t="s">
        <v>414</v>
      </c>
      <c r="D108" s="42"/>
      <c r="E108" s="182">
        <v>-5673564</v>
      </c>
      <c r="F108" s="9"/>
      <c r="G108" s="9"/>
      <c r="H108" s="73">
        <v>1</v>
      </c>
      <c r="I108" s="9"/>
      <c r="J108" s="86">
        <f t="shared" si="2"/>
        <v>-5673564</v>
      </c>
      <c r="K108" s="24"/>
      <c r="L108" s="75" t="s">
        <v>42</v>
      </c>
      <c r="M108" s="79">
        <f t="shared" si="3"/>
        <v>-5673564</v>
      </c>
      <c r="N108" s="79"/>
      <c r="O108" s="89" t="s">
        <v>42</v>
      </c>
      <c r="P108" s="248">
        <v>0</v>
      </c>
      <c r="R108" s="90"/>
    </row>
    <row r="109" spans="1:18" ht="15.75">
      <c r="A109" s="6" t="s">
        <v>409</v>
      </c>
      <c r="C109" s="42" t="s">
        <v>415</v>
      </c>
      <c r="D109" s="42"/>
      <c r="E109" s="227">
        <v>0</v>
      </c>
      <c r="F109" s="9"/>
      <c r="G109" s="9" t="s">
        <v>3</v>
      </c>
      <c r="H109" s="73">
        <v>1</v>
      </c>
      <c r="I109" s="9"/>
      <c r="J109" s="31">
        <f t="shared" si="2"/>
        <v>0</v>
      </c>
      <c r="K109" s="24"/>
      <c r="L109" s="75" t="s">
        <v>42</v>
      </c>
      <c r="M109" s="183">
        <f t="shared" si="3"/>
        <v>0</v>
      </c>
      <c r="N109" s="79"/>
      <c r="O109" s="89" t="s">
        <v>42</v>
      </c>
      <c r="P109" s="249">
        <v>0</v>
      </c>
      <c r="R109" s="90"/>
    </row>
    <row r="110" spans="1:18" ht="15.75">
      <c r="A110" s="6"/>
      <c r="C110" s="42"/>
      <c r="D110" s="42"/>
      <c r="E110" s="177"/>
      <c r="F110" s="9"/>
      <c r="G110" s="9"/>
      <c r="H110" s="73"/>
      <c r="I110" s="9"/>
      <c r="J110" s="86"/>
      <c r="K110" s="24"/>
      <c r="L110" s="75"/>
      <c r="M110" s="79"/>
      <c r="N110" s="79"/>
      <c r="O110" s="89"/>
      <c r="P110" s="86"/>
      <c r="R110" s="90"/>
    </row>
    <row r="111" spans="1:18" ht="15.75">
      <c r="A111" s="6">
        <v>24</v>
      </c>
      <c r="C111" s="2" t="s">
        <v>167</v>
      </c>
      <c r="D111" s="22"/>
      <c r="E111" s="24">
        <f>SUM(E103:E110)</f>
        <v>-450699721</v>
      </c>
      <c r="F111" s="9"/>
      <c r="G111" s="9"/>
      <c r="H111" s="24" t="s">
        <v>3</v>
      </c>
      <c r="I111" s="9"/>
      <c r="J111" s="24">
        <f>SUM(J103:J110)</f>
        <v>-65578701.76143299</v>
      </c>
      <c r="K111" s="24"/>
      <c r="L111" s="75"/>
      <c r="M111" s="24">
        <f>SUM(M103:M110)</f>
        <v>-48118662.29465544</v>
      </c>
      <c r="N111" s="48"/>
      <c r="O111" s="75"/>
      <c r="P111" s="24">
        <f>SUM(P103:P110)</f>
        <v>-17460039.46677755</v>
      </c>
      <c r="R111" s="90"/>
    </row>
    <row r="112" spans="1:16" ht="15.75">
      <c r="A112" s="6"/>
      <c r="D112" s="22"/>
      <c r="E112" s="24"/>
      <c r="F112" s="9"/>
      <c r="G112" s="9"/>
      <c r="H112" s="81"/>
      <c r="I112" s="9"/>
      <c r="J112" s="24"/>
      <c r="K112" s="24"/>
      <c r="L112" s="75"/>
      <c r="M112" s="48"/>
      <c r="N112" s="48"/>
      <c r="O112" s="75"/>
      <c r="P112" s="24"/>
    </row>
    <row r="113" spans="1:16" ht="15.75">
      <c r="A113" s="6">
        <v>25</v>
      </c>
      <c r="C113" s="2" t="s">
        <v>168</v>
      </c>
      <c r="D113" s="22" t="s">
        <v>169</v>
      </c>
      <c r="E113" s="26">
        <v>19426</v>
      </c>
      <c r="F113" s="9"/>
      <c r="G113" s="9" t="str">
        <f>+G85</f>
        <v>TP</v>
      </c>
      <c r="H113" s="73">
        <f>+H85</f>
        <v>0.8880796803345029</v>
      </c>
      <c r="I113" s="9"/>
      <c r="J113" s="24">
        <f>+H113*E113</f>
        <v>17251.835870178053</v>
      </c>
      <c r="K113" s="24"/>
      <c r="L113" s="75" t="s">
        <v>42</v>
      </c>
      <c r="M113" s="48">
        <f>J113-P113</f>
        <v>17251.835870178053</v>
      </c>
      <c r="N113" s="48"/>
      <c r="O113" s="75" t="s">
        <v>42</v>
      </c>
      <c r="P113" s="26">
        <v>0</v>
      </c>
    </row>
    <row r="114" spans="1:16" ht="15.75">
      <c r="A114" s="6"/>
      <c r="C114" s="2"/>
      <c r="D114" s="9"/>
      <c r="E114" s="24"/>
      <c r="F114" s="9"/>
      <c r="G114" s="9"/>
      <c r="H114" s="9"/>
      <c r="I114" s="9"/>
      <c r="J114" s="24"/>
      <c r="K114" s="24"/>
      <c r="L114" s="75"/>
      <c r="M114" s="48"/>
      <c r="N114" s="48"/>
      <c r="O114" s="75"/>
      <c r="P114" s="24"/>
    </row>
    <row r="115" spans="1:16" ht="15.75">
      <c r="A115" s="6"/>
      <c r="C115" s="2" t="s">
        <v>170</v>
      </c>
      <c r="D115" s="9" t="s">
        <v>3</v>
      </c>
      <c r="E115" s="24"/>
      <c r="F115" s="9"/>
      <c r="G115" s="9"/>
      <c r="H115" s="9"/>
      <c r="I115" s="9"/>
      <c r="J115" s="24"/>
      <c r="K115" s="24"/>
      <c r="L115" s="75"/>
      <c r="M115" s="48"/>
      <c r="N115" s="48"/>
      <c r="O115" s="75"/>
      <c r="P115" s="24"/>
    </row>
    <row r="116" spans="1:16" ht="15.75">
      <c r="A116" s="6">
        <v>26</v>
      </c>
      <c r="C116" s="2" t="s">
        <v>171</v>
      </c>
      <c r="D116" s="1" t="s">
        <v>172</v>
      </c>
      <c r="E116" s="24">
        <f>+E146/8</f>
        <v>10801936.75</v>
      </c>
      <c r="F116" s="9"/>
      <c r="G116" s="9"/>
      <c r="H116" s="81"/>
      <c r="I116" s="9"/>
      <c r="J116" s="24">
        <f>+J146/8</f>
        <v>2983922.236583306</v>
      </c>
      <c r="K116" s="45"/>
      <c r="L116" s="75" t="s">
        <v>3</v>
      </c>
      <c r="M116" s="24">
        <f>+M146/8</f>
        <v>2308904.4049327206</v>
      </c>
      <c r="N116" s="79"/>
      <c r="O116" s="75" t="s">
        <v>3</v>
      </c>
      <c r="P116" s="24">
        <f>+P146/8</f>
        <v>675017.8316505848</v>
      </c>
    </row>
    <row r="117" spans="1:16" s="42" customFormat="1" ht="15.75">
      <c r="A117" s="60">
        <v>27</v>
      </c>
      <c r="C117" s="61" t="s">
        <v>173</v>
      </c>
      <c r="D117" s="22" t="s">
        <v>174</v>
      </c>
      <c r="E117" s="26">
        <v>3080300</v>
      </c>
      <c r="F117" s="22"/>
      <c r="G117" s="22" t="s">
        <v>175</v>
      </c>
      <c r="H117" s="74">
        <f>J226</f>
        <v>0.8131351435420279</v>
      </c>
      <c r="I117" s="22"/>
      <c r="J117" s="48">
        <f>+H117*E117</f>
        <v>2504700.1826525084</v>
      </c>
      <c r="K117" s="48" t="s">
        <v>3</v>
      </c>
      <c r="L117" s="75" t="s">
        <v>142</v>
      </c>
      <c r="M117" s="79">
        <f>J117-P117</f>
        <v>1771407.820225529</v>
      </c>
      <c r="N117" s="79"/>
      <c r="O117" s="89" t="s">
        <v>133</v>
      </c>
      <c r="P117" s="86">
        <f>J117*$J$212</f>
        <v>733292.3624269794</v>
      </c>
    </row>
    <row r="118" spans="1:16" ht="16.5" thickBot="1">
      <c r="A118" s="6">
        <v>28</v>
      </c>
      <c r="C118" s="2" t="s">
        <v>176</v>
      </c>
      <c r="D118" s="9" t="s">
        <v>177</v>
      </c>
      <c r="E118" s="77">
        <v>4973637</v>
      </c>
      <c r="F118" s="9"/>
      <c r="G118" s="9" t="s">
        <v>178</v>
      </c>
      <c r="H118" s="73">
        <f>+H81</f>
        <v>0.14658201464173826</v>
      </c>
      <c r="I118" s="9"/>
      <c r="J118" s="30">
        <f>+H118*E118</f>
        <v>729045.7315566911</v>
      </c>
      <c r="K118" s="24"/>
      <c r="L118" s="75" t="s">
        <v>142</v>
      </c>
      <c r="M118" s="183">
        <f>J118-P118</f>
        <v>515605.5479717801</v>
      </c>
      <c r="N118" s="79"/>
      <c r="O118" s="89" t="s">
        <v>133</v>
      </c>
      <c r="P118" s="31">
        <f>J118*$J$212</f>
        <v>213440.183584911</v>
      </c>
    </row>
    <row r="119" spans="1:16" ht="15.75">
      <c r="A119" s="6">
        <v>29</v>
      </c>
      <c r="C119" s="2" t="s">
        <v>179</v>
      </c>
      <c r="D119" s="4"/>
      <c r="E119" s="24">
        <f>E116+E117+E118</f>
        <v>18855873.75</v>
      </c>
      <c r="F119" s="4"/>
      <c r="G119" s="4"/>
      <c r="H119" s="4"/>
      <c r="I119" s="4"/>
      <c r="J119" s="24">
        <f>J116+J117+J118</f>
        <v>6217668.150792506</v>
      </c>
      <c r="K119" s="45"/>
      <c r="L119" s="76"/>
      <c r="M119" s="24">
        <f>SUM(M116:M118)</f>
        <v>4595917.773130029</v>
      </c>
      <c r="N119" s="24"/>
      <c r="O119" s="76"/>
      <c r="P119" s="24">
        <f>SUM(P116:P118)</f>
        <v>1621750.3776624752</v>
      </c>
    </row>
    <row r="120" spans="4:16" ht="16.5" thickBot="1">
      <c r="D120" s="9"/>
      <c r="E120" s="91"/>
      <c r="F120" s="9"/>
      <c r="G120" s="9"/>
      <c r="H120" s="9"/>
      <c r="I120" s="9"/>
      <c r="J120" s="30"/>
      <c r="K120" s="24"/>
      <c r="L120" s="76"/>
      <c r="M120" s="24"/>
      <c r="N120" s="24"/>
      <c r="O120" s="76"/>
      <c r="P120" s="24"/>
    </row>
    <row r="121" spans="1:16" ht="16.5" thickBot="1">
      <c r="A121" s="6">
        <v>30</v>
      </c>
      <c r="C121" s="2" t="s">
        <v>418</v>
      </c>
      <c r="D121" s="9"/>
      <c r="E121" s="92">
        <f>+E119+E113+E111+E97+E100</f>
        <v>1325417538.75</v>
      </c>
      <c r="F121" s="9"/>
      <c r="G121" s="9"/>
      <c r="H121" s="81"/>
      <c r="I121" s="9"/>
      <c r="J121" s="92">
        <f>+J119+J113+J111+J97+J100</f>
        <v>233634488.3713652</v>
      </c>
      <c r="K121" s="24"/>
      <c r="L121" s="76"/>
      <c r="M121" s="250">
        <f>+M119+M113+M111+M97+M100</f>
        <v>176662442.1145508</v>
      </c>
      <c r="N121" s="86"/>
      <c r="O121" s="87"/>
      <c r="P121" s="250">
        <f>+P119+P113+P111+P97+P100</f>
        <v>56972046.25681439</v>
      </c>
    </row>
    <row r="122" spans="1:11" ht="16.5" thickTop="1">
      <c r="A122" s="6"/>
      <c r="C122" s="2"/>
      <c r="D122" s="9"/>
      <c r="E122" s="32"/>
      <c r="F122" s="9"/>
      <c r="G122" s="9"/>
      <c r="H122" s="81"/>
      <c r="I122" s="9"/>
      <c r="J122" s="32"/>
      <c r="K122" s="9"/>
    </row>
    <row r="123" spans="1:11" ht="15.75">
      <c r="A123" s="6"/>
      <c r="C123" s="2"/>
      <c r="D123" s="9"/>
      <c r="E123" s="32"/>
      <c r="F123" s="9"/>
      <c r="G123" s="9"/>
      <c r="H123" s="81"/>
      <c r="I123" s="9"/>
      <c r="J123" s="32"/>
      <c r="K123" s="9"/>
    </row>
    <row r="124" spans="1:11" ht="15.75">
      <c r="A124" s="6"/>
      <c r="C124" s="2"/>
      <c r="D124" s="9"/>
      <c r="E124" s="32"/>
      <c r="F124" s="9"/>
      <c r="G124" s="9"/>
      <c r="H124" s="81"/>
      <c r="I124" s="9"/>
      <c r="J124" s="32"/>
      <c r="K124" s="9"/>
    </row>
    <row r="125" spans="1:11" ht="15.75">
      <c r="A125" s="6"/>
      <c r="C125" s="2"/>
      <c r="D125" s="9"/>
      <c r="E125" s="32"/>
      <c r="F125" s="9"/>
      <c r="G125" s="9"/>
      <c r="H125" s="81"/>
      <c r="I125" s="9"/>
      <c r="J125" s="32"/>
      <c r="K125" s="9"/>
    </row>
    <row r="126" spans="1:11" ht="15.75">
      <c r="A126" s="6"/>
      <c r="C126" s="2"/>
      <c r="D126" s="9"/>
      <c r="E126" s="32"/>
      <c r="F126" s="9"/>
      <c r="G126" s="9"/>
      <c r="H126" s="81"/>
      <c r="I126" s="9"/>
      <c r="J126" s="32"/>
      <c r="K126" s="9"/>
    </row>
    <row r="127" spans="3:16" ht="15.75" customHeight="1">
      <c r="C127" s="2"/>
      <c r="D127" s="2"/>
      <c r="E127" s="3"/>
      <c r="F127" s="2"/>
      <c r="G127" s="2"/>
      <c r="H127" s="2"/>
      <c r="I127" s="4"/>
      <c r="J127" s="4"/>
      <c r="K127" s="4"/>
      <c r="P127" s="7" t="s">
        <v>180</v>
      </c>
    </row>
    <row r="128" spans="3:16" ht="15.75" customHeight="1">
      <c r="C128" s="2" t="s">
        <v>26</v>
      </c>
      <c r="D128" s="2"/>
      <c r="E128" s="3" t="s">
        <v>0</v>
      </c>
      <c r="F128" s="2"/>
      <c r="G128" s="2"/>
      <c r="H128" s="2"/>
      <c r="I128" s="4"/>
      <c r="J128" s="42"/>
      <c r="K128" s="10"/>
      <c r="L128" s="20"/>
      <c r="M128" s="385"/>
      <c r="N128" s="385"/>
      <c r="O128" s="232"/>
      <c r="P128" s="384" t="str">
        <f>P2</f>
        <v>For the 12 months ended 12/31/2013</v>
      </c>
    </row>
    <row r="129" spans="3:11" ht="15.75">
      <c r="C129" s="2"/>
      <c r="D129" s="9" t="s">
        <v>3</v>
      </c>
      <c r="E129" s="9" t="s">
        <v>27</v>
      </c>
      <c r="F129" s="9"/>
      <c r="G129" s="9"/>
      <c r="H129" s="9"/>
      <c r="I129" s="4"/>
      <c r="J129" s="4"/>
      <c r="K129" s="4"/>
    </row>
    <row r="130" spans="3:11" ht="6" customHeight="1">
      <c r="C130" s="2"/>
      <c r="D130" s="9"/>
      <c r="E130" s="9"/>
      <c r="F130" s="9"/>
      <c r="G130" s="9"/>
      <c r="H130" s="9"/>
      <c r="I130" s="4"/>
      <c r="J130" s="4"/>
      <c r="K130" s="4"/>
    </row>
    <row r="131" spans="1:11" ht="31.5">
      <c r="A131" s="6"/>
      <c r="E131" s="93" t="str">
        <f>E5</f>
        <v>Allete, Inc. dba Minnesota Power</v>
      </c>
      <c r="K131" s="9"/>
    </row>
    <row r="132" spans="1:16" ht="15.75">
      <c r="A132" s="6"/>
      <c r="C132" s="6" t="s">
        <v>7</v>
      </c>
      <c r="D132" s="6" t="s">
        <v>8</v>
      </c>
      <c r="E132" s="6" t="s">
        <v>9</v>
      </c>
      <c r="F132" s="9" t="s">
        <v>3</v>
      </c>
      <c r="G132" s="9"/>
      <c r="H132" s="64" t="s">
        <v>10</v>
      </c>
      <c r="I132" s="9"/>
      <c r="J132" s="65" t="s">
        <v>108</v>
      </c>
      <c r="K132" s="9"/>
      <c r="L132" s="65" t="s">
        <v>109</v>
      </c>
      <c r="M132" s="65" t="s">
        <v>110</v>
      </c>
      <c r="O132" s="65" t="s">
        <v>111</v>
      </c>
      <c r="P132" s="65" t="s">
        <v>112</v>
      </c>
    </row>
    <row r="133" spans="1:16" ht="15.75" customHeight="1">
      <c r="A133" s="6" t="s">
        <v>1</v>
      </c>
      <c r="C133" s="6"/>
      <c r="D133" s="66" t="s">
        <v>113</v>
      </c>
      <c r="E133" s="4"/>
      <c r="F133" s="4"/>
      <c r="G133" s="4"/>
      <c r="H133" s="4"/>
      <c r="I133" s="4"/>
      <c r="J133" s="5" t="s">
        <v>11</v>
      </c>
      <c r="K133" s="9"/>
      <c r="L133" s="15" t="s">
        <v>114</v>
      </c>
      <c r="M133" s="15" t="s">
        <v>30</v>
      </c>
      <c r="N133" s="15"/>
      <c r="O133" s="15" t="s">
        <v>115</v>
      </c>
      <c r="P133" s="15" t="s">
        <v>32</v>
      </c>
    </row>
    <row r="134" spans="1:16" ht="16.5" thickBot="1">
      <c r="A134" s="17" t="s">
        <v>2</v>
      </c>
      <c r="C134" s="2"/>
      <c r="D134" s="14" t="s">
        <v>12</v>
      </c>
      <c r="E134" s="67" t="s">
        <v>116</v>
      </c>
      <c r="F134" s="68"/>
      <c r="G134" s="67" t="s">
        <v>117</v>
      </c>
      <c r="H134" s="69"/>
      <c r="I134" s="70"/>
      <c r="J134" s="71" t="s">
        <v>118</v>
      </c>
      <c r="K134" s="9"/>
      <c r="L134" s="14" t="s">
        <v>4</v>
      </c>
      <c r="M134" s="69" t="s">
        <v>119</v>
      </c>
      <c r="O134" s="14" t="s">
        <v>4</v>
      </c>
      <c r="P134" s="69" t="s">
        <v>120</v>
      </c>
    </row>
    <row r="135" spans="3:11" ht="6.75" customHeight="1">
      <c r="C135" s="2"/>
      <c r="D135" s="9"/>
      <c r="E135" s="94"/>
      <c r="F135" s="95"/>
      <c r="G135" s="5"/>
      <c r="I135" s="95"/>
      <c r="J135" s="94"/>
      <c r="K135" s="9"/>
    </row>
    <row r="136" spans="1:11" ht="15.75">
      <c r="A136" s="6"/>
      <c r="C136" s="2" t="s">
        <v>431</v>
      </c>
      <c r="D136" s="9"/>
      <c r="E136" s="9"/>
      <c r="F136" s="9"/>
      <c r="G136" s="9"/>
      <c r="H136" s="9"/>
      <c r="I136" s="9"/>
      <c r="J136" s="9"/>
      <c r="K136" s="9"/>
    </row>
    <row r="137" spans="1:16" ht="15.75">
      <c r="A137" s="6">
        <v>1</v>
      </c>
      <c r="C137" s="61" t="s">
        <v>181</v>
      </c>
      <c r="D137" s="22" t="s">
        <v>182</v>
      </c>
      <c r="E137" s="26">
        <v>51835995</v>
      </c>
      <c r="F137" s="22"/>
      <c r="G137" s="22" t="s">
        <v>175</v>
      </c>
      <c r="H137" s="74">
        <f>J226</f>
        <v>0.8131351435420279</v>
      </c>
      <c r="I137" s="22"/>
      <c r="J137" s="48">
        <f aca="true" t="shared" si="4" ref="J137:J145">+H137*E137</f>
        <v>42149669.23496884</v>
      </c>
      <c r="K137" s="45"/>
      <c r="L137" s="75" t="s">
        <v>42</v>
      </c>
      <c r="M137" s="48">
        <f aca="true" t="shared" si="5" ref="M137:M145">J137-P137</f>
        <v>30418249.23496884</v>
      </c>
      <c r="N137" s="48"/>
      <c r="O137" s="75" t="s">
        <v>42</v>
      </c>
      <c r="P137" s="26">
        <v>11731420</v>
      </c>
    </row>
    <row r="138" spans="1:16" ht="15.75">
      <c r="A138" s="60" t="s">
        <v>13</v>
      </c>
      <c r="B138" s="42"/>
      <c r="C138" s="61" t="s">
        <v>183</v>
      </c>
      <c r="D138" s="22"/>
      <c r="E138" s="26">
        <v>2243419</v>
      </c>
      <c r="F138" s="9"/>
      <c r="G138" s="96"/>
      <c r="H138" s="73">
        <v>1</v>
      </c>
      <c r="I138" s="9"/>
      <c r="J138" s="24">
        <f t="shared" si="4"/>
        <v>2243419</v>
      </c>
      <c r="K138" s="45"/>
      <c r="L138" s="75" t="s">
        <v>42</v>
      </c>
      <c r="M138" s="48">
        <f t="shared" si="5"/>
        <v>2243419</v>
      </c>
      <c r="N138" s="48"/>
      <c r="O138" s="75" t="s">
        <v>42</v>
      </c>
      <c r="P138" s="26">
        <v>0</v>
      </c>
    </row>
    <row r="139" spans="1:16" ht="15.75">
      <c r="A139" s="6">
        <v>2</v>
      </c>
      <c r="C139" s="2" t="s">
        <v>184</v>
      </c>
      <c r="D139" s="22" t="s">
        <v>185</v>
      </c>
      <c r="E139" s="26">
        <v>30102126</v>
      </c>
      <c r="F139" s="9"/>
      <c r="G139" s="9" t="s">
        <v>175</v>
      </c>
      <c r="H139" s="73">
        <f>J226</f>
        <v>0.8131351435420279</v>
      </c>
      <c r="I139" s="9"/>
      <c r="J139" s="24">
        <f t="shared" si="4"/>
        <v>24477096.54593021</v>
      </c>
      <c r="K139" s="45"/>
      <c r="L139" s="75" t="s">
        <v>42</v>
      </c>
      <c r="M139" s="48">
        <f t="shared" si="5"/>
        <v>15966926.54593021</v>
      </c>
      <c r="N139" s="48"/>
      <c r="O139" s="75" t="s">
        <v>42</v>
      </c>
      <c r="P139" s="26">
        <v>8510170</v>
      </c>
    </row>
    <row r="140" spans="1:16" ht="15.75">
      <c r="A140" s="6">
        <v>3</v>
      </c>
      <c r="C140" s="2" t="s">
        <v>186</v>
      </c>
      <c r="D140" s="22" t="s">
        <v>187</v>
      </c>
      <c r="E140" s="26">
        <v>68555242</v>
      </c>
      <c r="F140" s="9"/>
      <c r="G140" s="9" t="s">
        <v>131</v>
      </c>
      <c r="H140" s="73">
        <f>+H87</f>
        <v>0.11289187194556022</v>
      </c>
      <c r="I140" s="9"/>
      <c r="J140" s="24">
        <f t="shared" si="4"/>
        <v>7739329.6010608915</v>
      </c>
      <c r="K140" s="24"/>
      <c r="L140" s="75" t="s">
        <v>142</v>
      </c>
      <c r="M140" s="48">
        <f t="shared" si="5"/>
        <v>5473512.987132715</v>
      </c>
      <c r="N140" s="79"/>
      <c r="O140" s="75" t="s">
        <v>133</v>
      </c>
      <c r="P140" s="24">
        <f>J140*$J$212</f>
        <v>2265816.613928177</v>
      </c>
    </row>
    <row r="141" spans="1:16" ht="15.75">
      <c r="A141" s="6">
        <v>4</v>
      </c>
      <c r="C141" s="2" t="s">
        <v>188</v>
      </c>
      <c r="D141" s="22"/>
      <c r="E141" s="26">
        <v>1237037</v>
      </c>
      <c r="F141" s="9"/>
      <c r="G141" s="9" t="str">
        <f>+G140</f>
        <v>W/S</v>
      </c>
      <c r="H141" s="73">
        <f>+H140</f>
        <v>0.11289187194556022</v>
      </c>
      <c r="I141" s="9"/>
      <c r="J141" s="24">
        <f t="shared" si="4"/>
        <v>139651.42259591998</v>
      </c>
      <c r="K141" s="24"/>
      <c r="L141" s="75" t="s">
        <v>142</v>
      </c>
      <c r="M141" s="48">
        <f t="shared" si="5"/>
        <v>98766.16123773134</v>
      </c>
      <c r="N141" s="79"/>
      <c r="O141" s="75" t="s">
        <v>133</v>
      </c>
      <c r="P141" s="24">
        <f>J141*$J$212</f>
        <v>40885.26135818863</v>
      </c>
    </row>
    <row r="142" spans="1:16" ht="15.75">
      <c r="A142" s="6">
        <v>5</v>
      </c>
      <c r="C142" s="61" t="s">
        <v>189</v>
      </c>
      <c r="D142" s="22"/>
      <c r="E142" s="26">
        <v>1392961</v>
      </c>
      <c r="F142" s="9"/>
      <c r="G142" s="9" t="str">
        <f>+G141</f>
        <v>W/S</v>
      </c>
      <c r="H142" s="73">
        <f>+H141</f>
        <v>0.11289187194556022</v>
      </c>
      <c r="I142" s="9"/>
      <c r="J142" s="24">
        <f t="shared" si="4"/>
        <v>157253.9748371595</v>
      </c>
      <c r="K142" s="24"/>
      <c r="L142" s="75" t="s">
        <v>142</v>
      </c>
      <c r="M142" s="48">
        <f t="shared" si="5"/>
        <v>111215.27547185047</v>
      </c>
      <c r="N142" s="79"/>
      <c r="O142" s="75" t="s">
        <v>133</v>
      </c>
      <c r="P142" s="24">
        <f>J142*$J$212</f>
        <v>46038.69936530904</v>
      </c>
    </row>
    <row r="143" spans="1:16" ht="15.75">
      <c r="A143" s="6" t="s">
        <v>190</v>
      </c>
      <c r="C143" s="61" t="s">
        <v>191</v>
      </c>
      <c r="D143" s="22"/>
      <c r="E143" s="26">
        <v>0</v>
      </c>
      <c r="F143" s="9"/>
      <c r="G143" s="97" t="str">
        <f>+G137</f>
        <v>TE</v>
      </c>
      <c r="H143" s="74">
        <f>+H137</f>
        <v>0.8131351435420279</v>
      </c>
      <c r="I143" s="9"/>
      <c r="J143" s="24">
        <f t="shared" si="4"/>
        <v>0</v>
      </c>
      <c r="K143" s="24"/>
      <c r="L143" s="75" t="s">
        <v>42</v>
      </c>
      <c r="M143" s="48">
        <f t="shared" si="5"/>
        <v>0</v>
      </c>
      <c r="N143" s="48"/>
      <c r="O143" s="75" t="s">
        <v>42</v>
      </c>
      <c r="P143" s="26">
        <v>0</v>
      </c>
    </row>
    <row r="144" spans="1:16" ht="15.75">
      <c r="A144" s="6">
        <v>6</v>
      </c>
      <c r="C144" s="61" t="s">
        <v>134</v>
      </c>
      <c r="D144" s="98" t="s">
        <v>192</v>
      </c>
      <c r="E144" s="26">
        <v>0</v>
      </c>
      <c r="F144" s="9"/>
      <c r="G144" s="9" t="s">
        <v>136</v>
      </c>
      <c r="H144" s="73">
        <f>+H88</f>
        <v>0.11289187194556022</v>
      </c>
      <c r="I144" s="9"/>
      <c r="J144" s="24">
        <f t="shared" si="4"/>
        <v>0</v>
      </c>
      <c r="K144" s="24"/>
      <c r="L144" s="75" t="s">
        <v>42</v>
      </c>
      <c r="M144" s="48">
        <f t="shared" si="5"/>
        <v>0</v>
      </c>
      <c r="N144" s="48"/>
      <c r="O144" s="75" t="s">
        <v>42</v>
      </c>
      <c r="P144" s="26">
        <v>0</v>
      </c>
    </row>
    <row r="145" spans="1:16" ht="16.5" thickBot="1">
      <c r="A145" s="6">
        <v>7</v>
      </c>
      <c r="C145" s="2" t="s">
        <v>432</v>
      </c>
      <c r="D145" s="22"/>
      <c r="E145" s="77">
        <v>999800</v>
      </c>
      <c r="F145" s="9"/>
      <c r="G145" s="9" t="s">
        <v>3</v>
      </c>
      <c r="H145" s="73">
        <v>1</v>
      </c>
      <c r="I145" s="9"/>
      <c r="J145" s="30">
        <f t="shared" si="4"/>
        <v>999800</v>
      </c>
      <c r="K145" s="24"/>
      <c r="L145" s="75" t="s">
        <v>42</v>
      </c>
      <c r="M145" s="78">
        <f t="shared" si="5"/>
        <v>999800</v>
      </c>
      <c r="N145" s="79"/>
      <c r="O145" s="89" t="s">
        <v>42</v>
      </c>
      <c r="P145" s="77">
        <v>0</v>
      </c>
    </row>
    <row r="146" spans="1:16" ht="15.75">
      <c r="A146" s="6">
        <v>8</v>
      </c>
      <c r="C146" s="61" t="s">
        <v>193</v>
      </c>
      <c r="D146" s="22"/>
      <c r="E146" s="24">
        <f>E137+E140+E143+E144+E145-E138-E139-E141-E142</f>
        <v>86415494</v>
      </c>
      <c r="F146" s="9"/>
      <c r="G146" s="9"/>
      <c r="H146" s="9"/>
      <c r="I146" s="9"/>
      <c r="J146" s="48">
        <f>+J137-J139+J140-J141-J142-J138+J144+J145+J143</f>
        <v>23871377.892666448</v>
      </c>
      <c r="K146" s="48"/>
      <c r="L146" s="75"/>
      <c r="M146" s="48">
        <f>+M137-M138-M139+M140-M141-M142+M143+M144+M145</f>
        <v>18471235.239461765</v>
      </c>
      <c r="N146" s="48"/>
      <c r="O146" s="75"/>
      <c r="P146" s="48">
        <f>+P137-P138-P139+P140-P141-P142+P143+P144+P145</f>
        <v>5400142.653204679</v>
      </c>
    </row>
    <row r="147" spans="1:16" ht="8.25" customHeight="1">
      <c r="A147" s="6"/>
      <c r="D147" s="22"/>
      <c r="E147" s="24"/>
      <c r="F147" s="9"/>
      <c r="G147" s="9"/>
      <c r="H147" s="9"/>
      <c r="I147" s="9"/>
      <c r="J147" s="24"/>
      <c r="K147" s="24"/>
      <c r="L147" s="75"/>
      <c r="M147" s="48"/>
      <c r="N147" s="48"/>
      <c r="O147" s="75"/>
      <c r="P147" s="24"/>
    </row>
    <row r="148" spans="1:16" ht="15.75">
      <c r="A148" s="6"/>
      <c r="C148" s="2" t="s">
        <v>433</v>
      </c>
      <c r="D148" s="22"/>
      <c r="E148" s="24"/>
      <c r="F148" s="9"/>
      <c r="G148" s="9"/>
      <c r="H148" s="9"/>
      <c r="I148" s="9"/>
      <c r="J148" s="24"/>
      <c r="K148" s="24"/>
      <c r="L148" s="75"/>
      <c r="M148" s="48"/>
      <c r="N148" s="48"/>
      <c r="O148" s="75"/>
      <c r="P148" s="24"/>
    </row>
    <row r="149" spans="1:16" ht="15.75">
      <c r="A149" s="6">
        <v>9</v>
      </c>
      <c r="C149" s="61" t="str">
        <f>+C137</f>
        <v>  Transmission </v>
      </c>
      <c r="D149" s="22" t="s">
        <v>194</v>
      </c>
      <c r="E149" s="26">
        <v>11991665</v>
      </c>
      <c r="F149" s="22"/>
      <c r="G149" s="22" t="s">
        <v>41</v>
      </c>
      <c r="H149" s="179">
        <f>+H113</f>
        <v>0.8880796803345029</v>
      </c>
      <c r="I149" s="22"/>
      <c r="J149" s="48">
        <f>+H149*E149</f>
        <v>10649554.019878447</v>
      </c>
      <c r="K149" s="24"/>
      <c r="L149" s="75" t="s">
        <v>42</v>
      </c>
      <c r="M149" s="48">
        <f>J149-P149</f>
        <v>7531721.019878447</v>
      </c>
      <c r="N149" s="48"/>
      <c r="O149" s="75" t="s">
        <v>42</v>
      </c>
      <c r="P149" s="26">
        <v>3117833</v>
      </c>
    </row>
    <row r="150" spans="1:16" ht="15.75">
      <c r="A150" s="144" t="s">
        <v>408</v>
      </c>
      <c r="B150" s="148"/>
      <c r="C150" s="229" t="s">
        <v>410</v>
      </c>
      <c r="D150" s="230" t="s">
        <v>416</v>
      </c>
      <c r="E150" s="26">
        <v>-70884</v>
      </c>
      <c r="F150" s="22"/>
      <c r="G150" s="22"/>
      <c r="H150" s="179">
        <v>1</v>
      </c>
      <c r="I150" s="22"/>
      <c r="J150" s="48">
        <f>+H150*E150</f>
        <v>-70884</v>
      </c>
      <c r="K150" s="24"/>
      <c r="L150" s="75" t="s">
        <v>42</v>
      </c>
      <c r="M150" s="48">
        <f>J150-P150</f>
        <v>-70884</v>
      </c>
      <c r="N150" s="48"/>
      <c r="O150" s="75" t="s">
        <v>42</v>
      </c>
      <c r="P150" s="26">
        <v>0</v>
      </c>
    </row>
    <row r="151" spans="1:16" ht="15.75">
      <c r="A151" s="144" t="s">
        <v>411</v>
      </c>
      <c r="B151" s="148"/>
      <c r="C151" s="229" t="s">
        <v>403</v>
      </c>
      <c r="D151" s="230" t="s">
        <v>417</v>
      </c>
      <c r="E151" s="26">
        <v>0</v>
      </c>
      <c r="F151" s="22"/>
      <c r="G151" s="22"/>
      <c r="H151" s="179">
        <v>1</v>
      </c>
      <c r="I151" s="22"/>
      <c r="J151" s="48">
        <f>+H151*E151</f>
        <v>0</v>
      </c>
      <c r="K151" s="24"/>
      <c r="L151" s="75" t="s">
        <v>42</v>
      </c>
      <c r="M151" s="48">
        <f>J151-P151</f>
        <v>0</v>
      </c>
      <c r="N151" s="48"/>
      <c r="O151" s="75" t="s">
        <v>42</v>
      </c>
      <c r="P151" s="26">
        <v>0</v>
      </c>
    </row>
    <row r="152" spans="1:16" ht="15.75">
      <c r="A152" s="6">
        <v>10</v>
      </c>
      <c r="C152" s="2" t="s">
        <v>129</v>
      </c>
      <c r="D152" s="22" t="s">
        <v>434</v>
      </c>
      <c r="E152" s="26">
        <v>9725135</v>
      </c>
      <c r="F152" s="9"/>
      <c r="G152" s="9" t="s">
        <v>131</v>
      </c>
      <c r="H152" s="73">
        <f>+H140</f>
        <v>0.11289187194556022</v>
      </c>
      <c r="I152" s="9"/>
      <c r="J152" s="24">
        <f>+H152*E152</f>
        <v>1097888.6950732858</v>
      </c>
      <c r="K152" s="24"/>
      <c r="L152" s="75" t="s">
        <v>142</v>
      </c>
      <c r="M152" s="48">
        <f>J152-P152</f>
        <v>776463.6397041515</v>
      </c>
      <c r="N152" s="79"/>
      <c r="O152" s="75" t="s">
        <v>133</v>
      </c>
      <c r="P152" s="24">
        <f>J152*$J$212</f>
        <v>321425.05536913435</v>
      </c>
    </row>
    <row r="153" spans="1:16" ht="16.5" thickBot="1">
      <c r="A153" s="6">
        <v>11</v>
      </c>
      <c r="C153" s="2" t="str">
        <f>+C144</f>
        <v>  Common</v>
      </c>
      <c r="D153" s="22" t="s">
        <v>195</v>
      </c>
      <c r="E153" s="77">
        <v>0</v>
      </c>
      <c r="F153" s="9"/>
      <c r="G153" s="9" t="s">
        <v>136</v>
      </c>
      <c r="H153" s="73">
        <f>+H144</f>
        <v>0.11289187194556022</v>
      </c>
      <c r="I153" s="9"/>
      <c r="J153" s="30">
        <f>+H153*E153</f>
        <v>0</v>
      </c>
      <c r="K153" s="24"/>
      <c r="L153" s="75" t="s">
        <v>142</v>
      </c>
      <c r="M153" s="78">
        <f>J153-P153</f>
        <v>0</v>
      </c>
      <c r="N153" s="79"/>
      <c r="O153" s="89" t="s">
        <v>133</v>
      </c>
      <c r="P153" s="30">
        <f>J153*$J$212</f>
        <v>0</v>
      </c>
    </row>
    <row r="154" spans="1:16" ht="15.75">
      <c r="A154" s="6">
        <v>12</v>
      </c>
      <c r="C154" s="2" t="s">
        <v>196</v>
      </c>
      <c r="D154" s="22"/>
      <c r="E154" s="24">
        <f>SUM(E149:E153)</f>
        <v>21645916</v>
      </c>
      <c r="F154" s="9"/>
      <c r="G154" s="9"/>
      <c r="H154" s="9"/>
      <c r="I154" s="9"/>
      <c r="J154" s="48">
        <f>SUM(J149:J153)</f>
        <v>11676558.714951733</v>
      </c>
      <c r="K154" s="24"/>
      <c r="L154" s="76"/>
      <c r="M154" s="24">
        <f>SUM(M149:M153)</f>
        <v>8237300.659582598</v>
      </c>
      <c r="N154" s="24"/>
      <c r="O154" s="76"/>
      <c r="P154" s="24">
        <f>SUM(P149:P153)</f>
        <v>3439258.0553691345</v>
      </c>
    </row>
    <row r="155" spans="1:16" ht="15.75">
      <c r="A155" s="6" t="s">
        <v>3</v>
      </c>
      <c r="C155" s="2" t="s">
        <v>197</v>
      </c>
      <c r="D155" s="42"/>
      <c r="E155" s="24"/>
      <c r="F155" s="9"/>
      <c r="G155" s="9"/>
      <c r="H155" s="9"/>
      <c r="I155" s="9"/>
      <c r="J155" s="48"/>
      <c r="K155" s="24"/>
      <c r="L155" s="76"/>
      <c r="M155" s="24"/>
      <c r="N155" s="24"/>
      <c r="O155" s="76"/>
      <c r="P155" s="24"/>
    </row>
    <row r="156" spans="1:16" ht="15.75">
      <c r="A156" s="6"/>
      <c r="C156" s="2" t="s">
        <v>198</v>
      </c>
      <c r="D156" s="42"/>
      <c r="E156" s="24"/>
      <c r="F156" s="9"/>
      <c r="G156" s="9"/>
      <c r="I156" s="9"/>
      <c r="J156" s="48"/>
      <c r="K156" s="24"/>
      <c r="L156" s="76"/>
      <c r="M156" s="24"/>
      <c r="N156" s="24"/>
      <c r="O156" s="76"/>
      <c r="P156" s="24"/>
    </row>
    <row r="157" spans="1:16" ht="15.75">
      <c r="A157" s="6">
        <v>13</v>
      </c>
      <c r="C157" s="2" t="s">
        <v>199</v>
      </c>
      <c r="D157" s="22" t="s">
        <v>200</v>
      </c>
      <c r="E157" s="26">
        <v>6697099</v>
      </c>
      <c r="F157" s="9"/>
      <c r="G157" s="9" t="s">
        <v>131</v>
      </c>
      <c r="H157" s="25">
        <f>+H152</f>
        <v>0.11289187194556022</v>
      </c>
      <c r="I157" s="9"/>
      <c r="J157" s="48">
        <f>+H157*E157</f>
        <v>756048.0427147393</v>
      </c>
      <c r="K157" s="24"/>
      <c r="L157" s="75" t="s">
        <v>142</v>
      </c>
      <c r="M157" s="48">
        <f>J157-P157</f>
        <v>534702.4863921202</v>
      </c>
      <c r="N157" s="79"/>
      <c r="O157" s="75" t="s">
        <v>133</v>
      </c>
      <c r="P157" s="24">
        <f>J157*$J$212</f>
        <v>221345.55632261906</v>
      </c>
    </row>
    <row r="158" spans="1:16" ht="15.75">
      <c r="A158" s="6">
        <v>14</v>
      </c>
      <c r="C158" s="2" t="s">
        <v>201</v>
      </c>
      <c r="D158" s="22" t="str">
        <f>+D157</f>
        <v>263.i</v>
      </c>
      <c r="E158" s="26">
        <v>0</v>
      </c>
      <c r="F158" s="9"/>
      <c r="G158" s="9" t="str">
        <f>+G157</f>
        <v>W/S</v>
      </c>
      <c r="H158" s="25">
        <f>+H157</f>
        <v>0.11289187194556022</v>
      </c>
      <c r="I158" s="9"/>
      <c r="J158" s="48">
        <f>+H158*E158</f>
        <v>0</v>
      </c>
      <c r="K158" s="24"/>
      <c r="L158" s="75"/>
      <c r="M158" s="48"/>
      <c r="N158" s="48"/>
      <c r="O158" s="75"/>
      <c r="P158" s="24"/>
    </row>
    <row r="159" spans="1:16" ht="15.75">
      <c r="A159" s="6">
        <v>15</v>
      </c>
      <c r="C159" s="2" t="s">
        <v>202</v>
      </c>
      <c r="D159" s="22" t="s">
        <v>3</v>
      </c>
      <c r="E159" s="24"/>
      <c r="F159" s="9"/>
      <c r="G159" s="9"/>
      <c r="I159" s="9"/>
      <c r="J159" s="48"/>
      <c r="K159" s="24"/>
      <c r="L159" s="75"/>
      <c r="M159" s="48"/>
      <c r="N159" s="48"/>
      <c r="O159" s="75"/>
      <c r="P159" s="24"/>
    </row>
    <row r="160" spans="1:17" ht="15.75">
      <c r="A160" s="6">
        <v>16</v>
      </c>
      <c r="C160" s="2" t="s">
        <v>203</v>
      </c>
      <c r="D160" s="22" t="s">
        <v>204</v>
      </c>
      <c r="E160" s="26">
        <v>23365364</v>
      </c>
      <c r="F160" s="9"/>
      <c r="G160" s="9" t="s">
        <v>178</v>
      </c>
      <c r="H160" s="25">
        <f>+H81</f>
        <v>0.14658201464173826</v>
      </c>
      <c r="I160" s="9"/>
      <c r="J160" s="48">
        <f>+H160*E160</f>
        <v>3424942.127957544</v>
      </c>
      <c r="K160" s="24"/>
      <c r="L160" s="75" t="s">
        <v>42</v>
      </c>
      <c r="M160" s="48">
        <f>J160-P160</f>
        <v>2761659.127957544</v>
      </c>
      <c r="N160" s="79"/>
      <c r="O160" s="75" t="s">
        <v>42</v>
      </c>
      <c r="P160" s="26">
        <v>663283</v>
      </c>
      <c r="Q160" s="99"/>
    </row>
    <row r="161" spans="1:16" ht="15.75">
      <c r="A161" s="6">
        <v>17</v>
      </c>
      <c r="C161" s="2" t="s">
        <v>205</v>
      </c>
      <c r="D161" s="22" t="s">
        <v>206</v>
      </c>
      <c r="E161" s="26">
        <v>0</v>
      </c>
      <c r="F161" s="9"/>
      <c r="G161" s="22" t="str">
        <f>+G103</f>
        <v>NA</v>
      </c>
      <c r="H161" s="100" t="s">
        <v>155</v>
      </c>
      <c r="I161" s="9"/>
      <c r="J161" s="48">
        <v>0</v>
      </c>
      <c r="K161" s="24"/>
      <c r="L161" s="75"/>
      <c r="M161" s="79"/>
      <c r="N161" s="79"/>
      <c r="O161" s="89"/>
      <c r="P161" s="86">
        <v>0.06009</v>
      </c>
    </row>
    <row r="162" spans="1:17" ht="15.75">
      <c r="A162" s="6">
        <v>18</v>
      </c>
      <c r="C162" s="2" t="s">
        <v>207</v>
      </c>
      <c r="D162" s="22" t="str">
        <f>+D161</f>
        <v>263.i   </v>
      </c>
      <c r="E162" s="26">
        <v>1229460</v>
      </c>
      <c r="F162" s="9"/>
      <c r="G162" s="9" t="str">
        <f>+G160</f>
        <v>GP</v>
      </c>
      <c r="H162" s="25">
        <f>+H160</f>
        <v>0.14658201464173826</v>
      </c>
      <c r="I162" s="9"/>
      <c r="J162" s="48">
        <f>+H162*E162</f>
        <v>180216.7237214315</v>
      </c>
      <c r="K162" s="24"/>
      <c r="L162" s="75" t="s">
        <v>142</v>
      </c>
      <c r="M162" s="48">
        <f>J162-P162</f>
        <v>127455.30021780536</v>
      </c>
      <c r="N162" s="79"/>
      <c r="O162" s="75" t="s">
        <v>133</v>
      </c>
      <c r="P162" s="24">
        <f>J162*$J$212</f>
        <v>52761.42350362615</v>
      </c>
      <c r="Q162" s="99"/>
    </row>
    <row r="163" spans="1:16" ht="16.5" thickBot="1">
      <c r="A163" s="6">
        <v>19</v>
      </c>
      <c r="C163" s="2" t="s">
        <v>208</v>
      </c>
      <c r="D163" s="22"/>
      <c r="E163" s="77">
        <v>0</v>
      </c>
      <c r="F163" s="9"/>
      <c r="G163" s="9" t="s">
        <v>178</v>
      </c>
      <c r="H163" s="25">
        <f>+H160</f>
        <v>0.14658201464173826</v>
      </c>
      <c r="I163" s="9"/>
      <c r="J163" s="78">
        <f>+H163*E163</f>
        <v>0</v>
      </c>
      <c r="K163" s="24"/>
      <c r="L163" s="75" t="s">
        <v>142</v>
      </c>
      <c r="M163" s="78">
        <f>J163-P163</f>
        <v>0</v>
      </c>
      <c r="N163" s="79"/>
      <c r="O163" s="89" t="s">
        <v>133</v>
      </c>
      <c r="P163" s="30">
        <f>J163*$J$212</f>
        <v>0</v>
      </c>
    </row>
    <row r="164" spans="1:16" ht="15.75">
      <c r="A164" s="6">
        <v>20</v>
      </c>
      <c r="C164" s="2" t="s">
        <v>209</v>
      </c>
      <c r="D164" s="22"/>
      <c r="E164" s="24">
        <f>SUM(E157:E163)</f>
        <v>31291923</v>
      </c>
      <c r="F164" s="9"/>
      <c r="G164" s="9"/>
      <c r="H164" s="25"/>
      <c r="I164" s="9"/>
      <c r="J164" s="48">
        <f>SUM(J157:J163)</f>
        <v>4361206.894393714</v>
      </c>
      <c r="K164" s="24"/>
      <c r="L164" s="76"/>
      <c r="M164" s="48">
        <f>SUM(M157:M163)</f>
        <v>3423816.9145674696</v>
      </c>
      <c r="N164" s="48"/>
      <c r="O164" s="75"/>
      <c r="P164" s="48">
        <f>SUM(P157:P163)</f>
        <v>937390.0399162453</v>
      </c>
    </row>
    <row r="165" spans="1:16" ht="12" customHeight="1">
      <c r="A165" s="6"/>
      <c r="C165" s="2"/>
      <c r="D165" s="22"/>
      <c r="E165" s="24"/>
      <c r="F165" s="9"/>
      <c r="G165" s="9"/>
      <c r="H165" s="25"/>
      <c r="I165" s="9"/>
      <c r="J165" s="22"/>
      <c r="K165" s="9"/>
      <c r="M165" s="42"/>
      <c r="N165" s="42"/>
      <c r="O165" s="101"/>
      <c r="P165" s="42"/>
    </row>
    <row r="166" spans="1:15" ht="4.5" customHeight="1">
      <c r="A166" s="6" t="s">
        <v>210</v>
      </c>
      <c r="C166" s="2"/>
      <c r="D166" s="22"/>
      <c r="E166" s="9"/>
      <c r="F166" s="9"/>
      <c r="G166" s="9"/>
      <c r="H166" s="25"/>
      <c r="I166" s="9"/>
      <c r="J166" s="22"/>
      <c r="K166" s="9"/>
      <c r="O166" s="102"/>
    </row>
    <row r="167" spans="1:15" ht="15.75">
      <c r="A167" s="6" t="s">
        <v>3</v>
      </c>
      <c r="C167" s="2" t="s">
        <v>211</v>
      </c>
      <c r="D167" s="22" t="s">
        <v>212</v>
      </c>
      <c r="E167" s="9"/>
      <c r="F167" s="9"/>
      <c r="H167" s="103"/>
      <c r="I167" s="9"/>
      <c r="J167" s="42"/>
      <c r="K167" s="9"/>
      <c r="O167" s="102"/>
    </row>
    <row r="168" spans="1:15" ht="15.75">
      <c r="A168" s="6">
        <v>21</v>
      </c>
      <c r="C168" s="104" t="s">
        <v>213</v>
      </c>
      <c r="D168" s="22"/>
      <c r="E168" s="105">
        <f>IF(E349&gt;0,1-(((1-E350)*(1-E349))/(1-E350*E349*E351)),0)</f>
        <v>0.4052607029006976</v>
      </c>
      <c r="F168" s="9"/>
      <c r="H168" s="103"/>
      <c r="I168" s="9"/>
      <c r="J168" s="42"/>
      <c r="K168" s="9"/>
      <c r="O168" s="102"/>
    </row>
    <row r="169" spans="1:15" ht="15.75">
      <c r="A169" s="6">
        <v>22</v>
      </c>
      <c r="C169" s="1" t="s">
        <v>214</v>
      </c>
      <c r="D169" s="22"/>
      <c r="E169" s="105">
        <f>IF(J283&gt;0,(E168/(1-E168))*(1-J280/J283),0)</f>
        <v>0.5221147989360679</v>
      </c>
      <c r="F169" s="9"/>
      <c r="H169" s="103"/>
      <c r="I169" s="9"/>
      <c r="J169" s="42"/>
      <c r="K169" s="9"/>
      <c r="O169" s="102"/>
    </row>
    <row r="170" spans="1:15" ht="15.75">
      <c r="A170" s="6"/>
      <c r="C170" s="2" t="s">
        <v>215</v>
      </c>
      <c r="D170" s="22"/>
      <c r="E170" s="9"/>
      <c r="F170" s="9"/>
      <c r="H170" s="103"/>
      <c r="I170" s="9"/>
      <c r="J170" s="42"/>
      <c r="K170" s="9"/>
      <c r="O170" s="102"/>
    </row>
    <row r="171" spans="1:15" ht="15.75">
      <c r="A171" s="6"/>
      <c r="C171" s="2" t="s">
        <v>216</v>
      </c>
      <c r="D171" s="22"/>
      <c r="E171" s="9"/>
      <c r="F171" s="9"/>
      <c r="H171" s="103"/>
      <c r="I171" s="9"/>
      <c r="J171" s="42"/>
      <c r="K171" s="9"/>
      <c r="O171" s="102"/>
    </row>
    <row r="172" spans="1:15" ht="15.75">
      <c r="A172" s="6">
        <v>23</v>
      </c>
      <c r="C172" s="104" t="s">
        <v>217</v>
      </c>
      <c r="D172" s="22"/>
      <c r="E172" s="106">
        <f>IF(E168&gt;0,1/(1-E168),0)</f>
        <v>1.681408988572403</v>
      </c>
      <c r="F172" s="9"/>
      <c r="H172" s="103"/>
      <c r="I172" s="9"/>
      <c r="J172" s="42"/>
      <c r="K172" s="9"/>
      <c r="O172" s="102"/>
    </row>
    <row r="173" spans="1:15" ht="15.75">
      <c r="A173" s="6">
        <v>24</v>
      </c>
      <c r="C173" s="2" t="s">
        <v>218</v>
      </c>
      <c r="D173" s="22"/>
      <c r="E173" s="26">
        <v>-834194</v>
      </c>
      <c r="F173" s="9"/>
      <c r="H173" s="103"/>
      <c r="I173" s="9"/>
      <c r="J173" s="42"/>
      <c r="K173" s="9"/>
      <c r="O173" s="102"/>
    </row>
    <row r="174" spans="1:15" ht="15.75">
      <c r="A174" s="6"/>
      <c r="C174" s="2"/>
      <c r="D174" s="22"/>
      <c r="E174" s="9"/>
      <c r="F174" s="9"/>
      <c r="H174" s="103"/>
      <c r="I174" s="9"/>
      <c r="J174" s="42"/>
      <c r="K174" s="9"/>
      <c r="O174" s="102"/>
    </row>
    <row r="175" spans="1:16" ht="15.75">
      <c r="A175" s="6">
        <v>25</v>
      </c>
      <c r="C175" s="104" t="s">
        <v>219</v>
      </c>
      <c r="D175" s="107"/>
      <c r="E175" s="24">
        <f>E169*E179</f>
        <v>61515452.23127613</v>
      </c>
      <c r="F175" s="9"/>
      <c r="G175" s="9" t="s">
        <v>124</v>
      </c>
      <c r="H175" s="25"/>
      <c r="I175" s="9"/>
      <c r="J175" s="48">
        <f>$E$169*J179</f>
        <v>10843474.443941416</v>
      </c>
      <c r="K175" s="24"/>
      <c r="L175" s="76"/>
      <c r="M175" s="24">
        <f>$E$169*M179</f>
        <v>8199280.378624939</v>
      </c>
      <c r="N175" s="24"/>
      <c r="O175" s="76"/>
      <c r="P175" s="24">
        <f>$E$169*P179</f>
        <v>2644194.0653164755</v>
      </c>
    </row>
    <row r="176" spans="1:17" ht="16.5" thickBot="1">
      <c r="A176" s="6">
        <v>26</v>
      </c>
      <c r="C176" s="1" t="s">
        <v>220</v>
      </c>
      <c r="D176" s="107" t="s">
        <v>221</v>
      </c>
      <c r="E176" s="30">
        <f>E172*E173</f>
        <v>-1402621.2898131672</v>
      </c>
      <c r="F176" s="9"/>
      <c r="G176" s="1" t="s">
        <v>158</v>
      </c>
      <c r="H176" s="25">
        <f>H97</f>
        <v>0.1457411164727529</v>
      </c>
      <c r="I176" s="9"/>
      <c r="J176" s="78">
        <f>H176*E176</f>
        <v>-204419.5927658237</v>
      </c>
      <c r="K176" s="24"/>
      <c r="L176" s="75" t="s">
        <v>42</v>
      </c>
      <c r="M176" s="78">
        <f>J176-P176</f>
        <v>-204419.5927658237</v>
      </c>
      <c r="N176" s="79"/>
      <c r="O176" s="89"/>
      <c r="P176" s="37">
        <v>0</v>
      </c>
      <c r="Q176" s="99"/>
    </row>
    <row r="177" spans="1:16" ht="15.75">
      <c r="A177" s="6">
        <v>27</v>
      </c>
      <c r="C177" s="104" t="s">
        <v>14</v>
      </c>
      <c r="D177" s="42" t="s">
        <v>222</v>
      </c>
      <c r="E177" s="82">
        <f>+E175+E176</f>
        <v>60112830.941462964</v>
      </c>
      <c r="F177" s="9"/>
      <c r="G177" s="9" t="s">
        <v>3</v>
      </c>
      <c r="H177" s="25" t="s">
        <v>3</v>
      </c>
      <c r="I177" s="9"/>
      <c r="J177" s="82">
        <f>+J175+J176</f>
        <v>10639054.851175593</v>
      </c>
      <c r="K177" s="24"/>
      <c r="L177" s="76" t="s">
        <v>3</v>
      </c>
      <c r="M177" s="86">
        <f>M175+M176</f>
        <v>7994860.785859115</v>
      </c>
      <c r="N177" s="86"/>
      <c r="O177" s="87"/>
      <c r="P177" s="86">
        <f>P175+P176</f>
        <v>2644194.0653164755</v>
      </c>
    </row>
    <row r="178" spans="1:16" ht="15.75">
      <c r="A178" s="6" t="s">
        <v>3</v>
      </c>
      <c r="D178" s="108"/>
      <c r="E178" s="24"/>
      <c r="F178" s="9"/>
      <c r="G178" s="9"/>
      <c r="H178" s="25"/>
      <c r="I178" s="9"/>
      <c r="J178" s="24"/>
      <c r="K178" s="24"/>
      <c r="L178" s="76"/>
      <c r="M178" s="24"/>
      <c r="N178" s="24"/>
      <c r="O178" s="76"/>
      <c r="P178" s="24"/>
    </row>
    <row r="179" spans="1:16" ht="15.75">
      <c r="A179" s="6">
        <v>28</v>
      </c>
      <c r="C179" s="2" t="s">
        <v>15</v>
      </c>
      <c r="D179" s="81"/>
      <c r="E179" s="24">
        <f>+$J283*E121</f>
        <v>117819782.84589592</v>
      </c>
      <c r="F179" s="9"/>
      <c r="G179" s="9" t="s">
        <v>124</v>
      </c>
      <c r="H179" s="103"/>
      <c r="I179" s="9"/>
      <c r="J179" s="48">
        <f>+$J283*J121</f>
        <v>20768372.139685664</v>
      </c>
      <c r="K179" s="48"/>
      <c r="L179" s="75" t="s">
        <v>3</v>
      </c>
      <c r="M179" s="48">
        <f>+$J283*M121</f>
        <v>15703980.035296658</v>
      </c>
      <c r="N179" s="48"/>
      <c r="O179" s="75"/>
      <c r="P179" s="48">
        <f>+$J283*P121</f>
        <v>5064392.104389005</v>
      </c>
    </row>
    <row r="180" spans="1:16" ht="15.75">
      <c r="A180" s="6"/>
      <c r="C180" s="104" t="s">
        <v>223</v>
      </c>
      <c r="E180" s="24"/>
      <c r="F180" s="9"/>
      <c r="G180" s="9"/>
      <c r="H180" s="103"/>
      <c r="I180" s="9"/>
      <c r="J180" s="24"/>
      <c r="K180" s="24"/>
      <c r="L180" s="76"/>
      <c r="M180" s="24"/>
      <c r="N180" s="24"/>
      <c r="O180" s="76"/>
      <c r="P180" s="24"/>
    </row>
    <row r="181" spans="1:16" ht="15.75">
      <c r="A181" s="6"/>
      <c r="C181" s="2"/>
      <c r="E181" s="86"/>
      <c r="F181" s="9"/>
      <c r="G181" s="9"/>
      <c r="H181" s="103"/>
      <c r="I181" s="9"/>
      <c r="J181" s="86"/>
      <c r="K181" s="24"/>
      <c r="L181" s="76"/>
      <c r="M181" s="24"/>
      <c r="N181" s="24"/>
      <c r="O181" s="76"/>
      <c r="P181" s="24"/>
    </row>
    <row r="182" spans="1:16" ht="15.75">
      <c r="A182" s="6">
        <v>29</v>
      </c>
      <c r="C182" s="2" t="s">
        <v>224</v>
      </c>
      <c r="D182" s="9"/>
      <c r="E182" s="86">
        <f>+E179+E177+E164+E154+E146</f>
        <v>317285946.7873589</v>
      </c>
      <c r="F182" s="9"/>
      <c r="G182" s="9"/>
      <c r="H182" s="9"/>
      <c r="I182" s="9"/>
      <c r="J182" s="86">
        <f>+J179+J177+J164+J154+J146</f>
        <v>71316570.49287315</v>
      </c>
      <c r="K182" s="45"/>
      <c r="L182" s="76"/>
      <c r="M182" s="86">
        <f>+M179+M177+M164+M154+M146</f>
        <v>53831193.63476761</v>
      </c>
      <c r="N182" s="86"/>
      <c r="O182" s="87"/>
      <c r="P182" s="86">
        <f>+P179+P177+P164+P154+P146</f>
        <v>17485376.91819554</v>
      </c>
    </row>
    <row r="183" spans="1:16" ht="15.75">
      <c r="A183" s="6"/>
      <c r="C183" s="2"/>
      <c r="D183" s="9"/>
      <c r="E183" s="86"/>
      <c r="F183" s="9"/>
      <c r="G183" s="9"/>
      <c r="H183" s="9"/>
      <c r="I183" s="9"/>
      <c r="J183" s="86"/>
      <c r="K183" s="45"/>
      <c r="L183" s="76"/>
      <c r="M183" s="86"/>
      <c r="N183" s="86"/>
      <c r="O183" s="87"/>
      <c r="P183" s="86"/>
    </row>
    <row r="184" spans="1:16" ht="15.75">
      <c r="A184" s="60">
        <v>30</v>
      </c>
      <c r="B184" s="61"/>
      <c r="C184" s="61" t="s">
        <v>225</v>
      </c>
      <c r="D184" s="9"/>
      <c r="E184" s="86"/>
      <c r="F184" s="9"/>
      <c r="G184" s="9"/>
      <c r="H184" s="9"/>
      <c r="I184" s="9"/>
      <c r="J184" s="86"/>
      <c r="K184" s="45"/>
      <c r="L184" s="76"/>
      <c r="M184" s="24"/>
      <c r="N184" s="24"/>
      <c r="O184" s="76"/>
      <c r="P184" s="24"/>
    </row>
    <row r="185" spans="1:16" ht="15.75">
      <c r="A185" s="60"/>
      <c r="B185" s="220"/>
      <c r="C185" s="220" t="s">
        <v>412</v>
      </c>
      <c r="D185" s="61"/>
      <c r="E185" s="24"/>
      <c r="F185" s="62"/>
      <c r="G185" s="62"/>
      <c r="H185" s="62"/>
      <c r="I185" s="62"/>
      <c r="J185" s="24"/>
      <c r="K185" s="109"/>
      <c r="L185" s="75"/>
      <c r="M185" s="48"/>
      <c r="N185" s="48"/>
      <c r="O185" s="75"/>
      <c r="P185" s="48"/>
    </row>
    <row r="186" spans="1:16" ht="15.75">
      <c r="A186" s="60"/>
      <c r="B186" s="61"/>
      <c r="C186" s="61" t="s">
        <v>226</v>
      </c>
      <c r="D186" s="10"/>
      <c r="E186" s="226">
        <f>'MP Attach GG'!L83</f>
        <v>17863721.887215618</v>
      </c>
      <c r="F186" s="62"/>
      <c r="G186" s="62"/>
      <c r="H186" s="62"/>
      <c r="I186" s="62"/>
      <c r="J186" s="226">
        <f>E186</f>
        <v>17863721.887215618</v>
      </c>
      <c r="K186" s="109"/>
      <c r="L186" s="75" t="s">
        <v>42</v>
      </c>
      <c r="M186" s="48">
        <f>J186-P186</f>
        <v>17863721.887215618</v>
      </c>
      <c r="N186" s="48"/>
      <c r="O186" s="75" t="s">
        <v>42</v>
      </c>
      <c r="P186" s="226">
        <v>0</v>
      </c>
    </row>
    <row r="187" spans="1:16" ht="15.75">
      <c r="A187" s="6"/>
      <c r="C187" s="2"/>
      <c r="D187" s="9"/>
      <c r="E187" s="86"/>
      <c r="F187" s="9"/>
      <c r="G187" s="9"/>
      <c r="H187" s="9"/>
      <c r="I187" s="9"/>
      <c r="J187" s="86"/>
      <c r="K187" s="45"/>
      <c r="L187" s="76"/>
      <c r="M187" s="86"/>
      <c r="N187" s="86"/>
      <c r="O187" s="87"/>
      <c r="P187" s="86"/>
    </row>
    <row r="188" spans="1:16" ht="15.75">
      <c r="A188" s="60" t="s">
        <v>419</v>
      </c>
      <c r="B188" s="61"/>
      <c r="C188" s="61" t="s">
        <v>420</v>
      </c>
      <c r="D188" s="9"/>
      <c r="E188" s="86"/>
      <c r="F188" s="9"/>
      <c r="G188" s="9"/>
      <c r="H188" s="9"/>
      <c r="I188" s="9"/>
      <c r="J188" s="86"/>
      <c r="K188" s="45"/>
      <c r="L188" s="76"/>
      <c r="M188" s="24"/>
      <c r="N188" s="24"/>
      <c r="O188" s="76"/>
      <c r="P188" s="24"/>
    </row>
    <row r="189" spans="1:16" s="42" customFormat="1" ht="15.75" customHeight="1">
      <c r="A189" s="60"/>
      <c r="B189" s="220"/>
      <c r="C189" s="220" t="s">
        <v>412</v>
      </c>
      <c r="D189" s="61"/>
      <c r="E189" s="24"/>
      <c r="F189" s="62"/>
      <c r="G189" s="62"/>
      <c r="H189" s="62"/>
      <c r="I189" s="62"/>
      <c r="J189" s="24"/>
      <c r="K189" s="109"/>
      <c r="L189" s="75"/>
      <c r="M189" s="48"/>
      <c r="N189" s="48"/>
      <c r="O189" s="75"/>
      <c r="P189" s="48"/>
    </row>
    <row r="190" spans="1:16" s="42" customFormat="1" ht="16.5" thickBot="1">
      <c r="A190" s="60"/>
      <c r="B190" s="61"/>
      <c r="C190" s="61" t="s">
        <v>421</v>
      </c>
      <c r="D190" s="10"/>
      <c r="E190" s="77">
        <v>0</v>
      </c>
      <c r="F190" s="62"/>
      <c r="G190" s="62"/>
      <c r="H190" s="62"/>
      <c r="I190" s="62"/>
      <c r="J190" s="77">
        <f>E190</f>
        <v>0</v>
      </c>
      <c r="K190" s="109"/>
      <c r="L190" s="75" t="s">
        <v>42</v>
      </c>
      <c r="M190" s="78">
        <f>J190-P190</f>
        <v>0</v>
      </c>
      <c r="N190" s="48"/>
      <c r="O190" s="75" t="s">
        <v>42</v>
      </c>
      <c r="P190" s="77">
        <v>0</v>
      </c>
    </row>
    <row r="191" spans="1:16" s="42" customFormat="1" ht="16.5" thickBot="1">
      <c r="A191" s="60">
        <v>31</v>
      </c>
      <c r="C191" s="42" t="s">
        <v>227</v>
      </c>
      <c r="D191" s="10"/>
      <c r="E191" s="110">
        <f>E182-E186-E190</f>
        <v>299422224.90014327</v>
      </c>
      <c r="F191" s="62"/>
      <c r="G191" s="62"/>
      <c r="H191" s="62"/>
      <c r="I191" s="62"/>
      <c r="J191" s="110">
        <f>J182-J186-J190</f>
        <v>53452848.60565753</v>
      </c>
      <c r="K191" s="109"/>
      <c r="L191" s="75"/>
      <c r="M191" s="110">
        <f>M182-M186-M190</f>
        <v>35967471.74755199</v>
      </c>
      <c r="N191" s="48"/>
      <c r="O191" s="75"/>
      <c r="P191" s="110">
        <f>P182-P186-P190</f>
        <v>17485376.91819554</v>
      </c>
    </row>
    <row r="192" spans="1:15" s="42" customFormat="1" ht="16.5" thickTop="1">
      <c r="A192" s="60"/>
      <c r="B192" s="61"/>
      <c r="C192" s="61" t="s">
        <v>422</v>
      </c>
      <c r="D192" s="10"/>
      <c r="E192" s="109"/>
      <c r="F192" s="62"/>
      <c r="G192" s="62"/>
      <c r="H192" s="62"/>
      <c r="I192" s="62"/>
      <c r="J192" s="62"/>
      <c r="K192" s="62"/>
      <c r="L192" s="20"/>
      <c r="O192" s="20"/>
    </row>
    <row r="193" spans="1:15" s="42" customFormat="1" ht="15.75">
      <c r="A193" s="60"/>
      <c r="B193" s="61"/>
      <c r="C193" s="61"/>
      <c r="D193" s="10"/>
      <c r="E193" s="109"/>
      <c r="F193" s="62"/>
      <c r="G193" s="62"/>
      <c r="H193" s="62"/>
      <c r="I193" s="62"/>
      <c r="J193" s="62"/>
      <c r="K193" s="62"/>
      <c r="L193" s="20"/>
      <c r="O193" s="20"/>
    </row>
    <row r="194" spans="1:15" s="42" customFormat="1" ht="15.75">
      <c r="A194" s="60"/>
      <c r="B194" s="61"/>
      <c r="C194" s="61"/>
      <c r="D194" s="10"/>
      <c r="E194" s="109"/>
      <c r="F194" s="62"/>
      <c r="G194" s="62"/>
      <c r="H194" s="62"/>
      <c r="I194" s="62"/>
      <c r="J194" s="62"/>
      <c r="K194" s="62"/>
      <c r="L194" s="20"/>
      <c r="O194" s="20"/>
    </row>
    <row r="195" spans="3:19" ht="15.75">
      <c r="C195" s="2" t="s">
        <v>26</v>
      </c>
      <c r="D195" s="2"/>
      <c r="E195" s="3" t="s">
        <v>0</v>
      </c>
      <c r="F195" s="2"/>
      <c r="G195" s="2"/>
      <c r="H195" s="2"/>
      <c r="I195" s="4"/>
      <c r="K195" s="10"/>
      <c r="L195" s="20"/>
      <c r="O195" s="20"/>
      <c r="P195" s="20" t="s">
        <v>228</v>
      </c>
      <c r="Q195" s="42"/>
      <c r="R195" s="42"/>
      <c r="S195" s="42"/>
    </row>
    <row r="196" spans="3:16" ht="15.75">
      <c r="C196" s="2"/>
      <c r="D196" s="9" t="s">
        <v>3</v>
      </c>
      <c r="E196" s="9" t="s">
        <v>27</v>
      </c>
      <c r="F196" s="9"/>
      <c r="G196" s="9"/>
      <c r="H196" s="9"/>
      <c r="I196" s="4"/>
      <c r="J196" s="4"/>
      <c r="K196" s="4"/>
      <c r="M196" s="385"/>
      <c r="N196" s="385"/>
      <c r="O196" s="232"/>
      <c r="P196" s="384" t="str">
        <f>P2</f>
        <v>For the 12 months ended 12/31/2013</v>
      </c>
    </row>
    <row r="197" spans="1:11" ht="15.75">
      <c r="A197" s="6"/>
      <c r="K197" s="9"/>
    </row>
    <row r="198" spans="1:11" ht="31.5">
      <c r="A198" s="6"/>
      <c r="E198" s="93" t="str">
        <f>E5</f>
        <v>Allete, Inc. dba Minnesota Power</v>
      </c>
      <c r="K198" s="9"/>
    </row>
    <row r="199" spans="1:11" ht="15.75">
      <c r="A199" s="6"/>
      <c r="D199" s="72" t="s">
        <v>229</v>
      </c>
      <c r="F199" s="4"/>
      <c r="G199" s="4"/>
      <c r="H199" s="4"/>
      <c r="I199" s="4"/>
      <c r="J199" s="4"/>
      <c r="K199" s="9"/>
    </row>
    <row r="200" spans="1:11" ht="15.75">
      <c r="A200" s="6" t="s">
        <v>1</v>
      </c>
      <c r="C200" s="72"/>
      <c r="D200" s="4"/>
      <c r="E200" s="4"/>
      <c r="F200" s="4"/>
      <c r="G200" s="4"/>
      <c r="H200" s="4"/>
      <c r="I200" s="4"/>
      <c r="J200" s="4"/>
      <c r="K200" s="9"/>
    </row>
    <row r="201" spans="1:11" ht="16.5" thickBot="1">
      <c r="A201" s="17" t="s">
        <v>2</v>
      </c>
      <c r="C201" s="61" t="s">
        <v>230</v>
      </c>
      <c r="D201" s="10"/>
      <c r="E201" s="10"/>
      <c r="F201" s="10"/>
      <c r="G201" s="10"/>
      <c r="H201" s="10"/>
      <c r="I201" s="42"/>
      <c r="J201" s="42"/>
      <c r="K201" s="22"/>
    </row>
    <row r="202" spans="1:11" ht="15.75">
      <c r="A202" s="6"/>
      <c r="C202" s="61"/>
      <c r="D202" s="10"/>
      <c r="E202" s="10"/>
      <c r="F202" s="10"/>
      <c r="G202" s="10"/>
      <c r="H202" s="10"/>
      <c r="I202" s="10"/>
      <c r="J202" s="10"/>
      <c r="K202" s="22"/>
    </row>
    <row r="203" spans="1:11" ht="15.75">
      <c r="A203" s="6">
        <v>1</v>
      </c>
      <c r="C203" s="10" t="s">
        <v>231</v>
      </c>
      <c r="D203" s="10"/>
      <c r="E203" s="22"/>
      <c r="F203" s="22"/>
      <c r="G203" s="22"/>
      <c r="H203" s="22"/>
      <c r="I203" s="22"/>
      <c r="J203" s="48">
        <f>E77</f>
        <v>446094312</v>
      </c>
      <c r="K203" s="22"/>
    </row>
    <row r="204" spans="1:11" ht="15.75">
      <c r="A204" s="6">
        <v>2</v>
      </c>
      <c r="C204" s="10" t="s">
        <v>232</v>
      </c>
      <c r="D204" s="42"/>
      <c r="E204" s="42"/>
      <c r="F204" s="42"/>
      <c r="G204" s="42"/>
      <c r="H204" s="42"/>
      <c r="I204" s="42"/>
      <c r="J204" s="26">
        <v>42046321</v>
      </c>
      <c r="K204" s="22"/>
    </row>
    <row r="205" spans="1:11" ht="16.5" thickBot="1">
      <c r="A205" s="6">
        <v>3</v>
      </c>
      <c r="C205" s="111" t="s">
        <v>233</v>
      </c>
      <c r="D205" s="111"/>
      <c r="E205" s="112"/>
      <c r="F205" s="22"/>
      <c r="G205" s="22"/>
      <c r="H205" s="113"/>
      <c r="I205" s="22"/>
      <c r="J205" s="77">
        <v>7880697</v>
      </c>
      <c r="K205" s="22"/>
    </row>
    <row r="206" spans="1:11" ht="15.75">
      <c r="A206" s="6">
        <v>4</v>
      </c>
      <c r="C206" s="10" t="s">
        <v>234</v>
      </c>
      <c r="D206" s="10"/>
      <c r="E206" s="22"/>
      <c r="F206" s="22"/>
      <c r="G206" s="22"/>
      <c r="H206" s="113"/>
      <c r="I206" s="22"/>
      <c r="J206" s="48">
        <f>J203-J204-J205</f>
        <v>396167294</v>
      </c>
      <c r="K206" s="22"/>
    </row>
    <row r="207" spans="1:11" ht="15.75">
      <c r="A207" s="6"/>
      <c r="C207" s="42"/>
      <c r="D207" s="10"/>
      <c r="E207" s="22"/>
      <c r="F207" s="22"/>
      <c r="G207" s="22"/>
      <c r="H207" s="113"/>
      <c r="I207" s="22"/>
      <c r="J207" s="42"/>
      <c r="K207" s="22"/>
    </row>
    <row r="208" spans="1:11" ht="15.75">
      <c r="A208" s="6">
        <v>5</v>
      </c>
      <c r="C208" s="10" t="s">
        <v>235</v>
      </c>
      <c r="D208" s="114"/>
      <c r="E208" s="115"/>
      <c r="F208" s="115"/>
      <c r="G208" s="115"/>
      <c r="H208" s="116"/>
      <c r="I208" s="22" t="s">
        <v>236</v>
      </c>
      <c r="J208" s="88">
        <f>IF(J203&gt;0,J206/J203,0)</f>
        <v>0.8880796803345029</v>
      </c>
      <c r="K208" s="22"/>
    </row>
    <row r="209" spans="1:11" ht="15.75">
      <c r="A209" s="6"/>
      <c r="C209" s="10"/>
      <c r="D209" s="114"/>
      <c r="E209" s="115"/>
      <c r="F209" s="115"/>
      <c r="G209" s="115"/>
      <c r="H209" s="116"/>
      <c r="I209" s="22"/>
      <c r="J209" s="88"/>
      <c r="K209" s="22"/>
    </row>
    <row r="210" spans="1:11" ht="15.75">
      <c r="A210" s="6">
        <v>6</v>
      </c>
      <c r="C210" s="10" t="s">
        <v>237</v>
      </c>
      <c r="D210" s="114"/>
      <c r="E210" s="117">
        <f>J77</f>
        <v>396167294</v>
      </c>
      <c r="F210" s="115"/>
      <c r="G210" s="115"/>
      <c r="H210" s="116"/>
      <c r="I210" s="22"/>
      <c r="J210" s="42"/>
      <c r="K210" s="22"/>
    </row>
    <row r="211" spans="1:11" ht="15.75">
      <c r="A211" s="6">
        <v>7</v>
      </c>
      <c r="C211" s="10" t="s">
        <v>238</v>
      </c>
      <c r="D211" s="114"/>
      <c r="E211" s="117">
        <f>M77</f>
        <v>280182773</v>
      </c>
      <c r="F211" s="115"/>
      <c r="G211" s="115"/>
      <c r="H211" s="116"/>
      <c r="I211" s="22" t="s">
        <v>239</v>
      </c>
      <c r="J211" s="118">
        <f>IF(E211&gt;0,E211/E210,0)</f>
        <v>0.7072334774813592</v>
      </c>
      <c r="K211" s="22"/>
    </row>
    <row r="212" spans="1:11" ht="15.75">
      <c r="A212" s="6">
        <v>8</v>
      </c>
      <c r="C212" s="10" t="s">
        <v>240</v>
      </c>
      <c r="D212" s="114"/>
      <c r="E212" s="117">
        <f>P77</f>
        <v>115984521</v>
      </c>
      <c r="F212" s="115"/>
      <c r="G212" s="115"/>
      <c r="H212" s="116"/>
      <c r="I212" s="22" t="s">
        <v>241</v>
      </c>
      <c r="J212" s="118">
        <f>IF(E212&gt;0,E212/E210,0)</f>
        <v>0.2927665225186408</v>
      </c>
      <c r="K212" s="22"/>
    </row>
    <row r="213" spans="1:11" ht="15.75">
      <c r="A213" s="6"/>
      <c r="C213" s="10"/>
      <c r="D213" s="114"/>
      <c r="E213" s="117"/>
      <c r="F213" s="115"/>
      <c r="G213" s="115"/>
      <c r="H213" s="116"/>
      <c r="I213" s="22"/>
      <c r="J213" s="118"/>
      <c r="K213" s="22"/>
    </row>
    <row r="214" spans="1:11" ht="15.75">
      <c r="A214" s="6">
        <v>9</v>
      </c>
      <c r="C214" s="10" t="s">
        <v>242</v>
      </c>
      <c r="D214" s="114"/>
      <c r="E214" s="117">
        <f>J97</f>
        <v>249811186.14613548</v>
      </c>
      <c r="F214" s="115"/>
      <c r="G214" s="115"/>
      <c r="H214" s="116"/>
      <c r="I214" s="22"/>
      <c r="J214" s="42"/>
      <c r="K214" s="22"/>
    </row>
    <row r="215" spans="1:11" ht="15.75">
      <c r="A215" s="6">
        <v>10</v>
      </c>
      <c r="C215" s="10" t="s">
        <v>243</v>
      </c>
      <c r="D215" s="114"/>
      <c r="E215" s="117">
        <f>M97</f>
        <v>177000850.80020604</v>
      </c>
      <c r="F215" s="115"/>
      <c r="G215" s="115"/>
      <c r="H215" s="116"/>
      <c r="I215" s="22" t="s">
        <v>244</v>
      </c>
      <c r="J215" s="118">
        <f>IF(E215&gt;0,E215/E214,0)</f>
        <v>0.7085385307632438</v>
      </c>
      <c r="K215" s="22"/>
    </row>
    <row r="216" spans="1:11" ht="15.75">
      <c r="A216" s="6">
        <v>11</v>
      </c>
      <c r="C216" s="10" t="s">
        <v>245</v>
      </c>
      <c r="D216" s="114"/>
      <c r="E216" s="117">
        <f>P97</f>
        <v>72810335.34592946</v>
      </c>
      <c r="F216" s="115"/>
      <c r="G216" s="115"/>
      <c r="H216" s="116"/>
      <c r="I216" s="22" t="s">
        <v>246</v>
      </c>
      <c r="J216" s="118">
        <f>IF(E216&gt;0,E216/E214,0)</f>
        <v>0.29146146923675625</v>
      </c>
      <c r="K216" s="22"/>
    </row>
    <row r="217" spans="1:11" ht="15.75">
      <c r="A217" s="6"/>
      <c r="C217" s="42"/>
      <c r="D217" s="42"/>
      <c r="E217" s="42"/>
      <c r="F217" s="42"/>
      <c r="G217" s="42"/>
      <c r="H217" s="42"/>
      <c r="I217" s="42"/>
      <c r="J217" s="42"/>
      <c r="K217" s="22"/>
    </row>
    <row r="218" spans="1:28" ht="15.75">
      <c r="A218" s="6"/>
      <c r="C218" s="61" t="s">
        <v>247</v>
      </c>
      <c r="D218" s="42"/>
      <c r="E218" s="42"/>
      <c r="F218" s="42"/>
      <c r="G218" s="42"/>
      <c r="H218" s="42"/>
      <c r="I218" s="42"/>
      <c r="J218" s="42"/>
      <c r="K218" s="22"/>
      <c r="L218" s="60"/>
      <c r="U218" s="213" t="s">
        <v>268</v>
      </c>
      <c r="V218" s="214"/>
      <c r="W218" s="214"/>
      <c r="X218" s="214"/>
      <c r="Y218" s="214"/>
      <c r="Z218" s="214"/>
      <c r="AA218" s="214"/>
      <c r="AB218" s="215"/>
    </row>
    <row r="219" spans="1:28" ht="15.75">
      <c r="A219" s="6"/>
      <c r="C219" s="42"/>
      <c r="D219" s="42"/>
      <c r="E219" s="42"/>
      <c r="F219" s="42"/>
      <c r="G219" s="42"/>
      <c r="H219" s="42"/>
      <c r="I219" s="42"/>
      <c r="J219" s="42"/>
      <c r="K219" s="42"/>
      <c r="U219" s="216"/>
      <c r="V219" s="133"/>
      <c r="W219" s="133"/>
      <c r="X219" s="133"/>
      <c r="Y219" s="133"/>
      <c r="Z219" s="133"/>
      <c r="AA219" s="133"/>
      <c r="AB219" s="217"/>
    </row>
    <row r="220" spans="1:28" ht="15.75">
      <c r="A220" s="6">
        <v>12</v>
      </c>
      <c r="C220" s="42" t="s">
        <v>248</v>
      </c>
      <c r="D220" s="42"/>
      <c r="E220" s="10"/>
      <c r="F220" s="10"/>
      <c r="G220" s="10"/>
      <c r="H220" s="60"/>
      <c r="I220" s="10"/>
      <c r="J220" s="48">
        <f>E137</f>
        <v>51835995</v>
      </c>
      <c r="K220" s="42"/>
      <c r="U220" s="184"/>
      <c r="V220" s="185"/>
      <c r="W220" s="186"/>
      <c r="X220" s="185"/>
      <c r="Y220" s="187"/>
      <c r="Z220" s="188"/>
      <c r="AA220" s="185"/>
      <c r="AB220" s="189"/>
    </row>
    <row r="221" spans="1:28" ht="16.5" thickBot="1">
      <c r="A221" s="6">
        <v>13</v>
      </c>
      <c r="C221" s="111" t="s">
        <v>249</v>
      </c>
      <c r="D221" s="111"/>
      <c r="E221" s="112"/>
      <c r="F221" s="112"/>
      <c r="G221" s="22"/>
      <c r="H221" s="22"/>
      <c r="I221" s="22"/>
      <c r="J221" s="77">
        <v>4374410</v>
      </c>
      <c r="K221" s="42"/>
      <c r="U221" s="201">
        <v>4374410</v>
      </c>
      <c r="V221" s="187"/>
      <c r="W221" s="190"/>
      <c r="X221" s="191" t="s">
        <v>269</v>
      </c>
      <c r="Y221" s="187"/>
      <c r="Z221" s="188"/>
      <c r="AA221" s="185"/>
      <c r="AB221" s="189"/>
    </row>
    <row r="222" spans="1:28" ht="16.5" thickBot="1">
      <c r="A222" s="6">
        <v>14</v>
      </c>
      <c r="C222" s="10" t="s">
        <v>250</v>
      </c>
      <c r="D222" s="114"/>
      <c r="E222" s="115"/>
      <c r="F222" s="115"/>
      <c r="G222" s="115"/>
      <c r="H222" s="116"/>
      <c r="I222" s="115"/>
      <c r="J222" s="48">
        <f>+J220-J221</f>
        <v>47461585</v>
      </c>
      <c r="K222" s="42"/>
      <c r="U222" s="386">
        <v>664098.371</v>
      </c>
      <c r="V222" s="193"/>
      <c r="W222" s="194"/>
      <c r="X222" s="195" t="s">
        <v>270</v>
      </c>
      <c r="Y222" s="196"/>
      <c r="Z222" s="196"/>
      <c r="AA222" s="185"/>
      <c r="AB222" s="189"/>
    </row>
    <row r="223" spans="1:28" ht="16.5" thickTop="1">
      <c r="A223" s="6"/>
      <c r="C223" s="10"/>
      <c r="D223" s="10"/>
      <c r="E223" s="22"/>
      <c r="F223" s="22"/>
      <c r="G223" s="22"/>
      <c r="H223" s="22"/>
      <c r="I223" s="42"/>
      <c r="J223" s="42"/>
      <c r="K223" s="42"/>
      <c r="U223" s="201">
        <f>U221-U222</f>
        <v>3710311.6289999997</v>
      </c>
      <c r="V223" s="185"/>
      <c r="W223" s="186"/>
      <c r="X223" s="195" t="s">
        <v>272</v>
      </c>
      <c r="Y223" s="185"/>
      <c r="Z223" s="185"/>
      <c r="AA223" s="185"/>
      <c r="AB223" s="189"/>
    </row>
    <row r="224" spans="1:28" ht="15.75">
      <c r="A224" s="6">
        <v>15</v>
      </c>
      <c r="C224" s="10" t="s">
        <v>251</v>
      </c>
      <c r="D224" s="10"/>
      <c r="E224" s="22"/>
      <c r="F224" s="22"/>
      <c r="G224" s="22"/>
      <c r="H224" s="22"/>
      <c r="I224" s="22"/>
      <c r="J224" s="74">
        <f>IF(J220&gt;0,J222/J220,0)</f>
        <v>0.9156105713799841</v>
      </c>
      <c r="U224" s="197"/>
      <c r="V224" s="188"/>
      <c r="W224" s="198"/>
      <c r="X224" s="199" t="s">
        <v>273</v>
      </c>
      <c r="Y224" s="200"/>
      <c r="Z224" s="200"/>
      <c r="AA224" s="185"/>
      <c r="AB224" s="189"/>
    </row>
    <row r="225" spans="1:28" ht="15.75">
      <c r="A225" s="6">
        <v>16</v>
      </c>
      <c r="C225" s="10" t="s">
        <v>252</v>
      </c>
      <c r="D225" s="10"/>
      <c r="E225" s="22"/>
      <c r="F225" s="22"/>
      <c r="G225" s="22"/>
      <c r="H225" s="22"/>
      <c r="I225" s="10" t="s">
        <v>41</v>
      </c>
      <c r="J225" s="119">
        <f>J208</f>
        <v>0.8880796803345029</v>
      </c>
      <c r="K225" s="9"/>
      <c r="U225" s="201">
        <v>0</v>
      </c>
      <c r="V225" s="202"/>
      <c r="W225" s="203"/>
      <c r="X225" s="200" t="s">
        <v>274</v>
      </c>
      <c r="Y225" s="185"/>
      <c r="Z225" s="200"/>
      <c r="AA225" s="185"/>
      <c r="AB225" s="189"/>
    </row>
    <row r="226" spans="1:28" ht="15.75">
      <c r="A226" s="6">
        <v>17</v>
      </c>
      <c r="C226" s="10" t="s">
        <v>396</v>
      </c>
      <c r="D226" s="10"/>
      <c r="E226" s="10"/>
      <c r="F226" s="10"/>
      <c r="G226" s="10"/>
      <c r="H226" s="10"/>
      <c r="I226" s="10" t="s">
        <v>253</v>
      </c>
      <c r="J226" s="120">
        <f>+J225*J224</f>
        <v>0.8131351435420279</v>
      </c>
      <c r="K226" s="9"/>
      <c r="U226" s="219"/>
      <c r="V226" s="202"/>
      <c r="W226" s="203"/>
      <c r="X226" s="200"/>
      <c r="Y226" s="185"/>
      <c r="Z226" s="200"/>
      <c r="AA226" s="185"/>
      <c r="AB226" s="189"/>
    </row>
    <row r="227" spans="1:28" ht="15.75">
      <c r="A227" s="6"/>
      <c r="D227" s="4"/>
      <c r="E227" s="9"/>
      <c r="F227" s="9"/>
      <c r="G227" s="9"/>
      <c r="H227" s="47"/>
      <c r="I227" s="9"/>
      <c r="K227" s="9"/>
      <c r="M227" s="7"/>
      <c r="N227" s="7"/>
      <c r="U227" s="219">
        <v>10000</v>
      </c>
      <c r="V227" s="187"/>
      <c r="W227" s="190"/>
      <c r="X227" s="200" t="s">
        <v>276</v>
      </c>
      <c r="Y227" s="185"/>
      <c r="Z227" s="200"/>
      <c r="AA227" s="185"/>
      <c r="AB227" s="189"/>
    </row>
    <row r="228" spans="1:28" ht="15.75">
      <c r="A228" s="6" t="s">
        <v>3</v>
      </c>
      <c r="C228" s="2" t="s">
        <v>254</v>
      </c>
      <c r="D228" s="9"/>
      <c r="E228" s="9"/>
      <c r="F228" s="9"/>
      <c r="G228" s="9"/>
      <c r="H228" s="9"/>
      <c r="I228" s="9"/>
      <c r="J228" s="9"/>
      <c r="K228" s="9"/>
      <c r="M228" s="7"/>
      <c r="N228" s="7"/>
      <c r="U228" s="218" t="s">
        <v>3</v>
      </c>
      <c r="V228" s="187"/>
      <c r="W228" s="190"/>
      <c r="X228" s="200" t="s">
        <v>280</v>
      </c>
      <c r="Y228" s="185"/>
      <c r="Z228" s="204"/>
      <c r="AA228" s="185"/>
      <c r="AB228" s="189"/>
    </row>
    <row r="229" spans="1:28" ht="16.5" thickBot="1">
      <c r="A229" s="6" t="s">
        <v>3</v>
      </c>
      <c r="C229" s="2"/>
      <c r="D229" s="123" t="s">
        <v>255</v>
      </c>
      <c r="E229" s="124" t="s">
        <v>256</v>
      </c>
      <c r="F229" s="124" t="s">
        <v>41</v>
      </c>
      <c r="G229" s="9"/>
      <c r="H229" s="124" t="s">
        <v>257</v>
      </c>
      <c r="I229" s="9"/>
      <c r="J229" s="9"/>
      <c r="K229" s="9"/>
      <c r="M229" s="7"/>
      <c r="N229" s="7"/>
      <c r="U229" s="205">
        <f>SUM(U225:U228)</f>
        <v>10000</v>
      </c>
      <c r="V229" s="193"/>
      <c r="W229" s="194"/>
      <c r="X229" s="195" t="s">
        <v>284</v>
      </c>
      <c r="Y229" s="187"/>
      <c r="Z229" s="188"/>
      <c r="AA229" s="185"/>
      <c r="AB229" s="189"/>
    </row>
    <row r="230" spans="1:28" ht="15.75">
      <c r="A230" s="6">
        <v>18</v>
      </c>
      <c r="C230" s="2" t="s">
        <v>122</v>
      </c>
      <c r="D230" s="9" t="s">
        <v>258</v>
      </c>
      <c r="E230" s="26">
        <v>33647466</v>
      </c>
      <c r="F230" s="125">
        <v>0</v>
      </c>
      <c r="G230" s="125"/>
      <c r="H230" s="24">
        <f>E230*F230</f>
        <v>0</v>
      </c>
      <c r="I230" s="9"/>
      <c r="J230" s="9"/>
      <c r="K230" s="9"/>
      <c r="M230" s="7"/>
      <c r="N230" s="7"/>
      <c r="U230" s="192">
        <f>U223-U229</f>
        <v>3700311.6289999997</v>
      </c>
      <c r="V230" s="206"/>
      <c r="W230" s="207"/>
      <c r="X230" s="208" t="s">
        <v>287</v>
      </c>
      <c r="Y230" s="209"/>
      <c r="Z230" s="210"/>
      <c r="AA230" s="211"/>
      <c r="AB230" s="212"/>
    </row>
    <row r="231" spans="1:14" ht="15.75">
      <c r="A231" s="6">
        <v>19</v>
      </c>
      <c r="C231" s="2" t="s">
        <v>125</v>
      </c>
      <c r="D231" s="9" t="s">
        <v>259</v>
      </c>
      <c r="E231" s="26">
        <v>7077278</v>
      </c>
      <c r="F231" s="125">
        <f>+J208</f>
        <v>0.8880796803345029</v>
      </c>
      <c r="G231" s="125"/>
      <c r="H231" s="24">
        <f>E231*F231</f>
        <v>6285186.78387841</v>
      </c>
      <c r="I231" s="9"/>
      <c r="J231" s="9"/>
      <c r="K231" s="47"/>
      <c r="M231" s="7"/>
      <c r="N231" s="7"/>
    </row>
    <row r="232" spans="1:14" ht="15.75">
      <c r="A232" s="6">
        <v>20</v>
      </c>
      <c r="C232" s="2" t="s">
        <v>127</v>
      </c>
      <c r="D232" s="9" t="s">
        <v>260</v>
      </c>
      <c r="E232" s="26">
        <v>9504305</v>
      </c>
      <c r="F232" s="125">
        <v>0</v>
      </c>
      <c r="G232" s="125"/>
      <c r="H232" s="24">
        <f>E232*F232</f>
        <v>0</v>
      </c>
      <c r="I232" s="9"/>
      <c r="J232" s="126" t="s">
        <v>261</v>
      </c>
      <c r="K232" s="9"/>
      <c r="M232" s="7"/>
      <c r="N232" s="7"/>
    </row>
    <row r="233" spans="1:14" ht="16.5" thickBot="1">
      <c r="A233" s="6">
        <v>21</v>
      </c>
      <c r="C233" s="2" t="s">
        <v>262</v>
      </c>
      <c r="D233" s="9" t="s">
        <v>263</v>
      </c>
      <c r="E233" s="77">
        <v>5445347</v>
      </c>
      <c r="F233" s="125">
        <v>0</v>
      </c>
      <c r="G233" s="125"/>
      <c r="H233" s="30">
        <f>E233*F233</f>
        <v>0</v>
      </c>
      <c r="I233" s="9"/>
      <c r="J233" s="17" t="s">
        <v>264</v>
      </c>
      <c r="K233" s="9"/>
      <c r="M233" s="7"/>
      <c r="N233" s="7"/>
    </row>
    <row r="234" spans="1:20" ht="15.75">
      <c r="A234" s="6">
        <v>22</v>
      </c>
      <c r="C234" s="2" t="s">
        <v>265</v>
      </c>
      <c r="D234" s="9"/>
      <c r="E234" s="24">
        <f>SUM(E230:E233)</f>
        <v>55674396</v>
      </c>
      <c r="F234" s="9"/>
      <c r="G234" s="9"/>
      <c r="H234" s="24">
        <f>SUM(H230:H233)</f>
        <v>6285186.78387841</v>
      </c>
      <c r="I234" s="6" t="s">
        <v>266</v>
      </c>
      <c r="J234" s="73">
        <f>IF(H234&gt;0,H234/E234,0)</f>
        <v>0.11289187194556022</v>
      </c>
      <c r="L234" s="127" t="s">
        <v>267</v>
      </c>
      <c r="M234" s="7"/>
      <c r="N234" s="7"/>
      <c r="P234" s="7"/>
      <c r="Q234" s="7"/>
      <c r="R234" s="7"/>
      <c r="S234" s="7"/>
      <c r="T234" s="7"/>
    </row>
    <row r="235" spans="1:28" ht="15.75">
      <c r="A235" s="6"/>
      <c r="C235" s="2"/>
      <c r="D235" s="9"/>
      <c r="E235" s="9"/>
      <c r="F235" s="9"/>
      <c r="G235" s="9"/>
      <c r="H235" s="24"/>
      <c r="I235" s="6"/>
      <c r="J235" s="73"/>
      <c r="M235" s="7"/>
      <c r="N235" s="7"/>
      <c r="P235" s="7"/>
      <c r="Q235" s="7"/>
      <c r="R235" s="7"/>
      <c r="S235" s="7"/>
      <c r="T235" s="7"/>
      <c r="U235" s="128"/>
      <c r="V235" s="128"/>
      <c r="W235" s="129"/>
      <c r="X235" s="130"/>
      <c r="Y235" s="131"/>
      <c r="Z235" s="131"/>
      <c r="AA235" s="132"/>
      <c r="AB235" s="132"/>
    </row>
    <row r="236" spans="1:28" ht="15.75">
      <c r="A236" s="6"/>
      <c r="C236" s="2"/>
      <c r="D236" s="9"/>
      <c r="E236" s="9"/>
      <c r="F236" s="9"/>
      <c r="G236" s="9"/>
      <c r="H236" s="24"/>
      <c r="I236" s="6"/>
      <c r="J236" s="73"/>
      <c r="M236" s="7"/>
      <c r="N236" s="7"/>
      <c r="P236" s="7"/>
      <c r="Q236" s="7"/>
      <c r="R236" s="7"/>
      <c r="S236" s="7"/>
      <c r="T236" s="7"/>
      <c r="U236" s="128"/>
      <c r="V236" s="128"/>
      <c r="W236" s="129"/>
      <c r="X236" s="130"/>
      <c r="Y236" s="131"/>
      <c r="Z236" s="131"/>
      <c r="AA236" s="132"/>
      <c r="AB236" s="132"/>
    </row>
    <row r="237" spans="1:28" ht="15.75">
      <c r="A237" s="6"/>
      <c r="C237" s="2"/>
      <c r="D237" s="9"/>
      <c r="E237" s="9"/>
      <c r="F237" s="9"/>
      <c r="G237" s="9"/>
      <c r="H237" s="24"/>
      <c r="I237" s="6"/>
      <c r="J237" s="73"/>
      <c r="M237" s="7"/>
      <c r="N237" s="7"/>
      <c r="P237" s="7"/>
      <c r="Q237" s="7"/>
      <c r="R237" s="7"/>
      <c r="S237" s="7"/>
      <c r="T237" s="7"/>
      <c r="U237" s="128"/>
      <c r="V237" s="128"/>
      <c r="W237" s="129"/>
      <c r="X237" s="130"/>
      <c r="Y237" s="131"/>
      <c r="Z237" s="131"/>
      <c r="AA237" s="132"/>
      <c r="AB237" s="132"/>
    </row>
    <row r="238" spans="1:28" ht="15.75">
      <c r="A238" s="6"/>
      <c r="C238" s="2"/>
      <c r="D238" s="9"/>
      <c r="E238" s="9"/>
      <c r="F238" s="9"/>
      <c r="G238" s="9"/>
      <c r="H238" s="24"/>
      <c r="I238" s="6"/>
      <c r="J238" s="73"/>
      <c r="M238" s="7"/>
      <c r="N238" s="7"/>
      <c r="P238" s="7"/>
      <c r="Q238" s="7"/>
      <c r="R238" s="7"/>
      <c r="S238" s="7"/>
      <c r="T238" s="7"/>
      <c r="U238" s="128"/>
      <c r="V238" s="128"/>
      <c r="W238" s="129"/>
      <c r="X238" s="130"/>
      <c r="Y238" s="131"/>
      <c r="Z238" s="131"/>
      <c r="AA238" s="132"/>
      <c r="AB238" s="132"/>
    </row>
    <row r="239" spans="1:28" ht="15.75">
      <c r="A239" s="6"/>
      <c r="C239" s="2"/>
      <c r="D239" s="9"/>
      <c r="E239" s="9"/>
      <c r="F239" s="9"/>
      <c r="G239" s="9"/>
      <c r="H239" s="24"/>
      <c r="I239" s="6"/>
      <c r="J239" s="73"/>
      <c r="M239" s="7"/>
      <c r="N239" s="7"/>
      <c r="P239" s="7"/>
      <c r="Q239" s="7"/>
      <c r="R239" s="7"/>
      <c r="S239" s="7"/>
      <c r="T239" s="7"/>
      <c r="U239" s="128"/>
      <c r="V239" s="128"/>
      <c r="W239" s="129"/>
      <c r="X239" s="130"/>
      <c r="Y239" s="131"/>
      <c r="Z239" s="131"/>
      <c r="AA239" s="132"/>
      <c r="AB239" s="132"/>
    </row>
    <row r="240" spans="1:28" ht="15.75">
      <c r="A240" s="6"/>
      <c r="C240" s="2"/>
      <c r="D240" s="9"/>
      <c r="E240" s="9"/>
      <c r="F240" s="9"/>
      <c r="G240" s="9"/>
      <c r="H240" s="24"/>
      <c r="I240" s="6"/>
      <c r="J240" s="73"/>
      <c r="M240" s="7"/>
      <c r="N240" s="7"/>
      <c r="P240" s="7"/>
      <c r="Q240" s="7"/>
      <c r="R240" s="7"/>
      <c r="S240" s="7"/>
      <c r="T240" s="7"/>
      <c r="U240" s="128"/>
      <c r="V240" s="128"/>
      <c r="W240" s="129"/>
      <c r="X240" s="130"/>
      <c r="Y240" s="131"/>
      <c r="Z240" s="131"/>
      <c r="AA240" s="132"/>
      <c r="AB240" s="132"/>
    </row>
    <row r="241" spans="1:28" ht="15.75">
      <c r="A241" s="6"/>
      <c r="C241" s="2"/>
      <c r="D241" s="9"/>
      <c r="E241" s="9"/>
      <c r="F241" s="9"/>
      <c r="G241" s="9"/>
      <c r="H241" s="24"/>
      <c r="I241" s="6"/>
      <c r="J241" s="73"/>
      <c r="M241" s="7"/>
      <c r="N241" s="7"/>
      <c r="P241" s="7"/>
      <c r="Q241" s="7"/>
      <c r="R241" s="7"/>
      <c r="S241" s="7"/>
      <c r="T241" s="7"/>
      <c r="U241" s="128"/>
      <c r="V241" s="128"/>
      <c r="W241" s="129"/>
      <c r="X241" s="130"/>
      <c r="Y241" s="131"/>
      <c r="Z241" s="131"/>
      <c r="AA241" s="132"/>
      <c r="AB241" s="132"/>
    </row>
    <row r="242" spans="1:28" ht="15.75">
      <c r="A242" s="6"/>
      <c r="C242" s="2"/>
      <c r="D242" s="9"/>
      <c r="E242" s="9"/>
      <c r="F242" s="9"/>
      <c r="G242" s="9"/>
      <c r="H242" s="24"/>
      <c r="I242" s="6"/>
      <c r="J242" s="73"/>
      <c r="M242" s="7"/>
      <c r="N242" s="7"/>
      <c r="P242" s="7"/>
      <c r="Q242" s="7"/>
      <c r="R242" s="7"/>
      <c r="S242" s="7"/>
      <c r="T242" s="7"/>
      <c r="U242" s="128"/>
      <c r="V242" s="128"/>
      <c r="W242" s="129"/>
      <c r="X242" s="130"/>
      <c r="Y242" s="131"/>
      <c r="Z242" s="131"/>
      <c r="AA242" s="132"/>
      <c r="AB242" s="132"/>
    </row>
    <row r="243" spans="1:28" ht="15.75">
      <c r="A243" s="6"/>
      <c r="C243" s="2"/>
      <c r="D243" s="9"/>
      <c r="E243" s="9"/>
      <c r="F243" s="9"/>
      <c r="G243" s="9"/>
      <c r="H243" s="24"/>
      <c r="I243" s="6"/>
      <c r="J243" s="73"/>
      <c r="M243" s="7"/>
      <c r="N243" s="7"/>
      <c r="P243" s="7"/>
      <c r="Q243" s="7"/>
      <c r="R243" s="7"/>
      <c r="S243" s="7"/>
      <c r="T243" s="7"/>
      <c r="U243" s="128"/>
      <c r="V243" s="128"/>
      <c r="W243" s="129"/>
      <c r="X243" s="130"/>
      <c r="Y243" s="131"/>
      <c r="Z243" s="131"/>
      <c r="AA243" s="132"/>
      <c r="AB243" s="132"/>
    </row>
    <row r="244" spans="1:28" ht="15.75">
      <c r="A244" s="6"/>
      <c r="C244" s="2"/>
      <c r="D244" s="9"/>
      <c r="E244" s="9"/>
      <c r="F244" s="9"/>
      <c r="G244" s="9"/>
      <c r="H244" s="24"/>
      <c r="I244" s="6"/>
      <c r="J244" s="73"/>
      <c r="M244" s="7"/>
      <c r="N244" s="7"/>
      <c r="P244" s="7"/>
      <c r="Q244" s="7"/>
      <c r="R244" s="7"/>
      <c r="S244" s="7"/>
      <c r="T244" s="7"/>
      <c r="U244" s="128"/>
      <c r="V244" s="128"/>
      <c r="W244" s="129"/>
      <c r="X244" s="130"/>
      <c r="Y244" s="131"/>
      <c r="Z244" s="131"/>
      <c r="AA244" s="132"/>
      <c r="AB244" s="132"/>
    </row>
    <row r="245" spans="1:28" ht="15.75">
      <c r="A245" s="6"/>
      <c r="C245" s="2"/>
      <c r="D245" s="9"/>
      <c r="E245" s="9"/>
      <c r="F245" s="9"/>
      <c r="G245" s="9"/>
      <c r="H245" s="24"/>
      <c r="I245" s="6"/>
      <c r="J245" s="73"/>
      <c r="M245" s="7"/>
      <c r="N245" s="7"/>
      <c r="P245" s="7"/>
      <c r="Q245" s="7"/>
      <c r="R245" s="7"/>
      <c r="S245" s="7"/>
      <c r="T245" s="7"/>
      <c r="U245" s="128"/>
      <c r="V245" s="128"/>
      <c r="W245" s="129"/>
      <c r="X245" s="130"/>
      <c r="Y245" s="131"/>
      <c r="Z245" s="131"/>
      <c r="AA245" s="132"/>
      <c r="AB245" s="132"/>
    </row>
    <row r="246" spans="1:28" ht="15.75">
      <c r="A246" s="6"/>
      <c r="C246" s="2"/>
      <c r="D246" s="9"/>
      <c r="E246" s="9"/>
      <c r="F246" s="9"/>
      <c r="G246" s="9"/>
      <c r="H246" s="24"/>
      <c r="I246" s="6"/>
      <c r="J246" s="73"/>
      <c r="M246" s="7"/>
      <c r="N246" s="7"/>
      <c r="P246" s="7"/>
      <c r="Q246" s="7"/>
      <c r="R246" s="7"/>
      <c r="S246" s="7"/>
      <c r="T246" s="7"/>
      <c r="U246" s="128"/>
      <c r="V246" s="128"/>
      <c r="W246" s="129"/>
      <c r="X246" s="130"/>
      <c r="Y246" s="131"/>
      <c r="Z246" s="131"/>
      <c r="AA246" s="132"/>
      <c r="AB246" s="132"/>
    </row>
    <row r="247" spans="1:28" ht="15.75">
      <c r="A247" s="6"/>
      <c r="C247" s="2"/>
      <c r="D247" s="9"/>
      <c r="E247" s="9"/>
      <c r="F247" s="9"/>
      <c r="G247" s="9"/>
      <c r="H247" s="24"/>
      <c r="I247" s="6"/>
      <c r="J247" s="73"/>
      <c r="M247" s="7"/>
      <c r="N247" s="7"/>
      <c r="P247" s="7"/>
      <c r="Q247" s="7"/>
      <c r="R247" s="7"/>
      <c r="S247" s="7"/>
      <c r="T247" s="7"/>
      <c r="U247" s="128"/>
      <c r="V247" s="128"/>
      <c r="W247" s="129"/>
      <c r="X247" s="130"/>
      <c r="Y247" s="131"/>
      <c r="Z247" s="131"/>
      <c r="AA247" s="132"/>
      <c r="AB247" s="132"/>
    </row>
    <row r="248" spans="1:28" ht="15.75">
      <c r="A248" s="6"/>
      <c r="C248" s="2"/>
      <c r="D248" s="9"/>
      <c r="E248" s="9"/>
      <c r="F248" s="9"/>
      <c r="G248" s="9"/>
      <c r="H248" s="24"/>
      <c r="I248" s="6"/>
      <c r="J248" s="73"/>
      <c r="M248" s="7"/>
      <c r="N248" s="7"/>
      <c r="P248" s="7"/>
      <c r="Q248" s="7"/>
      <c r="R248" s="7"/>
      <c r="S248" s="7"/>
      <c r="T248" s="7"/>
      <c r="U248" s="128"/>
      <c r="V248" s="128"/>
      <c r="W248" s="129"/>
      <c r="X248" s="130"/>
      <c r="Y248" s="131"/>
      <c r="Z248" s="131"/>
      <c r="AA248" s="132"/>
      <c r="AB248" s="132"/>
    </row>
    <row r="249" spans="1:28" ht="15.75">
      <c r="A249" s="6"/>
      <c r="C249" s="2"/>
      <c r="D249" s="9"/>
      <c r="E249" s="9"/>
      <c r="F249" s="9"/>
      <c r="G249" s="9"/>
      <c r="H249" s="24"/>
      <c r="I249" s="6"/>
      <c r="J249" s="73"/>
      <c r="M249" s="7"/>
      <c r="N249" s="7"/>
      <c r="P249" s="7"/>
      <c r="Q249" s="7"/>
      <c r="R249" s="7"/>
      <c r="S249" s="7"/>
      <c r="T249" s="7"/>
      <c r="U249" s="128"/>
      <c r="V249" s="128"/>
      <c r="W249" s="129"/>
      <c r="X249" s="130"/>
      <c r="Y249" s="131"/>
      <c r="Z249" s="131"/>
      <c r="AA249" s="132"/>
      <c r="AB249" s="132"/>
    </row>
    <row r="250" spans="1:28" ht="15.75">
      <c r="A250" s="6"/>
      <c r="C250" s="2"/>
      <c r="D250" s="9"/>
      <c r="E250" s="9"/>
      <c r="F250" s="9"/>
      <c r="G250" s="9"/>
      <c r="H250" s="24"/>
      <c r="I250" s="6"/>
      <c r="J250" s="73"/>
      <c r="M250" s="7"/>
      <c r="N250" s="7"/>
      <c r="P250" s="7"/>
      <c r="Q250" s="7"/>
      <c r="R250" s="7"/>
      <c r="S250" s="7"/>
      <c r="T250" s="7"/>
      <c r="U250" s="128"/>
      <c r="V250" s="128"/>
      <c r="W250" s="129"/>
      <c r="X250" s="130"/>
      <c r="Y250" s="131"/>
      <c r="Z250" s="131"/>
      <c r="AA250" s="132"/>
      <c r="AB250" s="132"/>
    </row>
    <row r="251" spans="1:28" ht="15.75">
      <c r="A251" s="6"/>
      <c r="C251" s="2"/>
      <c r="D251" s="9"/>
      <c r="E251" s="9"/>
      <c r="F251" s="9"/>
      <c r="G251" s="9"/>
      <c r="H251" s="24"/>
      <c r="I251" s="6"/>
      <c r="J251" s="73"/>
      <c r="M251" s="7"/>
      <c r="N251" s="7"/>
      <c r="P251" s="7"/>
      <c r="Q251" s="7"/>
      <c r="R251" s="7"/>
      <c r="S251" s="7"/>
      <c r="T251" s="7"/>
      <c r="U251" s="128"/>
      <c r="V251" s="128"/>
      <c r="W251" s="129"/>
      <c r="X251" s="130"/>
      <c r="Y251" s="131"/>
      <c r="Z251" s="131"/>
      <c r="AA251" s="132"/>
      <c r="AB251" s="132"/>
    </row>
    <row r="252" spans="1:28" ht="15.75">
      <c r="A252" s="6"/>
      <c r="C252" s="2"/>
      <c r="D252" s="9"/>
      <c r="E252" s="9"/>
      <c r="F252" s="9"/>
      <c r="G252" s="9"/>
      <c r="H252" s="24"/>
      <c r="I252" s="6"/>
      <c r="J252" s="73"/>
      <c r="M252" s="7"/>
      <c r="N252" s="7"/>
      <c r="P252" s="7"/>
      <c r="Q252" s="7"/>
      <c r="R252" s="7"/>
      <c r="S252" s="7"/>
      <c r="T252" s="7"/>
      <c r="U252" s="128"/>
      <c r="V252" s="128"/>
      <c r="W252" s="129"/>
      <c r="X252" s="130"/>
      <c r="Y252" s="131"/>
      <c r="Z252" s="131"/>
      <c r="AA252" s="132"/>
      <c r="AB252" s="132"/>
    </row>
    <row r="253" spans="1:28" ht="15.75">
      <c r="A253" s="6"/>
      <c r="C253" s="2"/>
      <c r="D253" s="9"/>
      <c r="E253" s="9"/>
      <c r="F253" s="9"/>
      <c r="G253" s="9"/>
      <c r="H253" s="24"/>
      <c r="I253" s="6"/>
      <c r="J253" s="73"/>
      <c r="M253" s="7"/>
      <c r="N253" s="7"/>
      <c r="P253" s="7"/>
      <c r="Q253" s="7"/>
      <c r="R253" s="7"/>
      <c r="S253" s="7"/>
      <c r="T253" s="7"/>
      <c r="U253" s="128"/>
      <c r="V253" s="128"/>
      <c r="W253" s="129"/>
      <c r="X253" s="130"/>
      <c r="Y253" s="131"/>
      <c r="Z253" s="131"/>
      <c r="AA253" s="132"/>
      <c r="AB253" s="132"/>
    </row>
    <row r="254" spans="1:28" ht="15.75">
      <c r="A254" s="6"/>
      <c r="C254" s="2"/>
      <c r="D254" s="9"/>
      <c r="E254" s="9"/>
      <c r="F254" s="9"/>
      <c r="G254" s="9"/>
      <c r="H254" s="24"/>
      <c r="I254" s="6"/>
      <c r="J254" s="73"/>
      <c r="M254" s="7"/>
      <c r="N254" s="7"/>
      <c r="P254" s="7"/>
      <c r="Q254" s="7"/>
      <c r="R254" s="7"/>
      <c r="S254" s="7"/>
      <c r="T254" s="7"/>
      <c r="U254" s="128"/>
      <c r="V254" s="128"/>
      <c r="W254" s="129"/>
      <c r="X254" s="130"/>
      <c r="Y254" s="131"/>
      <c r="Z254" s="131"/>
      <c r="AA254" s="132"/>
      <c r="AB254" s="132"/>
    </row>
    <row r="255" spans="1:28" ht="15.75">
      <c r="A255" s="6"/>
      <c r="C255" s="2"/>
      <c r="D255" s="9"/>
      <c r="E255" s="9"/>
      <c r="F255" s="9"/>
      <c r="G255" s="9"/>
      <c r="H255" s="9"/>
      <c r="I255" s="6"/>
      <c r="J255" s="73"/>
      <c r="M255" s="7"/>
      <c r="N255" s="7"/>
      <c r="P255" s="7"/>
      <c r="Q255" s="7"/>
      <c r="R255" s="7"/>
      <c r="S255" s="7"/>
      <c r="T255" s="7"/>
      <c r="U255" s="128"/>
      <c r="V255" s="128"/>
      <c r="W255" s="129"/>
      <c r="X255" s="130"/>
      <c r="Y255" s="131"/>
      <c r="Z255" s="131"/>
      <c r="AA255" s="132"/>
      <c r="AB255" s="132"/>
    </row>
    <row r="256" spans="3:28" ht="15.75">
      <c r="C256" s="2"/>
      <c r="D256" s="2"/>
      <c r="E256" s="3"/>
      <c r="F256" s="2"/>
      <c r="G256" s="2"/>
      <c r="H256" s="2"/>
      <c r="I256" s="4"/>
      <c r="J256" s="4"/>
      <c r="K256" s="4"/>
      <c r="P256" s="7"/>
      <c r="U256"/>
      <c r="V256"/>
      <c r="W256"/>
      <c r="X256"/>
      <c r="Y256"/>
      <c r="Z256"/>
      <c r="AA256"/>
      <c r="AB256"/>
    </row>
    <row r="257" spans="3:28" ht="15.75">
      <c r="C257" s="2" t="s">
        <v>26</v>
      </c>
      <c r="D257" s="2"/>
      <c r="E257" s="3" t="s">
        <v>0</v>
      </c>
      <c r="F257" s="2"/>
      <c r="G257" s="2"/>
      <c r="H257" s="2"/>
      <c r="I257" s="4"/>
      <c r="J257" s="10"/>
      <c r="K257" s="10"/>
      <c r="P257" s="7" t="s">
        <v>271</v>
      </c>
      <c r="U257"/>
      <c r="V257"/>
      <c r="W257"/>
      <c r="X257"/>
      <c r="Y257"/>
      <c r="Z257"/>
      <c r="AA257"/>
      <c r="AB257"/>
    </row>
    <row r="258" spans="3:28" ht="15.75">
      <c r="C258" s="2"/>
      <c r="D258" s="9" t="s">
        <v>3</v>
      </c>
      <c r="E258" s="9" t="s">
        <v>27</v>
      </c>
      <c r="F258" s="9"/>
      <c r="G258" s="9"/>
      <c r="H258" s="9"/>
      <c r="I258" s="4"/>
      <c r="K258" s="10"/>
      <c r="L258" s="20"/>
      <c r="M258" s="385"/>
      <c r="N258" s="385"/>
      <c r="O258" s="232"/>
      <c r="P258" s="384" t="str">
        <f>P2</f>
        <v>For the 12 months ended 12/31/2013</v>
      </c>
      <c r="U258"/>
      <c r="V258"/>
      <c r="W258"/>
      <c r="X258"/>
      <c r="Y258"/>
      <c r="Z258"/>
      <c r="AA258"/>
      <c r="AB258"/>
    </row>
    <row r="259" spans="1:28" ht="31.5" customHeight="1">
      <c r="A259" s="6"/>
      <c r="C259" s="2"/>
      <c r="D259" s="9"/>
      <c r="E259" s="11" t="str">
        <f>$E$5</f>
        <v>Allete, Inc. dba Minnesota Power</v>
      </c>
      <c r="F259" s="9"/>
      <c r="G259" s="9"/>
      <c r="H259" s="9"/>
      <c r="I259" s="9"/>
      <c r="J259" s="9"/>
      <c r="K259" s="9"/>
      <c r="M259" s="7"/>
      <c r="N259" s="7"/>
      <c r="P259" s="7"/>
      <c r="Q259" s="7"/>
      <c r="R259" s="7"/>
      <c r="S259" s="7"/>
      <c r="T259" s="7"/>
      <c r="U259"/>
      <c r="V259"/>
      <c r="W259"/>
      <c r="X259"/>
      <c r="Y259"/>
      <c r="Z259"/>
      <c r="AA259"/>
      <c r="AB259"/>
    </row>
    <row r="260" spans="1:28" ht="15.75" customHeight="1">
      <c r="A260" s="6"/>
      <c r="C260" s="2"/>
      <c r="D260" s="9"/>
      <c r="E260" s="134"/>
      <c r="F260" s="9"/>
      <c r="G260" s="9"/>
      <c r="H260" s="9"/>
      <c r="I260" s="9"/>
      <c r="J260" s="9"/>
      <c r="K260" s="9"/>
      <c r="M260" s="7"/>
      <c r="N260" s="7"/>
      <c r="P260" s="7"/>
      <c r="Q260" s="7"/>
      <c r="R260" s="7"/>
      <c r="S260" s="7"/>
      <c r="T260" s="7"/>
      <c r="U260"/>
      <c r="V260"/>
      <c r="W260"/>
      <c r="X260"/>
      <c r="Y260"/>
      <c r="Z260"/>
      <c r="AA260"/>
      <c r="AB260"/>
    </row>
    <row r="261" spans="1:28" ht="15.75">
      <c r="A261" s="6" t="s">
        <v>1</v>
      </c>
      <c r="D261" s="9"/>
      <c r="F261" s="9"/>
      <c r="G261" s="9"/>
      <c r="H261" s="47" t="s">
        <v>275</v>
      </c>
      <c r="I261" s="103" t="s">
        <v>3</v>
      </c>
      <c r="J261" s="81" t="str">
        <f>+J232</f>
        <v>W&amp;S Allocator</v>
      </c>
      <c r="K261" s="103"/>
      <c r="M261" s="7"/>
      <c r="N261" s="7"/>
      <c r="P261" s="7"/>
      <c r="Q261" s="7"/>
      <c r="R261" s="7"/>
      <c r="S261" s="7"/>
      <c r="T261" s="7"/>
      <c r="U261"/>
      <c r="V261"/>
      <c r="W261"/>
      <c r="X261"/>
      <c r="Y261"/>
      <c r="Z261"/>
      <c r="AA261"/>
      <c r="AB261"/>
    </row>
    <row r="262" spans="1:28" ht="16.5" thickBot="1">
      <c r="A262" s="17" t="s">
        <v>2</v>
      </c>
      <c r="C262" s="2" t="s">
        <v>277</v>
      </c>
      <c r="D262" s="9"/>
      <c r="E262" s="135" t="s">
        <v>256</v>
      </c>
      <c r="H262" s="71" t="s">
        <v>278</v>
      </c>
      <c r="I262" s="103"/>
      <c r="J262" s="71" t="s">
        <v>279</v>
      </c>
      <c r="K262" s="22"/>
      <c r="L262" s="136" t="s">
        <v>136</v>
      </c>
      <c r="M262" s="7"/>
      <c r="N262" s="7"/>
      <c r="P262" s="7"/>
      <c r="Q262" s="7"/>
      <c r="R262" s="7"/>
      <c r="S262" s="7"/>
      <c r="T262" s="7"/>
      <c r="U262"/>
      <c r="V262"/>
      <c r="W262"/>
      <c r="X262"/>
      <c r="Y262"/>
      <c r="Z262"/>
      <c r="AA262"/>
      <c r="AB262"/>
    </row>
    <row r="263" spans="1:28" ht="15.75">
      <c r="A263" s="6">
        <v>1</v>
      </c>
      <c r="C263" s="2" t="s">
        <v>281</v>
      </c>
      <c r="D263" s="9" t="s">
        <v>282</v>
      </c>
      <c r="E263" s="24">
        <f>E81</f>
        <v>2857987006</v>
      </c>
      <c r="F263" s="9"/>
      <c r="H263" s="25">
        <f>IF(E266&gt;0,E263/E266,0)</f>
        <v>1</v>
      </c>
      <c r="I263" s="47" t="s">
        <v>283</v>
      </c>
      <c r="J263" s="25">
        <f>J234</f>
        <v>0.11289187194556022</v>
      </c>
      <c r="K263" s="137" t="s">
        <v>266</v>
      </c>
      <c r="L263" s="138">
        <f>H263*J263</f>
        <v>0.11289187194556022</v>
      </c>
      <c r="M263" s="7"/>
      <c r="N263" s="7"/>
      <c r="P263" s="7"/>
      <c r="Q263" s="7"/>
      <c r="R263" s="7"/>
      <c r="S263" s="7"/>
      <c r="T263" s="7"/>
      <c r="U263"/>
      <c r="V263"/>
      <c r="W263"/>
      <c r="X263"/>
      <c r="Y263"/>
      <c r="Z263"/>
      <c r="AA263"/>
      <c r="AB263"/>
    </row>
    <row r="264" spans="1:28" ht="15.75">
      <c r="A264" s="6">
        <v>2</v>
      </c>
      <c r="C264" s="2" t="s">
        <v>285</v>
      </c>
      <c r="D264" s="9" t="s">
        <v>286</v>
      </c>
      <c r="E264" s="26">
        <v>0</v>
      </c>
      <c r="F264" s="9"/>
      <c r="L264" s="1"/>
      <c r="M264" s="7"/>
      <c r="N264" s="7"/>
      <c r="P264" s="7"/>
      <c r="Q264" s="7"/>
      <c r="R264" s="7"/>
      <c r="S264" s="7"/>
      <c r="T264" s="7"/>
      <c r="U264"/>
      <c r="V264"/>
      <c r="W264"/>
      <c r="X264"/>
      <c r="Y264"/>
      <c r="Z264"/>
      <c r="AA264"/>
      <c r="AB264"/>
    </row>
    <row r="265" spans="1:28" ht="16.5" thickBot="1">
      <c r="A265" s="6">
        <v>3</v>
      </c>
      <c r="C265" s="139" t="s">
        <v>288</v>
      </c>
      <c r="D265" s="123" t="s">
        <v>289</v>
      </c>
      <c r="E265" s="77">
        <v>0</v>
      </c>
      <c r="F265" s="9"/>
      <c r="G265" s="9"/>
      <c r="H265" s="9" t="s">
        <v>3</v>
      </c>
      <c r="I265" s="9"/>
      <c r="J265" s="9"/>
      <c r="K265" s="9"/>
      <c r="M265" s="121"/>
      <c r="N265" s="121"/>
      <c r="O265" s="43"/>
      <c r="P265" s="29"/>
      <c r="Q265" s="122"/>
      <c r="R265" s="121"/>
      <c r="S265" s="29"/>
      <c r="T265" s="29"/>
      <c r="U265"/>
      <c r="V265"/>
      <c r="W265"/>
      <c r="X265"/>
      <c r="Y265"/>
      <c r="Z265"/>
      <c r="AA265"/>
      <c r="AB265"/>
    </row>
    <row r="266" spans="1:20" ht="15.75">
      <c r="A266" s="6">
        <v>4</v>
      </c>
      <c r="C266" s="2" t="s">
        <v>290</v>
      </c>
      <c r="D266" s="9"/>
      <c r="E266" s="24">
        <f>E263+E264+E265</f>
        <v>2857987006</v>
      </c>
      <c r="F266" s="9"/>
      <c r="G266" s="9"/>
      <c r="H266" s="9"/>
      <c r="I266" s="9"/>
      <c r="J266" s="9"/>
      <c r="K266" s="9"/>
      <c r="M266" s="121"/>
      <c r="N266" s="121"/>
      <c r="O266" s="43"/>
      <c r="P266" s="29"/>
      <c r="Q266" s="122"/>
      <c r="R266" s="121"/>
      <c r="S266" s="29"/>
      <c r="T266" s="29"/>
    </row>
    <row r="267" spans="1:11" ht="15.75">
      <c r="A267" s="6"/>
      <c r="C267" s="2"/>
      <c r="D267" s="9"/>
      <c r="E267" s="24"/>
      <c r="F267" s="9"/>
      <c r="G267" s="9"/>
      <c r="H267" s="9"/>
      <c r="I267" s="9"/>
      <c r="J267" s="9"/>
      <c r="K267" s="9"/>
    </row>
    <row r="268" spans="1:11" ht="16.5" thickBot="1">
      <c r="A268" s="6"/>
      <c r="B268" s="4"/>
      <c r="C268" s="2" t="s">
        <v>291</v>
      </c>
      <c r="D268" s="9"/>
      <c r="E268" s="9"/>
      <c r="F268" s="9"/>
      <c r="G268" s="9"/>
      <c r="H268" s="9"/>
      <c r="I268" s="9"/>
      <c r="J268" s="124" t="s">
        <v>256</v>
      </c>
      <c r="K268" s="9"/>
    </row>
    <row r="269" spans="1:11" ht="15.75">
      <c r="A269" s="6">
        <v>5</v>
      </c>
      <c r="B269" s="4"/>
      <c r="C269" s="4"/>
      <c r="D269" s="9" t="s">
        <v>292</v>
      </c>
      <c r="E269" s="9"/>
      <c r="F269" s="9"/>
      <c r="G269" s="9"/>
      <c r="H269" s="9"/>
      <c r="I269" s="9"/>
      <c r="J269" s="26">
        <v>47397186</v>
      </c>
      <c r="K269" s="9"/>
    </row>
    <row r="270" spans="1:11" ht="15.75">
      <c r="A270" s="6"/>
      <c r="C270" s="2"/>
      <c r="D270" s="9"/>
      <c r="E270" s="9"/>
      <c r="F270" s="9"/>
      <c r="G270" s="9"/>
      <c r="H270" s="9"/>
      <c r="I270" s="9"/>
      <c r="J270" s="24"/>
      <c r="K270" s="9"/>
    </row>
    <row r="271" spans="1:11" ht="15.75">
      <c r="A271" s="6">
        <v>6</v>
      </c>
      <c r="B271" s="4"/>
      <c r="C271" s="2"/>
      <c r="D271" s="9" t="s">
        <v>293</v>
      </c>
      <c r="E271" s="9"/>
      <c r="F271" s="9"/>
      <c r="G271" s="9"/>
      <c r="H271" s="9"/>
      <c r="I271" s="22"/>
      <c r="J271" s="26">
        <v>0</v>
      </c>
      <c r="K271" s="9"/>
    </row>
    <row r="272" spans="1:11" ht="15.75">
      <c r="A272" s="6"/>
      <c r="B272" s="4"/>
      <c r="C272" s="2"/>
      <c r="D272" s="9"/>
      <c r="E272" s="9"/>
      <c r="F272" s="9"/>
      <c r="G272" s="9"/>
      <c r="H272" s="9"/>
      <c r="I272" s="9"/>
      <c r="J272" s="24"/>
      <c r="K272" s="9"/>
    </row>
    <row r="273" spans="1:11" ht="15.75">
      <c r="A273" s="6"/>
      <c r="B273" s="4"/>
      <c r="C273" s="2" t="s">
        <v>294</v>
      </c>
      <c r="D273" s="9"/>
      <c r="E273" s="9"/>
      <c r="F273" s="9"/>
      <c r="G273" s="9"/>
      <c r="H273" s="9"/>
      <c r="I273" s="9"/>
      <c r="J273" s="24"/>
      <c r="K273" s="9"/>
    </row>
    <row r="274" spans="1:11" ht="15.75">
      <c r="A274" s="6">
        <v>7</v>
      </c>
      <c r="B274" s="4"/>
      <c r="C274" s="2"/>
      <c r="D274" s="9" t="s">
        <v>295</v>
      </c>
      <c r="E274" s="4"/>
      <c r="F274" s="9"/>
      <c r="G274" s="9"/>
      <c r="H274" s="9"/>
      <c r="I274" s="9"/>
      <c r="J274" s="26">
        <v>1302720000</v>
      </c>
      <c r="K274" s="9"/>
    </row>
    <row r="275" spans="1:11" ht="15.75">
      <c r="A275" s="6">
        <v>8</v>
      </c>
      <c r="B275" s="4"/>
      <c r="C275" s="2"/>
      <c r="D275" s="9" t="s">
        <v>296</v>
      </c>
      <c r="E275" s="9"/>
      <c r="F275" s="9"/>
      <c r="G275" s="9"/>
      <c r="H275" s="9"/>
      <c r="I275" s="9"/>
      <c r="J275" s="48">
        <v>0</v>
      </c>
      <c r="K275" s="9"/>
    </row>
    <row r="276" spans="1:11" ht="16.5" thickBot="1">
      <c r="A276" s="6">
        <v>9</v>
      </c>
      <c r="B276" s="4"/>
      <c r="C276" s="2"/>
      <c r="D276" s="9" t="s">
        <v>297</v>
      </c>
      <c r="E276" s="9"/>
      <c r="F276" s="9"/>
      <c r="G276" s="9"/>
      <c r="H276" s="9"/>
      <c r="I276" s="9"/>
      <c r="J276" s="77">
        <v>-47852182</v>
      </c>
      <c r="K276" s="9"/>
    </row>
    <row r="277" spans="1:11" ht="15.75">
      <c r="A277" s="6">
        <v>10</v>
      </c>
      <c r="B277" s="4"/>
      <c r="C277" s="4"/>
      <c r="D277" s="9" t="s">
        <v>298</v>
      </c>
      <c r="E277" s="4" t="s">
        <v>299</v>
      </c>
      <c r="F277" s="4"/>
      <c r="G277" s="4"/>
      <c r="H277" s="4"/>
      <c r="I277" s="4"/>
      <c r="J277" s="24">
        <f>+J274+J275+J276</f>
        <v>1254867818</v>
      </c>
      <c r="K277" s="140" t="s">
        <v>300</v>
      </c>
    </row>
    <row r="278" spans="1:11" ht="15.75">
      <c r="A278" s="6"/>
      <c r="C278" s="2"/>
      <c r="D278" s="9"/>
      <c r="E278" s="9"/>
      <c r="F278" s="9"/>
      <c r="G278" s="9"/>
      <c r="H278" s="47" t="s">
        <v>301</v>
      </c>
      <c r="I278" s="9"/>
      <c r="J278" s="9"/>
      <c r="K278" s="9"/>
    </row>
    <row r="279" spans="1:11" ht="16.5" thickBot="1">
      <c r="A279" s="6"/>
      <c r="C279" s="2"/>
      <c r="D279" s="9"/>
      <c r="E279" s="17" t="s">
        <v>256</v>
      </c>
      <c r="F279" s="17" t="s">
        <v>302</v>
      </c>
      <c r="G279" s="9"/>
      <c r="H279" s="17" t="s">
        <v>303</v>
      </c>
      <c r="I279" s="9"/>
      <c r="J279" s="17" t="s">
        <v>304</v>
      </c>
      <c r="K279" s="9"/>
    </row>
    <row r="280" spans="1:11" ht="15.75">
      <c r="A280" s="6">
        <v>11</v>
      </c>
      <c r="C280" s="2" t="s">
        <v>305</v>
      </c>
      <c r="E280" s="26">
        <v>1025973000</v>
      </c>
      <c r="F280" s="141">
        <f>IF($E$283&gt;0,E280/$E$283,0)</f>
        <v>0.4498222725159946</v>
      </c>
      <c r="G280" s="142"/>
      <c r="H280" s="142">
        <f>IF(E280&gt;0,J269/E280,0)</f>
        <v>0.04619730343780977</v>
      </c>
      <c r="J280" s="142">
        <f>H280*F280</f>
        <v>0.020780576016506562</v>
      </c>
      <c r="K280" s="42"/>
    </row>
    <row r="281" spans="1:11" ht="15.75">
      <c r="A281" s="6">
        <v>12</v>
      </c>
      <c r="C281" s="2" t="s">
        <v>306</v>
      </c>
      <c r="E281" s="26">
        <v>0</v>
      </c>
      <c r="F281" s="141">
        <f>IF($E$283&gt;0,E281/$E$283,0)</f>
        <v>0</v>
      </c>
      <c r="G281" s="142"/>
      <c r="H281" s="142">
        <f>IF(E281&gt;0,J271/E281,0)</f>
        <v>0</v>
      </c>
      <c r="J281" s="142">
        <f>H281*F281</f>
        <v>0</v>
      </c>
      <c r="K281" s="42"/>
    </row>
    <row r="282" spans="1:11" ht="16.5" thickBot="1">
      <c r="A282" s="6">
        <v>13</v>
      </c>
      <c r="C282" s="2" t="s">
        <v>307</v>
      </c>
      <c r="E282" s="30">
        <f>J277</f>
        <v>1254867818</v>
      </c>
      <c r="F282" s="141">
        <f>IF($E$283&gt;0,E282/$E$283,0)</f>
        <v>0.5501777274840054</v>
      </c>
      <c r="G282" s="142"/>
      <c r="H282" s="179">
        <v>0.1238</v>
      </c>
      <c r="J282" s="143">
        <f>H282*F282</f>
        <v>0.06811200266251986</v>
      </c>
      <c r="K282" s="42"/>
    </row>
    <row r="283" spans="1:11" ht="15.75">
      <c r="A283" s="6">
        <v>14</v>
      </c>
      <c r="C283" s="2" t="s">
        <v>308</v>
      </c>
      <c r="E283" s="24">
        <f>E282+E281+E280</f>
        <v>2280840818</v>
      </c>
      <c r="F283" s="9" t="s">
        <v>3</v>
      </c>
      <c r="G283" s="9"/>
      <c r="H283" s="9"/>
      <c r="I283" s="9"/>
      <c r="J283" s="142">
        <f>SUM(J280:J282)</f>
        <v>0.08889257867902642</v>
      </c>
      <c r="K283" s="98" t="s">
        <v>309</v>
      </c>
    </row>
    <row r="284" spans="6:11" ht="15.75">
      <c r="F284" s="9"/>
      <c r="G284" s="9"/>
      <c r="H284" s="9"/>
      <c r="I284" s="9"/>
      <c r="K284" s="144"/>
    </row>
    <row r="285" spans="1:11" ht="15.75">
      <c r="A285" s="6"/>
      <c r="K285" s="145"/>
    </row>
    <row r="286" spans="1:11" ht="15.75">
      <c r="A286" s="6"/>
      <c r="C286" s="2" t="s">
        <v>310</v>
      </c>
      <c r="D286" s="4"/>
      <c r="E286" s="4"/>
      <c r="F286" s="4"/>
      <c r="G286" s="4"/>
      <c r="H286" s="4"/>
      <c r="I286" s="4"/>
      <c r="J286" s="4"/>
      <c r="K286" s="146"/>
    </row>
    <row r="287" spans="1:11" ht="16.5" thickBot="1">
      <c r="A287" s="6"/>
      <c r="C287" s="2"/>
      <c r="D287" s="2"/>
      <c r="E287" s="2"/>
      <c r="F287" s="2"/>
      <c r="G287" s="2"/>
      <c r="H287" s="2"/>
      <c r="I287" s="2"/>
      <c r="J287" s="17" t="s">
        <v>311</v>
      </c>
      <c r="K287" s="147"/>
    </row>
    <row r="288" spans="1:16" ht="15.75">
      <c r="A288" s="6"/>
      <c r="C288" s="2" t="s">
        <v>312</v>
      </c>
      <c r="D288" s="4"/>
      <c r="E288" s="4" t="s">
        <v>313</v>
      </c>
      <c r="F288" s="4" t="s">
        <v>314</v>
      </c>
      <c r="G288" s="4"/>
      <c r="H288" s="4" t="s">
        <v>3</v>
      </c>
      <c r="J288" s="145"/>
      <c r="K288" s="146"/>
      <c r="M288" s="148"/>
      <c r="N288" s="148"/>
      <c r="O288" s="149"/>
      <c r="P288" s="148"/>
    </row>
    <row r="289" spans="1:16" ht="15.75">
      <c r="A289" s="6">
        <v>15</v>
      </c>
      <c r="C289" s="1" t="s">
        <v>315</v>
      </c>
      <c r="D289" s="4"/>
      <c r="E289" s="4"/>
      <c r="G289" s="4"/>
      <c r="J289" s="150">
        <v>0</v>
      </c>
      <c r="K289" s="145"/>
      <c r="M289" s="148"/>
      <c r="N289" s="148"/>
      <c r="O289" s="149"/>
      <c r="P289" s="148"/>
    </row>
    <row r="290" spans="1:16" ht="16.5" thickBot="1">
      <c r="A290" s="6">
        <v>16</v>
      </c>
      <c r="C290" s="91" t="s">
        <v>316</v>
      </c>
      <c r="D290" s="151"/>
      <c r="E290" s="91"/>
      <c r="F290" s="151"/>
      <c r="G290" s="151"/>
      <c r="H290" s="151"/>
      <c r="I290" s="4"/>
      <c r="J290" s="152">
        <v>0</v>
      </c>
      <c r="K290" s="145"/>
      <c r="N290" s="153"/>
      <c r="O290" s="154"/>
      <c r="P290" s="148"/>
    </row>
    <row r="291" spans="1:16" ht="15.75">
      <c r="A291" s="6">
        <v>17</v>
      </c>
      <c r="C291" s="1" t="s">
        <v>317</v>
      </c>
      <c r="D291" s="4"/>
      <c r="F291" s="4"/>
      <c r="G291" s="4"/>
      <c r="H291" s="4"/>
      <c r="I291" s="4"/>
      <c r="J291" s="155">
        <f>+J289-J290</f>
        <v>0</v>
      </c>
      <c r="K291" s="145"/>
      <c r="N291" s="156"/>
      <c r="O291" s="156"/>
      <c r="P291" s="148"/>
    </row>
    <row r="292" spans="1:16" ht="15.75">
      <c r="A292" s="6"/>
      <c r="C292" s="1" t="s">
        <v>3</v>
      </c>
      <c r="D292" s="4"/>
      <c r="F292" s="4"/>
      <c r="G292" s="4"/>
      <c r="H292" s="157"/>
      <c r="I292" s="4"/>
      <c r="J292" s="155" t="s">
        <v>3</v>
      </c>
      <c r="N292" s="156"/>
      <c r="O292" s="156"/>
      <c r="P292" s="148"/>
    </row>
    <row r="293" spans="1:20" ht="15.75">
      <c r="A293" s="6">
        <v>18</v>
      </c>
      <c r="C293" s="2" t="s">
        <v>318</v>
      </c>
      <c r="D293" s="4"/>
      <c r="F293" s="4"/>
      <c r="G293" s="4"/>
      <c r="H293" s="49"/>
      <c r="I293" s="4"/>
      <c r="J293" s="158">
        <v>707162.9</v>
      </c>
      <c r="K293" s="159"/>
      <c r="N293" s="153"/>
      <c r="O293" s="154"/>
      <c r="P293" s="148"/>
      <c r="T293" s="160"/>
    </row>
    <row r="294" spans="1:20" ht="15.75">
      <c r="A294" s="6"/>
      <c r="D294" s="4"/>
      <c r="E294" s="4"/>
      <c r="F294" s="4"/>
      <c r="G294" s="4"/>
      <c r="H294" s="4"/>
      <c r="I294" s="4"/>
      <c r="J294" s="155"/>
      <c r="N294" s="153"/>
      <c r="O294" s="154"/>
      <c r="P294" s="148"/>
      <c r="T294" s="161"/>
    </row>
    <row r="295" spans="3:20" ht="15.75">
      <c r="C295" s="2" t="s">
        <v>319</v>
      </c>
      <c r="D295" s="4"/>
      <c r="E295" s="4" t="s">
        <v>320</v>
      </c>
      <c r="F295" s="4"/>
      <c r="G295" s="4"/>
      <c r="H295" s="4"/>
      <c r="I295" s="4"/>
      <c r="J295" s="24"/>
      <c r="K295" s="159"/>
      <c r="N295" s="148"/>
      <c r="O295" s="149"/>
      <c r="P295" s="148"/>
      <c r="T295" s="161"/>
    </row>
    <row r="296" spans="1:20" ht="15.75">
      <c r="A296" s="6">
        <v>19</v>
      </c>
      <c r="C296" s="2" t="s">
        <v>321</v>
      </c>
      <c r="D296" s="9"/>
      <c r="E296" s="9"/>
      <c r="F296" s="9"/>
      <c r="G296" s="9"/>
      <c r="H296" s="9"/>
      <c r="I296" s="9"/>
      <c r="J296" s="162">
        <v>40947317</v>
      </c>
      <c r="K296" s="159"/>
      <c r="N296" s="148"/>
      <c r="O296" s="149"/>
      <c r="P296" s="148"/>
      <c r="T296" s="160"/>
    </row>
    <row r="297" spans="1:20" ht="15.75">
      <c r="A297" s="6">
        <v>20</v>
      </c>
      <c r="C297" s="163" t="s">
        <v>322</v>
      </c>
      <c r="D297" s="164"/>
      <c r="E297" s="164"/>
      <c r="F297" s="164"/>
      <c r="G297" s="164"/>
      <c r="H297" s="4"/>
      <c r="I297" s="4"/>
      <c r="J297" s="162">
        <v>20790195</v>
      </c>
      <c r="K297" s="159"/>
      <c r="N297" s="148"/>
      <c r="O297" s="149"/>
      <c r="P297" s="148"/>
      <c r="T297" s="160"/>
    </row>
    <row r="298" spans="1:20" ht="15.75">
      <c r="A298" s="60" t="s">
        <v>323</v>
      </c>
      <c r="C298" s="228" t="s">
        <v>435</v>
      </c>
      <c r="D298" s="164"/>
      <c r="E298" s="164"/>
      <c r="F298" s="164"/>
      <c r="G298" s="164"/>
      <c r="H298" s="4"/>
      <c r="I298" s="4"/>
      <c r="J298" s="162">
        <v>17863722</v>
      </c>
      <c r="K298" s="159"/>
      <c r="N298" s="148"/>
      <c r="O298" s="149"/>
      <c r="P298" s="148"/>
      <c r="T298" s="160"/>
    </row>
    <row r="299" spans="1:16" ht="16.5" thickBot="1">
      <c r="A299" s="60" t="s">
        <v>423</v>
      </c>
      <c r="C299" s="165" t="s">
        <v>424</v>
      </c>
      <c r="D299" s="243"/>
      <c r="E299" s="9"/>
      <c r="F299" s="9"/>
      <c r="G299" s="9"/>
      <c r="H299" s="9"/>
      <c r="I299" s="4"/>
      <c r="J299" s="166">
        <v>0</v>
      </c>
      <c r="K299" s="22"/>
      <c r="M299" s="148"/>
      <c r="N299" s="148"/>
      <c r="O299" s="149"/>
      <c r="P299" s="148"/>
    </row>
    <row r="300" spans="1:11" ht="15.75">
      <c r="A300" s="6">
        <v>21</v>
      </c>
      <c r="C300" s="1" t="s">
        <v>425</v>
      </c>
      <c r="D300" s="6"/>
      <c r="E300" s="9"/>
      <c r="F300" s="9"/>
      <c r="G300" s="9"/>
      <c r="H300" s="9"/>
      <c r="I300" s="4"/>
      <c r="J300" s="167">
        <f>+J296-J297-J298-J299</f>
        <v>2293400</v>
      </c>
      <c r="K300" s="9"/>
    </row>
    <row r="301" spans="1:11" ht="15.75">
      <c r="A301" s="6"/>
      <c r="D301" s="6"/>
      <c r="E301" s="9"/>
      <c r="F301" s="9"/>
      <c r="G301" s="9"/>
      <c r="H301" s="9"/>
      <c r="I301" s="4"/>
      <c r="J301" s="167"/>
      <c r="K301" s="9"/>
    </row>
    <row r="302" spans="1:11" ht="15.75">
      <c r="A302" s="6"/>
      <c r="D302" s="6"/>
      <c r="E302" s="9"/>
      <c r="F302" s="9"/>
      <c r="G302" s="9"/>
      <c r="H302" s="9"/>
      <c r="I302" s="4"/>
      <c r="J302" s="167"/>
      <c r="K302" s="9"/>
    </row>
    <row r="303" spans="1:11" ht="15.75">
      <c r="A303" s="6"/>
      <c r="D303" s="6"/>
      <c r="E303" s="9"/>
      <c r="F303" s="9"/>
      <c r="G303" s="9"/>
      <c r="H303" s="9"/>
      <c r="I303" s="4"/>
      <c r="J303" s="167"/>
      <c r="K303" s="9"/>
    </row>
    <row r="304" spans="1:11" ht="15.75">
      <c r="A304" s="6"/>
      <c r="D304" s="6"/>
      <c r="E304" s="9"/>
      <c r="F304" s="9"/>
      <c r="G304" s="9"/>
      <c r="H304" s="9"/>
      <c r="I304" s="4"/>
      <c r="J304" s="167"/>
      <c r="K304" s="9"/>
    </row>
    <row r="305" spans="1:11" ht="15.75">
      <c r="A305" s="6"/>
      <c r="D305" s="6"/>
      <c r="E305" s="9"/>
      <c r="F305" s="9"/>
      <c r="G305" s="9"/>
      <c r="H305" s="9"/>
      <c r="I305" s="4"/>
      <c r="J305" s="167"/>
      <c r="K305" s="9"/>
    </row>
    <row r="306" spans="1:11" ht="15.75">
      <c r="A306" s="6"/>
      <c r="D306" s="6"/>
      <c r="E306" s="9"/>
      <c r="F306" s="9"/>
      <c r="G306" s="9"/>
      <c r="H306" s="9"/>
      <c r="I306" s="4"/>
      <c r="J306" s="167"/>
      <c r="K306" s="9"/>
    </row>
    <row r="307" spans="1:11" ht="15.75">
      <c r="A307" s="6"/>
      <c r="D307" s="6"/>
      <c r="E307" s="9"/>
      <c r="F307" s="9"/>
      <c r="G307" s="9"/>
      <c r="H307" s="9"/>
      <c r="I307" s="4"/>
      <c r="J307" s="167"/>
      <c r="K307" s="9"/>
    </row>
    <row r="308" spans="1:11" ht="15.75">
      <c r="A308" s="6"/>
      <c r="D308" s="6"/>
      <c r="E308" s="9"/>
      <c r="F308" s="9"/>
      <c r="G308" s="9"/>
      <c r="H308" s="9"/>
      <c r="I308" s="4"/>
      <c r="J308" s="167"/>
      <c r="K308" s="9"/>
    </row>
    <row r="309" spans="1:11" ht="15.75">
      <c r="A309" s="6"/>
      <c r="D309" s="6"/>
      <c r="E309" s="9"/>
      <c r="F309" s="9"/>
      <c r="G309" s="9"/>
      <c r="H309" s="9"/>
      <c r="I309" s="4"/>
      <c r="J309" s="167"/>
      <c r="K309" s="9"/>
    </row>
    <row r="310" spans="1:11" ht="15.75">
      <c r="A310" s="6"/>
      <c r="D310" s="6"/>
      <c r="E310" s="9"/>
      <c r="F310" s="9"/>
      <c r="G310" s="9"/>
      <c r="H310" s="9"/>
      <c r="I310" s="4"/>
      <c r="J310" s="167"/>
      <c r="K310" s="9"/>
    </row>
    <row r="311" spans="1:11" ht="15.75">
      <c r="A311" s="6"/>
      <c r="D311" s="6"/>
      <c r="E311" s="9"/>
      <c r="F311" s="9"/>
      <c r="G311" s="9"/>
      <c r="H311" s="9"/>
      <c r="I311" s="4"/>
      <c r="J311" s="167"/>
      <c r="K311" s="9"/>
    </row>
    <row r="312" spans="1:11" ht="15.75">
      <c r="A312" s="6"/>
      <c r="D312" s="6"/>
      <c r="E312" s="9"/>
      <c r="F312" s="9"/>
      <c r="G312" s="9"/>
      <c r="H312" s="9"/>
      <c r="I312" s="4"/>
      <c r="J312" s="167"/>
      <c r="K312" s="9"/>
    </row>
    <row r="313" spans="1:11" ht="15.75">
      <c r="A313" s="6"/>
      <c r="D313" s="6"/>
      <c r="E313" s="9"/>
      <c r="F313" s="9"/>
      <c r="G313" s="9"/>
      <c r="H313" s="9"/>
      <c r="I313" s="4"/>
      <c r="J313" s="167"/>
      <c r="K313" s="9"/>
    </row>
    <row r="314" spans="1:11" ht="15.75">
      <c r="A314" s="6"/>
      <c r="D314" s="6"/>
      <c r="E314" s="9"/>
      <c r="F314" s="9"/>
      <c r="G314" s="9"/>
      <c r="H314" s="9"/>
      <c r="I314" s="4"/>
      <c r="J314" s="167"/>
      <c r="K314" s="9"/>
    </row>
    <row r="315" spans="1:11" ht="15.75">
      <c r="A315" s="6"/>
      <c r="D315" s="6"/>
      <c r="E315" s="9"/>
      <c r="F315" s="9"/>
      <c r="G315" s="9"/>
      <c r="H315" s="9"/>
      <c r="I315" s="4"/>
      <c r="J315" s="167"/>
      <c r="K315" s="9"/>
    </row>
    <row r="316" spans="1:11" ht="15.75">
      <c r="A316" s="6"/>
      <c r="D316" s="6"/>
      <c r="E316" s="9"/>
      <c r="F316" s="9"/>
      <c r="G316" s="9"/>
      <c r="H316" s="9"/>
      <c r="I316" s="4"/>
      <c r="J316" s="167"/>
      <c r="K316" s="9"/>
    </row>
    <row r="317" spans="1:11" ht="15.75">
      <c r="A317" s="6"/>
      <c r="D317" s="6"/>
      <c r="E317" s="9"/>
      <c r="F317" s="9"/>
      <c r="G317" s="9"/>
      <c r="H317" s="9"/>
      <c r="I317" s="4"/>
      <c r="J317" s="167"/>
      <c r="K317" s="9"/>
    </row>
    <row r="318" spans="1:15" s="42" customFormat="1" ht="15.75">
      <c r="A318" s="6"/>
      <c r="B318" s="1"/>
      <c r="C318" s="168"/>
      <c r="D318" s="10"/>
      <c r="E318" s="62"/>
      <c r="F318" s="62"/>
      <c r="G318" s="62"/>
      <c r="H318" s="62"/>
      <c r="I318" s="62"/>
      <c r="J318" s="167"/>
      <c r="K318" s="62"/>
      <c r="L318" s="20"/>
      <c r="O318" s="20"/>
    </row>
    <row r="319" spans="3:16" ht="15.75">
      <c r="C319" s="2"/>
      <c r="D319" s="2"/>
      <c r="E319" s="3" t="s">
        <v>0</v>
      </c>
      <c r="F319" s="2"/>
      <c r="G319" s="2"/>
      <c r="H319" s="2"/>
      <c r="I319" s="4"/>
      <c r="K319" s="233"/>
      <c r="L319" s="20"/>
      <c r="P319" s="7" t="s">
        <v>324</v>
      </c>
    </row>
    <row r="320" spans="3:16" ht="15.75">
      <c r="C320" s="2" t="s">
        <v>26</v>
      </c>
      <c r="D320" s="2"/>
      <c r="E320" s="9" t="s">
        <v>27</v>
      </c>
      <c r="F320" s="2"/>
      <c r="G320" s="2"/>
      <c r="H320" s="2"/>
      <c r="I320" s="4"/>
      <c r="J320" s="8"/>
      <c r="K320" s="4"/>
      <c r="M320" s="385"/>
      <c r="N320" s="385"/>
      <c r="O320" s="232"/>
      <c r="P320" s="384" t="str">
        <f>P2</f>
        <v>For the 12 months ended 12/31/2013</v>
      </c>
    </row>
    <row r="321" spans="4:12" ht="31.5">
      <c r="D321" s="9" t="s">
        <v>3</v>
      </c>
      <c r="E321" s="63" t="str">
        <f>E5</f>
        <v>Allete, Inc. dba Minnesota Power</v>
      </c>
      <c r="F321" s="9"/>
      <c r="G321" s="9"/>
      <c r="H321" s="9"/>
      <c r="I321" s="4"/>
      <c r="J321" s="10"/>
      <c r="K321" s="145"/>
      <c r="L321" s="20"/>
    </row>
    <row r="322" spans="3:11" ht="15.75">
      <c r="C322" s="2"/>
      <c r="D322" s="6"/>
      <c r="F322" s="9"/>
      <c r="G322" s="9"/>
      <c r="H322" s="9"/>
      <c r="I322" s="4"/>
      <c r="J322" s="4"/>
      <c r="K322" s="4"/>
    </row>
    <row r="323" spans="1:11" ht="15.75">
      <c r="A323" s="6"/>
      <c r="B323" s="4"/>
      <c r="C323" s="2" t="s">
        <v>325</v>
      </c>
      <c r="D323" s="6"/>
      <c r="E323" s="9"/>
      <c r="F323" s="9"/>
      <c r="G323" s="9"/>
      <c r="H323" s="9"/>
      <c r="I323" s="4"/>
      <c r="J323" s="9"/>
      <c r="K323" s="10"/>
    </row>
    <row r="324" spans="1:11" ht="15.75">
      <c r="A324" s="6"/>
      <c r="B324" s="4"/>
      <c r="C324" s="2" t="s">
        <v>326</v>
      </c>
      <c r="D324" s="4"/>
      <c r="E324" s="9"/>
      <c r="F324" s="9"/>
      <c r="G324" s="9"/>
      <c r="H324" s="9"/>
      <c r="I324" s="4"/>
      <c r="J324" s="9"/>
      <c r="K324" s="10"/>
    </row>
    <row r="325" spans="1:11" ht="15.75">
      <c r="A325" s="6" t="s">
        <v>16</v>
      </c>
      <c r="B325" s="4"/>
      <c r="C325" s="2"/>
      <c r="D325" s="4"/>
      <c r="E325" s="9"/>
      <c r="F325" s="9"/>
      <c r="G325" s="9"/>
      <c r="H325" s="9"/>
      <c r="I325" s="4"/>
      <c r="J325" s="9"/>
      <c r="K325" s="10"/>
    </row>
    <row r="326" spans="1:15" s="172" customFormat="1" ht="16.5" thickBot="1">
      <c r="A326" s="17" t="s">
        <v>17</v>
      </c>
      <c r="B326" s="4"/>
      <c r="C326" s="2"/>
      <c r="D326" s="169"/>
      <c r="E326" s="170"/>
      <c r="F326" s="170"/>
      <c r="G326" s="170"/>
      <c r="H326" s="170"/>
      <c r="I326" s="169"/>
      <c r="J326" s="9"/>
      <c r="K326" s="169"/>
      <c r="L326" s="171"/>
      <c r="O326" s="171"/>
    </row>
    <row r="327" spans="1:16" s="172" customFormat="1" ht="15.75">
      <c r="A327" s="6" t="s">
        <v>18</v>
      </c>
      <c r="B327" s="4"/>
      <c r="C327" s="61" t="s">
        <v>400</v>
      </c>
      <c r="D327" s="10"/>
      <c r="E327" s="22"/>
      <c r="F327" s="22"/>
      <c r="G327" s="22"/>
      <c r="H327" s="22"/>
      <c r="I327" s="10"/>
      <c r="J327" s="22"/>
      <c r="K327" s="10"/>
      <c r="L327" s="7"/>
      <c r="M327" s="1"/>
      <c r="N327" s="1"/>
      <c r="O327" s="7"/>
      <c r="P327" s="1"/>
    </row>
    <row r="328" spans="1:16" s="172" customFormat="1" ht="15.75">
      <c r="A328" s="6" t="s">
        <v>19</v>
      </c>
      <c r="B328" s="4"/>
      <c r="C328" s="61" t="s">
        <v>401</v>
      </c>
      <c r="D328" s="10"/>
      <c r="E328" s="10"/>
      <c r="F328" s="10"/>
      <c r="G328" s="10"/>
      <c r="H328" s="10"/>
      <c r="I328" s="10"/>
      <c r="J328" s="22"/>
      <c r="K328" s="10"/>
      <c r="L328" s="7"/>
      <c r="M328" s="1"/>
      <c r="N328" s="1"/>
      <c r="O328" s="7"/>
      <c r="P328" s="1"/>
    </row>
    <row r="329" spans="1:16" s="172" customFormat="1" ht="15.75">
      <c r="A329" s="6" t="s">
        <v>20</v>
      </c>
      <c r="B329" s="4"/>
      <c r="C329" s="61" t="s">
        <v>402</v>
      </c>
      <c r="D329" s="10"/>
      <c r="E329" s="10"/>
      <c r="F329" s="10"/>
      <c r="G329" s="10"/>
      <c r="H329" s="10"/>
      <c r="I329" s="10"/>
      <c r="J329" s="22"/>
      <c r="K329" s="10"/>
      <c r="L329" s="7"/>
      <c r="M329" s="1"/>
      <c r="N329" s="1"/>
      <c r="O329" s="7"/>
      <c r="P329" s="1"/>
    </row>
    <row r="330" spans="1:16" s="172" customFormat="1" ht="15.75">
      <c r="A330" s="6" t="s">
        <v>21</v>
      </c>
      <c r="B330" s="4"/>
      <c r="C330" s="61" t="s">
        <v>402</v>
      </c>
      <c r="D330" s="10"/>
      <c r="E330" s="10"/>
      <c r="F330" s="10"/>
      <c r="G330" s="10"/>
      <c r="H330" s="10"/>
      <c r="I330" s="10"/>
      <c r="J330" s="22"/>
      <c r="K330" s="10"/>
      <c r="L330" s="7"/>
      <c r="M330" s="1"/>
      <c r="N330" s="1"/>
      <c r="O330" s="7"/>
      <c r="P330" s="1"/>
    </row>
    <row r="331" spans="1:16" s="172" customFormat="1" ht="15.75">
      <c r="A331" s="6" t="s">
        <v>22</v>
      </c>
      <c r="B331" s="4"/>
      <c r="C331" s="10" t="s">
        <v>327</v>
      </c>
      <c r="D331" s="10"/>
      <c r="E331" s="10"/>
      <c r="F331" s="10"/>
      <c r="G331" s="10"/>
      <c r="H331" s="10"/>
      <c r="I331" s="10"/>
      <c r="J331" s="10"/>
      <c r="K331" s="10"/>
      <c r="L331" s="7"/>
      <c r="M331" s="1"/>
      <c r="N331" s="1"/>
      <c r="O331" s="7"/>
      <c r="P331" s="1"/>
    </row>
    <row r="332" spans="1:16" s="172" customFormat="1" ht="15.75">
      <c r="A332" s="6" t="s">
        <v>23</v>
      </c>
      <c r="B332" s="4"/>
      <c r="C332" s="10" t="s">
        <v>328</v>
      </c>
      <c r="D332" s="10"/>
      <c r="E332" s="10"/>
      <c r="F332" s="10"/>
      <c r="G332" s="10"/>
      <c r="H332" s="10"/>
      <c r="I332" s="10"/>
      <c r="J332" s="10"/>
      <c r="K332" s="10"/>
      <c r="L332" s="7"/>
      <c r="M332" s="1"/>
      <c r="N332" s="1"/>
      <c r="O332" s="7"/>
      <c r="P332" s="1"/>
    </row>
    <row r="333" spans="1:16" s="172" customFormat="1" ht="15.75">
      <c r="A333" s="6"/>
      <c r="B333" s="4"/>
      <c r="C333" s="10" t="s">
        <v>329</v>
      </c>
      <c r="D333" s="10"/>
      <c r="E333" s="10"/>
      <c r="F333" s="10"/>
      <c r="G333" s="10"/>
      <c r="H333" s="10"/>
      <c r="I333" s="10"/>
      <c r="J333" s="10"/>
      <c r="K333" s="10"/>
      <c r="L333" s="7"/>
      <c r="M333" s="1"/>
      <c r="N333" s="1"/>
      <c r="O333" s="7"/>
      <c r="P333" s="1"/>
    </row>
    <row r="334" spans="1:16" s="172" customFormat="1" ht="15.75">
      <c r="A334" s="6"/>
      <c r="B334" s="4"/>
      <c r="C334" s="10" t="s">
        <v>330</v>
      </c>
      <c r="D334" s="10"/>
      <c r="E334" s="10"/>
      <c r="F334" s="10"/>
      <c r="G334" s="10"/>
      <c r="H334" s="10"/>
      <c r="I334" s="10"/>
      <c r="J334" s="10"/>
      <c r="K334" s="10"/>
      <c r="L334" s="7"/>
      <c r="M334" s="1"/>
      <c r="N334" s="1"/>
      <c r="O334" s="7"/>
      <c r="P334" s="1"/>
    </row>
    <row r="335" spans="1:16" s="172" customFormat="1" ht="15.75">
      <c r="A335" s="6" t="s">
        <v>24</v>
      </c>
      <c r="B335" s="4"/>
      <c r="C335" s="10" t="s">
        <v>331</v>
      </c>
      <c r="D335" s="10"/>
      <c r="E335" s="10"/>
      <c r="F335" s="10"/>
      <c r="G335" s="10"/>
      <c r="H335" s="10"/>
      <c r="I335" s="10"/>
      <c r="J335" s="10"/>
      <c r="K335" s="10"/>
      <c r="L335" s="7"/>
      <c r="M335" s="1"/>
      <c r="N335" s="1"/>
      <c r="O335" s="7"/>
      <c r="P335" s="1"/>
    </row>
    <row r="336" spans="1:16" s="172" customFormat="1" ht="15.75">
      <c r="A336" s="6" t="s">
        <v>332</v>
      </c>
      <c r="B336" s="4"/>
      <c r="C336" s="10" t="s">
        <v>333</v>
      </c>
      <c r="D336" s="10"/>
      <c r="E336" s="10"/>
      <c r="F336" s="10"/>
      <c r="G336" s="10"/>
      <c r="H336" s="10"/>
      <c r="I336" s="10"/>
      <c r="J336" s="10"/>
      <c r="K336" s="10"/>
      <c r="L336" s="7"/>
      <c r="M336" s="1"/>
      <c r="N336" s="1"/>
      <c r="O336" s="7"/>
      <c r="P336" s="1"/>
    </row>
    <row r="337" spans="1:16" s="172" customFormat="1" ht="15.75">
      <c r="A337" s="6"/>
      <c r="B337" s="4"/>
      <c r="C337" s="10" t="s">
        <v>334</v>
      </c>
      <c r="D337" s="10"/>
      <c r="E337" s="10"/>
      <c r="F337" s="10"/>
      <c r="G337" s="10"/>
      <c r="H337" s="10"/>
      <c r="I337" s="10"/>
      <c r="J337" s="10"/>
      <c r="K337" s="10"/>
      <c r="L337" s="7"/>
      <c r="M337" s="1"/>
      <c r="N337" s="1"/>
      <c r="O337" s="7"/>
      <c r="P337" s="1"/>
    </row>
    <row r="338" spans="1:16" s="172" customFormat="1" ht="15.75">
      <c r="A338" s="6" t="s">
        <v>335</v>
      </c>
      <c r="B338" s="4"/>
      <c r="C338" s="10" t="s">
        <v>336</v>
      </c>
      <c r="D338" s="10"/>
      <c r="E338" s="10"/>
      <c r="F338" s="10"/>
      <c r="G338" s="10"/>
      <c r="H338" s="10"/>
      <c r="I338" s="10"/>
      <c r="J338" s="10"/>
      <c r="K338" s="10"/>
      <c r="L338" s="7"/>
      <c r="M338" s="1"/>
      <c r="N338" s="1"/>
      <c r="O338" s="7"/>
      <c r="P338" s="1"/>
    </row>
    <row r="339" spans="1:16" s="172" customFormat="1" ht="15.75">
      <c r="A339" s="6"/>
      <c r="B339" s="4"/>
      <c r="C339" s="42" t="s">
        <v>337</v>
      </c>
      <c r="D339" s="10"/>
      <c r="E339" s="10"/>
      <c r="F339" s="10"/>
      <c r="G339" s="10"/>
      <c r="H339" s="10"/>
      <c r="I339" s="10"/>
      <c r="J339" s="10"/>
      <c r="K339" s="10"/>
      <c r="L339" s="7"/>
      <c r="M339" s="1"/>
      <c r="N339" s="1"/>
      <c r="O339" s="7"/>
      <c r="P339" s="1"/>
    </row>
    <row r="340" spans="1:16" s="172" customFormat="1" ht="15.75">
      <c r="A340" s="6"/>
      <c r="B340" s="4"/>
      <c r="C340" s="10" t="s">
        <v>338</v>
      </c>
      <c r="D340" s="10"/>
      <c r="E340" s="10"/>
      <c r="F340" s="10"/>
      <c r="G340" s="10"/>
      <c r="H340" s="10"/>
      <c r="I340" s="10"/>
      <c r="J340" s="10"/>
      <c r="K340" s="10"/>
      <c r="L340" s="7"/>
      <c r="M340" s="1"/>
      <c r="N340" s="1"/>
      <c r="O340" s="7"/>
      <c r="P340" s="1"/>
    </row>
    <row r="341" spans="1:16" s="172" customFormat="1" ht="15.75">
      <c r="A341" s="6" t="s">
        <v>339</v>
      </c>
      <c r="B341" s="4"/>
      <c r="C341" s="10" t="s">
        <v>340</v>
      </c>
      <c r="D341" s="10"/>
      <c r="E341" s="10"/>
      <c r="F341" s="10"/>
      <c r="G341" s="10"/>
      <c r="H341" s="10"/>
      <c r="I341" s="10"/>
      <c r="J341" s="10"/>
      <c r="K341" s="10"/>
      <c r="L341" s="7"/>
      <c r="M341" s="1"/>
      <c r="N341" s="1"/>
      <c r="O341" s="7"/>
      <c r="P341" s="1"/>
    </row>
    <row r="342" spans="1:16" s="172" customFormat="1" ht="15.75">
      <c r="A342" s="6"/>
      <c r="B342" s="4"/>
      <c r="C342" s="10" t="s">
        <v>341</v>
      </c>
      <c r="D342" s="10"/>
      <c r="E342" s="10"/>
      <c r="F342" s="10"/>
      <c r="G342" s="10"/>
      <c r="H342" s="10"/>
      <c r="I342" s="10"/>
      <c r="J342" s="10"/>
      <c r="K342" s="10"/>
      <c r="L342" s="7"/>
      <c r="M342" s="1"/>
      <c r="N342" s="1"/>
      <c r="O342" s="7"/>
      <c r="P342" s="1"/>
    </row>
    <row r="343" spans="1:16" s="172" customFormat="1" ht="15.75">
      <c r="A343" s="6"/>
      <c r="B343" s="4"/>
      <c r="C343" s="10" t="s">
        <v>342</v>
      </c>
      <c r="D343" s="10"/>
      <c r="E343" s="10"/>
      <c r="F343" s="10"/>
      <c r="G343" s="10"/>
      <c r="H343" s="10"/>
      <c r="I343" s="10"/>
      <c r="J343" s="10"/>
      <c r="K343" s="10"/>
      <c r="L343" s="7"/>
      <c r="M343" s="1"/>
      <c r="N343" s="1"/>
      <c r="O343" s="7"/>
      <c r="P343" s="1"/>
    </row>
    <row r="344" spans="1:16" s="172" customFormat="1" ht="15.75">
      <c r="A344" s="6" t="s">
        <v>343</v>
      </c>
      <c r="B344" s="4"/>
      <c r="C344" s="10" t="s">
        <v>344</v>
      </c>
      <c r="D344" s="10"/>
      <c r="E344" s="10"/>
      <c r="F344" s="10"/>
      <c r="G344" s="10"/>
      <c r="H344" s="10"/>
      <c r="I344" s="10"/>
      <c r="J344" s="10"/>
      <c r="K344" s="10"/>
      <c r="L344" s="7"/>
      <c r="M344" s="1"/>
      <c r="N344" s="1"/>
      <c r="O344" s="7"/>
      <c r="P344" s="1"/>
    </row>
    <row r="345" spans="1:16" s="172" customFormat="1" ht="15.75">
      <c r="A345" s="6"/>
      <c r="B345" s="4"/>
      <c r="C345" s="10" t="s">
        <v>345</v>
      </c>
      <c r="D345" s="10"/>
      <c r="E345" s="10"/>
      <c r="F345" s="10"/>
      <c r="G345" s="10"/>
      <c r="H345" s="10"/>
      <c r="I345" s="10"/>
      <c r="J345" s="10"/>
      <c r="K345" s="10"/>
      <c r="L345" s="7"/>
      <c r="M345" s="1"/>
      <c r="N345" s="1"/>
      <c r="O345" s="7"/>
      <c r="P345" s="1"/>
    </row>
    <row r="346" spans="1:16" s="172" customFormat="1" ht="15.75">
      <c r="A346" s="6"/>
      <c r="B346" s="4"/>
      <c r="C346" s="10" t="s">
        <v>346</v>
      </c>
      <c r="D346" s="10"/>
      <c r="E346" s="10"/>
      <c r="F346" s="10"/>
      <c r="G346" s="10"/>
      <c r="H346" s="10"/>
      <c r="I346" s="10"/>
      <c r="J346" s="10"/>
      <c r="K346" s="10"/>
      <c r="L346" s="7"/>
      <c r="M346" s="1"/>
      <c r="N346" s="1"/>
      <c r="O346" s="7"/>
      <c r="P346" s="1"/>
    </row>
    <row r="347" spans="1:16" s="172" customFormat="1" ht="15.75">
      <c r="A347" s="6"/>
      <c r="B347" s="4"/>
      <c r="C347" s="10" t="s">
        <v>347</v>
      </c>
      <c r="D347" s="10"/>
      <c r="E347" s="10"/>
      <c r="F347" s="10"/>
      <c r="G347" s="10"/>
      <c r="H347" s="10"/>
      <c r="I347" s="10"/>
      <c r="J347" s="10"/>
      <c r="K347" s="10"/>
      <c r="L347" s="7"/>
      <c r="M347" s="1"/>
      <c r="N347" s="241"/>
      <c r="O347" s="242"/>
      <c r="P347" s="1"/>
    </row>
    <row r="348" spans="1:16" s="172" customFormat="1" ht="15.75">
      <c r="A348" s="6"/>
      <c r="B348" s="4"/>
      <c r="C348" s="10" t="s">
        <v>348</v>
      </c>
      <c r="D348" s="10"/>
      <c r="E348" s="10"/>
      <c r="F348" s="10"/>
      <c r="G348" s="10"/>
      <c r="H348" s="10"/>
      <c r="I348" s="10"/>
      <c r="J348" s="10"/>
      <c r="K348" s="10"/>
      <c r="L348" s="7"/>
      <c r="M348" s="1"/>
      <c r="N348" s="1"/>
      <c r="O348" s="7"/>
      <c r="P348" s="1"/>
    </row>
    <row r="349" spans="1:16" s="172" customFormat="1" ht="15.75">
      <c r="A349" s="6"/>
      <c r="B349" s="4"/>
      <c r="C349" s="10" t="s">
        <v>349</v>
      </c>
      <c r="D349" s="10" t="s">
        <v>350</v>
      </c>
      <c r="E349" s="234">
        <v>0.35</v>
      </c>
      <c r="F349" s="10"/>
      <c r="G349" s="10"/>
      <c r="H349" s="10"/>
      <c r="I349" s="10"/>
      <c r="J349" s="10"/>
      <c r="K349" s="235"/>
      <c r="L349" s="7"/>
      <c r="M349" s="1"/>
      <c r="N349" s="1"/>
      <c r="O349" s="7"/>
      <c r="P349" s="1"/>
    </row>
    <row r="350" spans="1:18" s="172" customFormat="1" ht="15.75">
      <c r="A350" s="6" t="s">
        <v>3</v>
      </c>
      <c r="B350" s="4"/>
      <c r="C350" s="10" t="s">
        <v>351</v>
      </c>
      <c r="D350" s="10" t="s">
        <v>352</v>
      </c>
      <c r="E350" s="234">
        <v>0.098</v>
      </c>
      <c r="F350" s="10" t="s">
        <v>353</v>
      </c>
      <c r="G350" s="10"/>
      <c r="H350" s="10"/>
      <c r="I350" s="10"/>
      <c r="J350" s="10"/>
      <c r="K350" s="10"/>
      <c r="L350" s="7"/>
      <c r="M350" s="1"/>
      <c r="N350" s="1"/>
      <c r="O350" s="7"/>
      <c r="P350" s="1"/>
      <c r="R350" s="174"/>
    </row>
    <row r="351" spans="1:16" s="172" customFormat="1" ht="15.75">
      <c r="A351" s="6"/>
      <c r="B351" s="4"/>
      <c r="C351" s="10"/>
      <c r="D351" s="10" t="s">
        <v>354</v>
      </c>
      <c r="E351" s="234">
        <v>0.4137</v>
      </c>
      <c r="F351" s="10" t="s">
        <v>355</v>
      </c>
      <c r="G351" s="10"/>
      <c r="H351" s="10"/>
      <c r="I351" s="10"/>
      <c r="J351" s="10"/>
      <c r="K351" s="10"/>
      <c r="L351" s="7"/>
      <c r="M351" s="1"/>
      <c r="N351" s="1"/>
      <c r="O351" s="7"/>
      <c r="P351" s="1"/>
    </row>
    <row r="352" spans="1:16" s="172" customFormat="1" ht="15.75">
      <c r="A352" s="6" t="s">
        <v>356</v>
      </c>
      <c r="B352" s="4"/>
      <c r="C352" s="10" t="s">
        <v>443</v>
      </c>
      <c r="D352" s="10"/>
      <c r="E352" s="10"/>
      <c r="F352" s="10"/>
      <c r="G352" s="10"/>
      <c r="H352" s="10"/>
      <c r="I352" s="10"/>
      <c r="J352" s="235"/>
      <c r="K352" s="10"/>
      <c r="L352" s="7"/>
      <c r="M352" s="1"/>
      <c r="N352" s="1"/>
      <c r="O352" s="7"/>
      <c r="P352" s="1"/>
    </row>
    <row r="353" spans="1:16" s="172" customFormat="1" ht="15.75">
      <c r="A353" s="6" t="s">
        <v>357</v>
      </c>
      <c r="B353" s="4"/>
      <c r="C353" s="10" t="s">
        <v>358</v>
      </c>
      <c r="D353" s="10"/>
      <c r="E353" s="10"/>
      <c r="F353" s="10"/>
      <c r="G353" s="10"/>
      <c r="H353" s="10"/>
      <c r="I353" s="10"/>
      <c r="J353" s="10"/>
      <c r="K353" s="10"/>
      <c r="L353" s="7"/>
      <c r="M353" s="1"/>
      <c r="N353" s="1"/>
      <c r="O353" s="7"/>
      <c r="P353" s="1"/>
    </row>
    <row r="354" spans="1:16" s="172" customFormat="1" ht="15.75">
      <c r="A354" s="6"/>
      <c r="B354" s="4"/>
      <c r="C354" s="10" t="s">
        <v>359</v>
      </c>
      <c r="D354" s="10"/>
      <c r="E354" s="10"/>
      <c r="F354" s="10"/>
      <c r="G354" s="10"/>
      <c r="H354" s="10"/>
      <c r="I354" s="10"/>
      <c r="J354" s="10"/>
      <c r="K354" s="10"/>
      <c r="L354" s="7"/>
      <c r="M354" s="1"/>
      <c r="N354" s="1"/>
      <c r="O354" s="7"/>
      <c r="P354" s="1"/>
    </row>
    <row r="355" spans="1:16" s="172" customFormat="1" ht="15.75">
      <c r="A355" s="6" t="s">
        <v>360</v>
      </c>
      <c r="B355" s="4"/>
      <c r="C355" s="10" t="s">
        <v>361</v>
      </c>
      <c r="D355" s="10"/>
      <c r="E355" s="10"/>
      <c r="F355" s="10"/>
      <c r="G355" s="10"/>
      <c r="H355" s="10"/>
      <c r="I355" s="10"/>
      <c r="J355" s="10"/>
      <c r="K355" s="10"/>
      <c r="L355" s="7"/>
      <c r="M355" s="1"/>
      <c r="N355" s="1"/>
      <c r="O355" s="7"/>
      <c r="P355" s="1"/>
    </row>
    <row r="356" spans="1:16" s="172" customFormat="1" ht="15.75">
      <c r="A356" s="6"/>
      <c r="B356" s="4"/>
      <c r="C356" s="10" t="s">
        <v>362</v>
      </c>
      <c r="D356" s="10"/>
      <c r="E356" s="10"/>
      <c r="F356" s="10"/>
      <c r="G356" s="10"/>
      <c r="H356" s="10"/>
      <c r="I356" s="10"/>
      <c r="J356" s="10"/>
      <c r="K356" s="10"/>
      <c r="L356" s="7"/>
      <c r="M356" s="1"/>
      <c r="N356" s="1"/>
      <c r="O356" s="7"/>
      <c r="P356" s="1"/>
    </row>
    <row r="357" spans="1:16" s="172" customFormat="1" ht="15.75">
      <c r="A357" s="6"/>
      <c r="B357" s="4"/>
      <c r="C357" s="10" t="s">
        <v>363</v>
      </c>
      <c r="D357" s="10"/>
      <c r="E357" s="10"/>
      <c r="F357" s="10"/>
      <c r="G357" s="10"/>
      <c r="H357" s="10"/>
      <c r="I357" s="10"/>
      <c r="J357" s="10"/>
      <c r="K357" s="10"/>
      <c r="L357" s="7"/>
      <c r="M357" s="1"/>
      <c r="N357" s="1"/>
      <c r="O357" s="7"/>
      <c r="P357" s="1"/>
    </row>
    <row r="358" spans="1:16" s="172" customFormat="1" ht="15.75">
      <c r="A358" s="6" t="s">
        <v>364</v>
      </c>
      <c r="B358" s="4"/>
      <c r="C358" s="10" t="s">
        <v>365</v>
      </c>
      <c r="D358" s="10"/>
      <c r="E358" s="10"/>
      <c r="F358" s="10"/>
      <c r="G358" s="10"/>
      <c r="H358" s="10"/>
      <c r="I358" s="10"/>
      <c r="J358" s="10"/>
      <c r="K358" s="10"/>
      <c r="L358" s="7"/>
      <c r="M358" s="1"/>
      <c r="N358" s="1"/>
      <c r="O358" s="7"/>
      <c r="P358" s="1"/>
    </row>
    <row r="359" spans="1:16" s="172" customFormat="1" ht="15.75">
      <c r="A359" s="6" t="s">
        <v>366</v>
      </c>
      <c r="B359" s="4"/>
      <c r="C359" s="10" t="s">
        <v>367</v>
      </c>
      <c r="D359" s="10"/>
      <c r="E359" s="10"/>
      <c r="F359" s="10"/>
      <c r="G359" s="10"/>
      <c r="H359" s="10"/>
      <c r="I359" s="10"/>
      <c r="J359" s="10"/>
      <c r="K359" s="10"/>
      <c r="L359" s="7"/>
      <c r="M359" s="1"/>
      <c r="N359" s="1"/>
      <c r="O359" s="7"/>
      <c r="P359" s="1"/>
    </row>
    <row r="360" spans="1:16" s="172" customFormat="1" ht="15.75">
      <c r="A360" s="6"/>
      <c r="B360" s="4"/>
      <c r="C360" s="10" t="s">
        <v>368</v>
      </c>
      <c r="D360" s="10"/>
      <c r="E360" s="10"/>
      <c r="F360" s="10"/>
      <c r="G360" s="10"/>
      <c r="H360" s="10"/>
      <c r="I360" s="10"/>
      <c r="J360" s="10"/>
      <c r="K360" s="10"/>
      <c r="L360" s="7"/>
      <c r="M360" s="1"/>
      <c r="N360" s="1"/>
      <c r="O360" s="7"/>
      <c r="P360" s="1"/>
    </row>
    <row r="361" spans="1:16" s="172" customFormat="1" ht="15.75">
      <c r="A361" s="6"/>
      <c r="B361" s="4"/>
      <c r="C361" s="10" t="s">
        <v>369</v>
      </c>
      <c r="D361" s="10"/>
      <c r="E361" s="10"/>
      <c r="F361" s="10"/>
      <c r="G361" s="10"/>
      <c r="H361" s="10"/>
      <c r="I361" s="10"/>
      <c r="J361" s="10"/>
      <c r="K361" s="10"/>
      <c r="L361" s="7"/>
      <c r="M361" s="1"/>
      <c r="N361" s="1"/>
      <c r="O361" s="7"/>
      <c r="P361" s="1"/>
    </row>
    <row r="362" spans="1:16" s="172" customFormat="1" ht="15.75">
      <c r="A362" s="6" t="s">
        <v>370</v>
      </c>
      <c r="B362" s="4"/>
      <c r="C362" s="10" t="s">
        <v>371</v>
      </c>
      <c r="D362" s="10"/>
      <c r="E362" s="10"/>
      <c r="F362" s="10"/>
      <c r="G362" s="10"/>
      <c r="H362" s="10"/>
      <c r="I362" s="10"/>
      <c r="J362" s="10"/>
      <c r="K362" s="10"/>
      <c r="L362" s="7"/>
      <c r="M362" s="1"/>
      <c r="N362" s="1"/>
      <c r="O362" s="7"/>
      <c r="P362" s="1"/>
    </row>
    <row r="363" spans="1:16" s="172" customFormat="1" ht="15.75">
      <c r="A363" s="6"/>
      <c r="B363" s="4"/>
      <c r="C363" s="10" t="s">
        <v>372</v>
      </c>
      <c r="D363" s="10"/>
      <c r="E363" s="10"/>
      <c r="F363" s="10"/>
      <c r="G363" s="10"/>
      <c r="H363" s="10"/>
      <c r="I363" s="10"/>
      <c r="J363" s="10"/>
      <c r="K363" s="10"/>
      <c r="L363" s="7"/>
      <c r="M363" s="1"/>
      <c r="N363" s="1"/>
      <c r="O363" s="7"/>
      <c r="P363" s="1"/>
    </row>
    <row r="364" spans="1:16" s="172" customFormat="1" ht="15.75">
      <c r="A364" s="6" t="s">
        <v>373</v>
      </c>
      <c r="B364" s="4"/>
      <c r="C364" s="10" t="s">
        <v>374</v>
      </c>
      <c r="D364" s="10"/>
      <c r="E364" s="10"/>
      <c r="F364" s="10"/>
      <c r="G364" s="10"/>
      <c r="H364" s="10"/>
      <c r="I364" s="10"/>
      <c r="J364" s="10"/>
      <c r="K364" s="10"/>
      <c r="L364" s="7"/>
      <c r="M364" s="1"/>
      <c r="N364" s="1"/>
      <c r="O364" s="7"/>
      <c r="P364" s="1"/>
    </row>
    <row r="365" spans="1:16" s="172" customFormat="1" ht="15.75">
      <c r="A365" s="6" t="s">
        <v>375</v>
      </c>
      <c r="B365" s="4"/>
      <c r="C365" s="10" t="s">
        <v>376</v>
      </c>
      <c r="D365" s="10"/>
      <c r="E365" s="10"/>
      <c r="F365" s="10"/>
      <c r="G365" s="10"/>
      <c r="H365" s="10"/>
      <c r="I365" s="10"/>
      <c r="J365" s="10"/>
      <c r="K365" s="10"/>
      <c r="L365" s="7"/>
      <c r="M365" s="1"/>
      <c r="N365" s="1"/>
      <c r="O365" s="7"/>
      <c r="P365" s="1"/>
    </row>
    <row r="366" spans="1:16" s="172" customFormat="1" ht="15.75">
      <c r="A366" s="1"/>
      <c r="B366" s="4"/>
      <c r="C366" s="10" t="s">
        <v>444</v>
      </c>
      <c r="D366" s="10"/>
      <c r="E366" s="10"/>
      <c r="F366" s="10"/>
      <c r="G366" s="10"/>
      <c r="H366" s="10"/>
      <c r="I366" s="10"/>
      <c r="J366" s="10"/>
      <c r="K366" s="10"/>
      <c r="L366" s="7"/>
      <c r="M366" s="1"/>
      <c r="N366" s="1"/>
      <c r="O366" s="7"/>
      <c r="P366" s="1"/>
    </row>
    <row r="367" spans="1:16" s="172" customFormat="1" ht="15.75">
      <c r="A367" s="1"/>
      <c r="B367" s="1"/>
      <c r="C367" s="10" t="s">
        <v>377</v>
      </c>
      <c r="D367" s="10"/>
      <c r="E367" s="10"/>
      <c r="F367" s="10"/>
      <c r="G367" s="10"/>
      <c r="H367" s="10"/>
      <c r="I367" s="10"/>
      <c r="J367" s="10"/>
      <c r="K367" s="10"/>
      <c r="L367" s="7"/>
      <c r="M367" s="1"/>
      <c r="N367" s="1"/>
      <c r="O367" s="7"/>
      <c r="P367" s="1"/>
    </row>
    <row r="368" spans="1:16" s="172" customFormat="1" ht="15.75">
      <c r="A368" s="7" t="s">
        <v>378</v>
      </c>
      <c r="B368" s="1"/>
      <c r="C368" s="10" t="s">
        <v>379</v>
      </c>
      <c r="D368" s="236"/>
      <c r="E368" s="10"/>
      <c r="F368" s="10"/>
      <c r="G368" s="10"/>
      <c r="H368" s="10"/>
      <c r="I368" s="10"/>
      <c r="J368" s="10"/>
      <c r="K368" s="10"/>
      <c r="L368" s="7"/>
      <c r="M368" s="1"/>
      <c r="N368" s="1"/>
      <c r="O368" s="7"/>
      <c r="P368" s="1"/>
    </row>
    <row r="369" spans="1:16" s="173" customFormat="1" ht="15.75">
      <c r="A369" s="1"/>
      <c r="B369" s="1"/>
      <c r="C369" s="10" t="s">
        <v>380</v>
      </c>
      <c r="D369" s="10"/>
      <c r="E369" s="10"/>
      <c r="F369" s="10"/>
      <c r="G369" s="10"/>
      <c r="H369" s="10"/>
      <c r="I369" s="10"/>
      <c r="J369" s="10"/>
      <c r="K369" s="10"/>
      <c r="L369" s="20"/>
      <c r="M369" s="42"/>
      <c r="N369" s="42"/>
      <c r="O369" s="20"/>
      <c r="P369" s="42"/>
    </row>
    <row r="370" spans="1:16" s="173" customFormat="1" ht="15.75">
      <c r="A370" s="1"/>
      <c r="B370" s="1"/>
      <c r="C370" s="10" t="s">
        <v>381</v>
      </c>
      <c r="D370" s="10"/>
      <c r="E370" s="236"/>
      <c r="F370" s="10"/>
      <c r="G370" s="10"/>
      <c r="H370" s="10"/>
      <c r="I370" s="10"/>
      <c r="J370" s="10"/>
      <c r="K370" s="10"/>
      <c r="L370" s="20"/>
      <c r="M370" s="42"/>
      <c r="N370" s="42"/>
      <c r="O370" s="20"/>
      <c r="P370" s="42"/>
    </row>
    <row r="371" spans="1:16" s="172" customFormat="1" ht="15.75">
      <c r="A371" s="1"/>
      <c r="B371" s="1"/>
      <c r="C371" s="10" t="s">
        <v>382</v>
      </c>
      <c r="D371" s="4"/>
      <c r="E371" s="4"/>
      <c r="F371" s="4"/>
      <c r="G371" s="4"/>
      <c r="H371" s="4"/>
      <c r="I371" s="4"/>
      <c r="J371" s="10"/>
      <c r="K371" s="10"/>
      <c r="L371" s="7"/>
      <c r="M371" s="1"/>
      <c r="N371" s="1"/>
      <c r="O371" s="7"/>
      <c r="P371" s="1"/>
    </row>
    <row r="372" spans="1:16" s="172" customFormat="1" ht="15.75">
      <c r="A372" s="1"/>
      <c r="B372" s="1"/>
      <c r="C372" s="10" t="s">
        <v>383</v>
      </c>
      <c r="D372" s="4"/>
      <c r="E372" s="4"/>
      <c r="F372" s="4"/>
      <c r="G372" s="4"/>
      <c r="H372" s="4"/>
      <c r="I372" s="4"/>
      <c r="J372" s="10"/>
      <c r="K372" s="10"/>
      <c r="L372" s="7"/>
      <c r="M372" s="1"/>
      <c r="N372" s="1"/>
      <c r="O372" s="7"/>
      <c r="P372" s="1"/>
    </row>
    <row r="373" spans="1:16" s="172" customFormat="1" ht="15.75">
      <c r="A373" s="7" t="s">
        <v>384</v>
      </c>
      <c r="B373" s="1"/>
      <c r="C373" s="10" t="s">
        <v>385</v>
      </c>
      <c r="D373" s="10"/>
      <c r="E373" s="10"/>
      <c r="F373" s="10"/>
      <c r="G373" s="10"/>
      <c r="H373" s="10"/>
      <c r="I373" s="10"/>
      <c r="J373" s="10"/>
      <c r="K373" s="10"/>
      <c r="L373" s="7"/>
      <c r="M373" s="1"/>
      <c r="N373" s="1"/>
      <c r="O373" s="7"/>
      <c r="P373" s="1"/>
    </row>
    <row r="374" spans="1:11" ht="15.75">
      <c r="A374" s="20" t="s">
        <v>386</v>
      </c>
      <c r="B374" s="42"/>
      <c r="C374" s="10" t="s">
        <v>436</v>
      </c>
      <c r="D374" s="10"/>
      <c r="E374" s="10"/>
      <c r="F374" s="10"/>
      <c r="G374" s="10"/>
      <c r="H374" s="10"/>
      <c r="I374" s="10"/>
      <c r="J374" s="10"/>
      <c r="K374" s="10"/>
    </row>
    <row r="375" spans="1:11" ht="15.75">
      <c r="A375" s="20"/>
      <c r="B375" s="42"/>
      <c r="C375" s="10" t="s">
        <v>387</v>
      </c>
      <c r="D375" s="4"/>
      <c r="E375" s="4"/>
      <c r="F375" s="4"/>
      <c r="G375" s="4"/>
      <c r="H375" s="4"/>
      <c r="I375" s="4"/>
      <c r="J375" s="10"/>
      <c r="K375" s="10"/>
    </row>
    <row r="376" spans="1:13" ht="16.5" customHeight="1">
      <c r="A376" s="247" t="s">
        <v>388</v>
      </c>
      <c r="B376" s="240"/>
      <c r="C376" s="397" t="s">
        <v>447</v>
      </c>
      <c r="D376" s="397"/>
      <c r="E376" s="397"/>
      <c r="F376" s="397"/>
      <c r="G376" s="397"/>
      <c r="H376" s="397"/>
      <c r="I376" s="397"/>
      <c r="J376" s="397"/>
      <c r="K376" s="397"/>
      <c r="L376" s="397"/>
      <c r="M376" s="397"/>
    </row>
    <row r="377" spans="1:15" s="42" customFormat="1" ht="33.75" customHeight="1">
      <c r="A377" s="244" t="s">
        <v>389</v>
      </c>
      <c r="B377" s="240"/>
      <c r="C377" s="396" t="s">
        <v>448</v>
      </c>
      <c r="D377" s="396"/>
      <c r="E377" s="396"/>
      <c r="F377" s="396"/>
      <c r="G377" s="396"/>
      <c r="H377" s="396"/>
      <c r="I377" s="396"/>
      <c r="J377" s="396"/>
      <c r="K377" s="396"/>
      <c r="L377" s="396"/>
      <c r="M377" s="396"/>
      <c r="O377" s="20"/>
    </row>
    <row r="378" spans="1:11" ht="15.75">
      <c r="A378" s="7" t="s">
        <v>390</v>
      </c>
      <c r="C378" s="10" t="s">
        <v>450</v>
      </c>
      <c r="D378" s="4"/>
      <c r="E378" s="4"/>
      <c r="F378" s="4"/>
      <c r="G378" s="4"/>
      <c r="H378" s="4"/>
      <c r="I378" s="4"/>
      <c r="J378" s="10"/>
      <c r="K378" s="10"/>
    </row>
    <row r="379" spans="1:11" ht="15.75">
      <c r="A379" s="7" t="s">
        <v>391</v>
      </c>
      <c r="C379" s="10" t="s">
        <v>449</v>
      </c>
      <c r="D379" s="4"/>
      <c r="E379" s="4"/>
      <c r="F379" s="4"/>
      <c r="G379" s="4"/>
      <c r="H379" s="4"/>
      <c r="I379" s="4"/>
      <c r="J379" s="10"/>
      <c r="K379" s="10"/>
    </row>
    <row r="380" spans="1:13" ht="15.75">
      <c r="A380" s="7" t="s">
        <v>392</v>
      </c>
      <c r="C380" s="237" t="s">
        <v>393</v>
      </c>
      <c r="D380" s="10"/>
      <c r="E380" s="10"/>
      <c r="F380" s="10"/>
      <c r="G380" s="10"/>
      <c r="H380" s="10"/>
      <c r="I380" s="10"/>
      <c r="J380" s="10"/>
      <c r="K380" s="10"/>
      <c r="L380" s="20"/>
      <c r="M380" s="42"/>
    </row>
    <row r="381" spans="1:13" ht="15.75">
      <c r="A381" s="7" t="s">
        <v>394</v>
      </c>
      <c r="C381" s="237" t="s">
        <v>395</v>
      </c>
      <c r="D381" s="10"/>
      <c r="E381" s="10"/>
      <c r="F381" s="238"/>
      <c r="G381" s="238"/>
      <c r="H381" s="238"/>
      <c r="I381" s="238"/>
      <c r="J381" s="238"/>
      <c r="K381" s="238"/>
      <c r="L381" s="239"/>
      <c r="M381" s="175"/>
    </row>
    <row r="382" spans="1:15" s="42" customFormat="1" ht="15.75">
      <c r="A382" s="7" t="s">
        <v>114</v>
      </c>
      <c r="B382" s="1"/>
      <c r="C382" s="237" t="s">
        <v>405</v>
      </c>
      <c r="D382" s="10"/>
      <c r="E382" s="62"/>
      <c r="F382" s="62"/>
      <c r="G382" s="62"/>
      <c r="H382" s="62"/>
      <c r="I382" s="62"/>
      <c r="J382" s="62"/>
      <c r="K382" s="62"/>
      <c r="L382" s="20"/>
      <c r="O382" s="20"/>
    </row>
    <row r="383" spans="1:15" ht="53.25" customHeight="1">
      <c r="A383" s="245" t="s">
        <v>404</v>
      </c>
      <c r="B383" s="42"/>
      <c r="C383" s="398" t="s">
        <v>413</v>
      </c>
      <c r="D383" s="398"/>
      <c r="E383" s="398"/>
      <c r="F383" s="398"/>
      <c r="G383" s="398"/>
      <c r="H383" s="398"/>
      <c r="I383" s="398"/>
      <c r="J383" s="398"/>
      <c r="K383" s="398"/>
      <c r="L383" s="398"/>
      <c r="M383" s="398"/>
      <c r="N383" s="398"/>
      <c r="O383" s="398"/>
    </row>
    <row r="384" spans="1:16" ht="19.5" customHeight="1">
      <c r="A384" s="244" t="s">
        <v>426</v>
      </c>
      <c r="B384" s="240"/>
      <c r="C384" s="396" t="s">
        <v>445</v>
      </c>
      <c r="D384" s="396"/>
      <c r="E384" s="396"/>
      <c r="F384" s="396"/>
      <c r="G384" s="396"/>
      <c r="H384" s="396"/>
      <c r="I384" s="396"/>
      <c r="J384" s="396"/>
      <c r="K384" s="396"/>
      <c r="L384" s="396"/>
      <c r="M384" s="396"/>
      <c r="N384" s="396"/>
      <c r="O384" s="396"/>
      <c r="P384" s="396"/>
    </row>
    <row r="385" spans="1:16" ht="36" customHeight="1">
      <c r="A385" s="244" t="s">
        <v>427</v>
      </c>
      <c r="B385" s="240"/>
      <c r="C385" s="396" t="s">
        <v>446</v>
      </c>
      <c r="D385" s="396"/>
      <c r="E385" s="396"/>
      <c r="F385" s="396"/>
      <c r="G385" s="396"/>
      <c r="H385" s="396"/>
      <c r="I385" s="396"/>
      <c r="J385" s="396"/>
      <c r="K385" s="396"/>
      <c r="L385" s="396"/>
      <c r="M385" s="396"/>
      <c r="N385" s="396"/>
      <c r="O385" s="396"/>
      <c r="P385" s="396"/>
    </row>
    <row r="386" spans="1:11" ht="15.75">
      <c r="A386" s="7" t="s">
        <v>437</v>
      </c>
      <c r="C386" s="10" t="s">
        <v>442</v>
      </c>
      <c r="D386" s="4"/>
      <c r="E386" s="4"/>
      <c r="F386" s="4"/>
      <c r="G386" s="4"/>
      <c r="H386" s="4"/>
      <c r="I386" s="4"/>
      <c r="J386" s="10"/>
      <c r="K386" s="10"/>
    </row>
    <row r="387" spans="1:11" ht="15.75">
      <c r="A387" s="7" t="s">
        <v>438</v>
      </c>
      <c r="C387" s="10" t="s">
        <v>451</v>
      </c>
      <c r="D387" s="4"/>
      <c r="E387" s="4"/>
      <c r="F387" s="4"/>
      <c r="G387" s="4"/>
      <c r="H387" s="4"/>
      <c r="I387" s="4"/>
      <c r="J387" s="10"/>
      <c r="K387" s="10"/>
    </row>
    <row r="388" spans="1:11" ht="15.75">
      <c r="A388" s="7" t="s">
        <v>439</v>
      </c>
      <c r="C388" s="10" t="s">
        <v>452</v>
      </c>
      <c r="D388" s="4"/>
      <c r="E388" s="4"/>
      <c r="F388" s="4"/>
      <c r="G388" s="4"/>
      <c r="H388" s="4"/>
      <c r="I388" s="4"/>
      <c r="J388" s="10"/>
      <c r="K388" s="9"/>
    </row>
    <row r="389" spans="1:11" ht="15.75">
      <c r="A389" s="7"/>
      <c r="C389" s="10" t="s">
        <v>440</v>
      </c>
      <c r="D389" s="4"/>
      <c r="E389" s="4"/>
      <c r="F389" s="4"/>
      <c r="G389" s="4"/>
      <c r="H389" s="4"/>
      <c r="I389" s="4"/>
      <c r="J389" s="10"/>
      <c r="K389" s="9"/>
    </row>
    <row r="390" spans="1:11" ht="15.75">
      <c r="A390" s="7"/>
      <c r="C390" s="10"/>
      <c r="D390" s="4"/>
      <c r="E390" s="4"/>
      <c r="F390" s="4"/>
      <c r="G390" s="4"/>
      <c r="H390" s="4"/>
      <c r="I390" s="4"/>
      <c r="J390" s="10"/>
      <c r="K390" s="4"/>
    </row>
    <row r="391" spans="1:11" ht="15.75">
      <c r="A391" s="7"/>
      <c r="C391" s="10"/>
      <c r="D391" s="9"/>
      <c r="E391" s="32"/>
      <c r="F391" s="9"/>
      <c r="G391" s="9"/>
      <c r="H391" s="81"/>
      <c r="I391" s="9"/>
      <c r="J391" s="10"/>
      <c r="K391" s="4"/>
    </row>
    <row r="392" spans="1:11" ht="15.75">
      <c r="A392" s="7"/>
      <c r="C392" s="10"/>
      <c r="D392" s="9"/>
      <c r="E392" s="32"/>
      <c r="F392" s="9"/>
      <c r="G392" s="9"/>
      <c r="H392" s="81"/>
      <c r="I392" s="9"/>
      <c r="J392" s="32"/>
      <c r="K392" s="4"/>
    </row>
    <row r="393" spans="1:10" ht="15.75">
      <c r="A393" s="7"/>
      <c r="C393" s="10"/>
      <c r="D393" s="4"/>
      <c r="E393" s="4"/>
      <c r="F393" s="4"/>
      <c r="G393" s="4"/>
      <c r="H393" s="4"/>
      <c r="I393" s="4"/>
      <c r="J393" s="32"/>
    </row>
    <row r="394" spans="1:10" ht="15.75">
      <c r="A394" s="2"/>
      <c r="C394" s="2"/>
      <c r="D394" s="4"/>
      <c r="E394" s="4"/>
      <c r="F394" s="4"/>
      <c r="G394" s="4"/>
      <c r="H394" s="4"/>
      <c r="I394" s="4"/>
      <c r="J394" s="4"/>
    </row>
    <row r="395" spans="1:10" ht="15.75">
      <c r="A395" s="2"/>
      <c r="C395" s="2"/>
      <c r="D395" s="4"/>
      <c r="E395" s="4"/>
      <c r="F395" s="4"/>
      <c r="G395" s="4"/>
      <c r="H395" s="4"/>
      <c r="I395" s="4"/>
      <c r="J395" s="4"/>
    </row>
    <row r="396" spans="3:10" ht="15.75">
      <c r="C396" s="4"/>
      <c r="J396" s="4"/>
    </row>
    <row r="397" ht="15.75">
      <c r="C397" s="4"/>
    </row>
    <row r="398" ht="15.75">
      <c r="C398" s="4"/>
    </row>
    <row r="399" ht="15.75">
      <c r="C399" s="42"/>
    </row>
  </sheetData>
  <sheetProtection/>
  <mergeCells count="5">
    <mergeCell ref="C384:P384"/>
    <mergeCell ref="C385:P385"/>
    <mergeCell ref="C376:M376"/>
    <mergeCell ref="C377:M377"/>
    <mergeCell ref="C383:O383"/>
  </mergeCells>
  <printOptions/>
  <pageMargins left="0.5" right="0.5" top="0.53" bottom="0.5" header="0.5" footer="0.5"/>
  <pageSetup fitToHeight="0" horizontalDpi="600" verticalDpi="600" orientation="landscape" scale="50" r:id="rId1"/>
  <headerFooter alignWithMargins="0">
    <oddHeader xml:space="preserve">&amp;C&amp;"Arial,Bold"&amp;14 </oddHeader>
  </headerFooter>
  <rowBreaks count="5" manualBreakCount="5">
    <brk id="65" max="15" man="1"/>
    <brk id="126" max="15" man="1"/>
    <brk id="194" max="15" man="1"/>
    <brk id="256" max="15" man="1"/>
    <brk id="31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zoomScalePageLayoutView="0" workbookViewId="0" topLeftCell="A1">
      <selection activeCell="M95" sqref="M95"/>
    </sheetView>
  </sheetViews>
  <sheetFormatPr defaultColWidth="8.88671875" defaultRowHeight="15"/>
  <cols>
    <col min="1" max="1" width="7.3359375" style="256" customWidth="1"/>
    <col min="2" max="2" width="1.4375" style="256" customWidth="1"/>
    <col min="3" max="3" width="39.10546875" style="256" customWidth="1"/>
    <col min="4" max="4" width="50.3359375" style="256" customWidth="1"/>
    <col min="5" max="5" width="12.88671875" style="256" customWidth="1"/>
    <col min="6" max="6" width="13.99609375" style="256" customWidth="1"/>
    <col min="7" max="7" width="14.10546875" style="256" customWidth="1"/>
    <col min="8" max="8" width="13.88671875" style="256" customWidth="1"/>
    <col min="9" max="9" width="13.10546875" style="256" customWidth="1"/>
    <col min="10" max="10" width="14.5546875" style="256" customWidth="1"/>
    <col min="11" max="11" width="13.5546875" style="256" customWidth="1"/>
    <col min="12" max="12" width="15.6640625" style="256" customWidth="1"/>
    <col min="13" max="13" width="12.77734375" style="256" customWidth="1"/>
    <col min="14" max="14" width="13.88671875" style="256" customWidth="1"/>
    <col min="15" max="15" width="1.88671875" style="256" customWidth="1"/>
    <col min="16" max="16" width="12.99609375" style="256" customWidth="1"/>
    <col min="17" max="18" width="8.88671875" style="256" customWidth="1"/>
    <col min="19" max="19" width="17.99609375" style="256" customWidth="1"/>
    <col min="20" max="20" width="12.3359375" style="256" customWidth="1"/>
    <col min="21" max="16384" width="8.88671875" style="256" customWidth="1"/>
  </cols>
  <sheetData>
    <row r="1" spans="1:24" ht="15.75">
      <c r="A1" s="253"/>
      <c r="B1" s="253"/>
      <c r="C1" s="253"/>
      <c r="D1" s="253"/>
      <c r="E1" s="253"/>
      <c r="F1" s="254"/>
      <c r="G1" s="253"/>
      <c r="H1" s="253"/>
      <c r="I1" s="253"/>
      <c r="J1" s="253"/>
      <c r="K1" s="253"/>
      <c r="L1" s="253"/>
      <c r="M1" s="253"/>
      <c r="N1" s="253"/>
      <c r="O1" s="255"/>
      <c r="P1" s="255"/>
      <c r="S1"/>
      <c r="T1"/>
      <c r="U1"/>
      <c r="V1"/>
      <c r="W1"/>
      <c r="X1"/>
    </row>
    <row r="2" spans="1:24" ht="15.7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5"/>
      <c r="P2" s="255"/>
      <c r="S2"/>
      <c r="T2"/>
      <c r="U2"/>
      <c r="V2"/>
      <c r="W2"/>
      <c r="X2"/>
    </row>
    <row r="3" spans="1:24" ht="15.7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5" t="s">
        <v>456</v>
      </c>
      <c r="O3" s="255"/>
      <c r="P3" s="255"/>
      <c r="R3" s="257"/>
      <c r="S3"/>
      <c r="T3"/>
      <c r="U3"/>
      <c r="V3"/>
      <c r="W3"/>
      <c r="X3"/>
    </row>
    <row r="4" spans="1:24" ht="15.75">
      <c r="A4" s="253"/>
      <c r="B4" s="253"/>
      <c r="C4" s="253" t="s">
        <v>457</v>
      </c>
      <c r="D4" s="253"/>
      <c r="E4" s="253"/>
      <c r="F4" s="258" t="s">
        <v>0</v>
      </c>
      <c r="G4" s="253"/>
      <c r="H4" s="253"/>
      <c r="I4" s="253"/>
      <c r="J4" s="259"/>
      <c r="K4" s="259"/>
      <c r="L4" s="259"/>
      <c r="M4" s="260"/>
      <c r="N4" s="261" t="s">
        <v>453</v>
      </c>
      <c r="O4" s="255"/>
      <c r="P4" s="262"/>
      <c r="R4" s="257"/>
      <c r="S4"/>
      <c r="T4"/>
      <c r="U4"/>
      <c r="V4"/>
      <c r="W4"/>
      <c r="X4"/>
    </row>
    <row r="5" spans="1:24" ht="15.75">
      <c r="A5" s="253"/>
      <c r="B5" s="253"/>
      <c r="C5" s="253"/>
      <c r="D5" s="263" t="s">
        <v>3</v>
      </c>
      <c r="E5" s="263"/>
      <c r="F5" s="263" t="s">
        <v>458</v>
      </c>
      <c r="G5" s="263"/>
      <c r="H5" s="263"/>
      <c r="I5" s="263"/>
      <c r="J5" s="259"/>
      <c r="K5" s="259"/>
      <c r="L5" s="259"/>
      <c r="M5" s="259"/>
      <c r="N5" s="259"/>
      <c r="O5" s="255"/>
      <c r="P5" s="259"/>
      <c r="S5"/>
      <c r="T5"/>
      <c r="U5"/>
      <c r="V5"/>
      <c r="W5"/>
      <c r="X5"/>
    </row>
    <row r="6" spans="1:24" ht="15.75">
      <c r="A6" s="253"/>
      <c r="B6" s="253"/>
      <c r="C6" s="259"/>
      <c r="D6" s="259"/>
      <c r="E6" s="259"/>
      <c r="F6" s="259"/>
      <c r="G6" s="259"/>
      <c r="H6" s="259"/>
      <c r="I6" s="259"/>
      <c r="J6" s="259"/>
      <c r="L6" s="259"/>
      <c r="M6" s="259"/>
      <c r="N6" s="259" t="s">
        <v>459</v>
      </c>
      <c r="O6" s="255"/>
      <c r="P6" s="259"/>
      <c r="S6"/>
      <c r="T6"/>
      <c r="U6"/>
      <c r="V6"/>
      <c r="W6"/>
      <c r="X6"/>
    </row>
    <row r="7" spans="1:24" ht="15.75">
      <c r="A7" s="264"/>
      <c r="B7" s="253"/>
      <c r="C7" s="259"/>
      <c r="D7" s="259"/>
      <c r="E7" s="259"/>
      <c r="F7" s="265" t="s">
        <v>28</v>
      </c>
      <c r="G7" s="266"/>
      <c r="H7" s="259"/>
      <c r="I7" s="259"/>
      <c r="J7" s="259"/>
      <c r="K7" s="259"/>
      <c r="L7" s="259"/>
      <c r="M7" s="259"/>
      <c r="N7" s="259"/>
      <c r="O7" s="259"/>
      <c r="P7" s="259"/>
      <c r="S7"/>
      <c r="T7"/>
      <c r="U7"/>
      <c r="V7"/>
      <c r="W7"/>
      <c r="X7"/>
    </row>
    <row r="8" spans="1:24" ht="15.75">
      <c r="A8" s="264"/>
      <c r="B8" s="253"/>
      <c r="C8" s="259"/>
      <c r="D8" s="259"/>
      <c r="E8" s="259"/>
      <c r="F8" s="267"/>
      <c r="G8" s="259"/>
      <c r="H8" s="259"/>
      <c r="I8" s="259"/>
      <c r="J8" s="259"/>
      <c r="K8" s="259"/>
      <c r="L8" s="259"/>
      <c r="M8" s="259"/>
      <c r="N8" s="259"/>
      <c r="O8" s="259"/>
      <c r="P8" s="259"/>
      <c r="S8"/>
      <c r="T8"/>
      <c r="U8"/>
      <c r="V8"/>
      <c r="W8"/>
      <c r="X8"/>
    </row>
    <row r="9" spans="1:24" ht="15.75">
      <c r="A9" s="264"/>
      <c r="B9" s="253"/>
      <c r="C9" s="259" t="s">
        <v>460</v>
      </c>
      <c r="D9" s="259"/>
      <c r="E9" s="259"/>
      <c r="F9" s="267"/>
      <c r="G9" s="259"/>
      <c r="H9" s="259"/>
      <c r="I9" s="259"/>
      <c r="J9" s="259"/>
      <c r="K9" s="259"/>
      <c r="L9" s="259"/>
      <c r="M9" s="259"/>
      <c r="N9" s="259"/>
      <c r="O9" s="259"/>
      <c r="P9" s="259"/>
      <c r="S9"/>
      <c r="T9"/>
      <c r="U9"/>
      <c r="V9"/>
      <c r="W9"/>
      <c r="X9"/>
    </row>
    <row r="10" spans="1:24" ht="15.75">
      <c r="A10" s="268"/>
      <c r="B10" s="269"/>
      <c r="C10" s="259" t="s">
        <v>3</v>
      </c>
      <c r="D10" s="270"/>
      <c r="E10" s="270"/>
      <c r="F10" s="271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S10"/>
      <c r="T10"/>
      <c r="U10"/>
      <c r="V10"/>
      <c r="W10"/>
      <c r="X10"/>
    </row>
    <row r="11" spans="1:24" ht="15">
      <c r="A11" s="268"/>
      <c r="B11" s="269"/>
      <c r="C11" s="270"/>
      <c r="D11" s="270"/>
      <c r="E11" s="270"/>
      <c r="F11" s="270"/>
      <c r="G11" s="270"/>
      <c r="H11" s="270"/>
      <c r="I11" s="270"/>
      <c r="J11" s="270"/>
      <c r="K11" s="272"/>
      <c r="L11" s="272"/>
      <c r="M11" s="272"/>
      <c r="N11" s="270"/>
      <c r="O11" s="270"/>
      <c r="P11" s="270"/>
      <c r="S11"/>
      <c r="T11"/>
      <c r="U11"/>
      <c r="V11"/>
      <c r="W11"/>
      <c r="X11"/>
    </row>
    <row r="12" spans="1:24" ht="15.75">
      <c r="A12" s="269"/>
      <c r="B12" s="269"/>
      <c r="C12" s="264" t="s">
        <v>7</v>
      </c>
      <c r="D12" s="264" t="s">
        <v>8</v>
      </c>
      <c r="E12" s="273" t="s">
        <v>9</v>
      </c>
      <c r="F12" s="264" t="s">
        <v>10</v>
      </c>
      <c r="G12" s="264"/>
      <c r="H12" s="264" t="s">
        <v>108</v>
      </c>
      <c r="I12" s="274"/>
      <c r="J12" s="275" t="s">
        <v>109</v>
      </c>
      <c r="K12" s="274"/>
      <c r="L12" s="276" t="s">
        <v>110</v>
      </c>
      <c r="M12" s="276"/>
      <c r="N12" s="276" t="s">
        <v>111</v>
      </c>
      <c r="O12" s="276"/>
      <c r="P12" s="276"/>
      <c r="S12"/>
      <c r="T12"/>
      <c r="U12"/>
      <c r="V12"/>
      <c r="W12"/>
      <c r="X12"/>
    </row>
    <row r="13" spans="1:24" ht="15.75">
      <c r="A13" s="269"/>
      <c r="B13" s="269"/>
      <c r="C13" s="277"/>
      <c r="D13" s="278" t="s">
        <v>461</v>
      </c>
      <c r="E13" s="278"/>
      <c r="F13" s="263"/>
      <c r="G13" s="263"/>
      <c r="H13" s="279"/>
      <c r="I13" s="274"/>
      <c r="J13" s="278" t="s">
        <v>30</v>
      </c>
      <c r="K13" s="263"/>
      <c r="L13" s="279"/>
      <c r="M13" s="263"/>
      <c r="N13" s="254" t="s">
        <v>32</v>
      </c>
      <c r="O13" s="280"/>
      <c r="P13" s="280"/>
      <c r="S13"/>
      <c r="T13"/>
      <c r="U13"/>
      <c r="V13"/>
      <c r="W13"/>
      <c r="X13"/>
    </row>
    <row r="14" spans="1:24" ht="15.75">
      <c r="A14" s="268" t="s">
        <v>1</v>
      </c>
      <c r="B14" s="269"/>
      <c r="C14" s="277"/>
      <c r="D14" s="254" t="s">
        <v>12</v>
      </c>
      <c r="E14" s="254"/>
      <c r="F14" s="254" t="s">
        <v>11</v>
      </c>
      <c r="G14" s="281"/>
      <c r="H14" s="278" t="s">
        <v>30</v>
      </c>
      <c r="I14" s="282"/>
      <c r="J14" s="283" t="s">
        <v>4</v>
      </c>
      <c r="K14" s="263"/>
      <c r="L14" s="254" t="s">
        <v>32</v>
      </c>
      <c r="M14" s="263"/>
      <c r="N14" s="284" t="s">
        <v>4</v>
      </c>
      <c r="O14" s="280"/>
      <c r="P14" s="280"/>
      <c r="S14"/>
      <c r="T14"/>
      <c r="U14"/>
      <c r="V14"/>
      <c r="W14"/>
      <c r="X14"/>
    </row>
    <row r="15" spans="1:24" ht="16.5" thickBot="1">
      <c r="A15" s="285" t="s">
        <v>2</v>
      </c>
      <c r="B15" s="269"/>
      <c r="C15" s="286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S15"/>
      <c r="T15"/>
      <c r="U15"/>
      <c r="V15"/>
      <c r="W15"/>
      <c r="X15"/>
    </row>
    <row r="16" spans="1:24" ht="15">
      <c r="A16" s="268"/>
      <c r="B16" s="269"/>
      <c r="C16" s="277"/>
      <c r="D16" s="274"/>
      <c r="E16" s="274"/>
      <c r="F16" s="274"/>
      <c r="G16" s="274"/>
      <c r="H16" s="274"/>
      <c r="I16" s="274"/>
      <c r="J16" s="287"/>
      <c r="K16" s="274"/>
      <c r="L16" s="274"/>
      <c r="M16" s="274"/>
      <c r="N16" s="274"/>
      <c r="O16" s="274"/>
      <c r="P16" s="274"/>
      <c r="S16"/>
      <c r="T16"/>
      <c r="U16"/>
      <c r="V16"/>
      <c r="W16"/>
      <c r="X16"/>
    </row>
    <row r="17" spans="1:24" ht="15.75">
      <c r="A17" s="288">
        <v>1</v>
      </c>
      <c r="B17" s="269"/>
      <c r="C17" s="253" t="s">
        <v>462</v>
      </c>
      <c r="D17" s="289" t="s">
        <v>463</v>
      </c>
      <c r="E17" s="289"/>
      <c r="F17" s="290">
        <f>'MP Attach O'!J77+'MP Attach O'!J100+'MP Attach O'!J108</f>
        <v>433660814</v>
      </c>
      <c r="G17" s="274"/>
      <c r="H17" s="290">
        <f>'MP Attach O'!M77+'MP Attach O'!M100+'MP Attach O'!M108</f>
        <v>317676293</v>
      </c>
      <c r="I17" s="291"/>
      <c r="J17" s="287"/>
      <c r="K17" s="274"/>
      <c r="L17" s="290">
        <f>'MP Attach O'!P77+'MP Attach O'!P100+'MP Attach O'!P108</f>
        <v>115984521</v>
      </c>
      <c r="M17" s="274"/>
      <c r="N17" s="274"/>
      <c r="O17" s="274"/>
      <c r="P17" s="274"/>
      <c r="Q17"/>
      <c r="R17"/>
      <c r="S17"/>
      <c r="T17"/>
      <c r="U17"/>
      <c r="V17"/>
      <c r="W17"/>
      <c r="X17"/>
    </row>
    <row r="18" spans="1:24" ht="15.75">
      <c r="A18" s="288">
        <v>2</v>
      </c>
      <c r="B18" s="269"/>
      <c r="C18" s="253" t="s">
        <v>464</v>
      </c>
      <c r="D18" s="289" t="s">
        <v>465</v>
      </c>
      <c r="E18" s="289"/>
      <c r="F18" s="290">
        <f>'MP Attach O'!J93+'MP Attach O'!J100+'MP Attach O'!J108</f>
        <v>274099503.1991923</v>
      </c>
      <c r="G18" s="274"/>
      <c r="H18" s="290">
        <f>'MP Attach O'!M93+'MP Attach O'!M100+'MP Attach O'!M108</f>
        <v>205155209.19919232</v>
      </c>
      <c r="I18" s="269"/>
      <c r="J18" s="287"/>
      <c r="K18" s="269"/>
      <c r="L18" s="290">
        <f>'MP Attach O'!P93+'MP Attach O'!P108+'MP Attach O'!P100</f>
        <v>68944294</v>
      </c>
      <c r="M18" s="269"/>
      <c r="N18" s="274"/>
      <c r="O18" s="274"/>
      <c r="P18" s="274"/>
      <c r="Q18"/>
      <c r="R18"/>
      <c r="S18"/>
      <c r="T18"/>
      <c r="U18"/>
      <c r="V18"/>
      <c r="W18"/>
      <c r="X18"/>
    </row>
    <row r="19" spans="1:24" ht="15.75">
      <c r="A19" s="288"/>
      <c r="B19" s="269"/>
      <c r="C19" s="253"/>
      <c r="D19" s="289"/>
      <c r="E19" s="289"/>
      <c r="F19" s="292"/>
      <c r="G19" s="274"/>
      <c r="H19" s="274"/>
      <c r="I19" s="274"/>
      <c r="J19" s="287"/>
      <c r="K19" s="292"/>
      <c r="L19" s="274"/>
      <c r="M19" s="292"/>
      <c r="N19" s="274"/>
      <c r="O19" s="274"/>
      <c r="P19" s="274"/>
      <c r="Q19"/>
      <c r="R19"/>
      <c r="S19"/>
      <c r="T19"/>
      <c r="U19"/>
      <c r="V19"/>
      <c r="W19"/>
      <c r="X19"/>
    </row>
    <row r="20" spans="1:24" ht="15.75">
      <c r="A20" s="288"/>
      <c r="B20" s="269"/>
      <c r="C20" s="253"/>
      <c r="D20" s="289"/>
      <c r="E20" s="289"/>
      <c r="F20" s="274"/>
      <c r="G20" s="274"/>
      <c r="H20" s="274"/>
      <c r="I20" s="274"/>
      <c r="J20" s="287"/>
      <c r="K20" s="274"/>
      <c r="L20" s="274"/>
      <c r="M20" s="274"/>
      <c r="N20" s="274"/>
      <c r="O20" s="274"/>
      <c r="P20" s="274"/>
      <c r="Q20"/>
      <c r="R20"/>
      <c r="S20"/>
      <c r="T20"/>
      <c r="U20"/>
      <c r="V20"/>
      <c r="W20"/>
      <c r="X20"/>
    </row>
    <row r="21" spans="1:24" ht="15.75">
      <c r="A21" s="288"/>
      <c r="B21" s="269"/>
      <c r="C21" s="253" t="s">
        <v>466</v>
      </c>
      <c r="D21" s="289"/>
      <c r="E21" s="289"/>
      <c r="F21" s="274"/>
      <c r="G21" s="274"/>
      <c r="H21" s="274"/>
      <c r="I21" s="274"/>
      <c r="J21" s="287"/>
      <c r="K21" s="274"/>
      <c r="L21" s="274"/>
      <c r="M21" s="274"/>
      <c r="N21" s="274"/>
      <c r="O21" s="274"/>
      <c r="P21" s="274"/>
      <c r="Q21"/>
      <c r="R21"/>
      <c r="S21"/>
      <c r="T21"/>
      <c r="U21"/>
      <c r="V21"/>
      <c r="W21"/>
      <c r="X21"/>
    </row>
    <row r="22" spans="1:24" ht="15.75">
      <c r="A22" s="288">
        <v>3</v>
      </c>
      <c r="B22" s="269"/>
      <c r="C22" s="253" t="s">
        <v>467</v>
      </c>
      <c r="D22" s="289" t="s">
        <v>468</v>
      </c>
      <c r="E22" s="289"/>
      <c r="F22" s="290">
        <f>'MP Attach O'!J146</f>
        <v>23871377.892666448</v>
      </c>
      <c r="G22" s="274"/>
      <c r="H22" s="290">
        <f>'MP Attach O'!M146</f>
        <v>18471235.239461765</v>
      </c>
      <c r="I22" s="274"/>
      <c r="J22" s="287"/>
      <c r="K22" s="269"/>
      <c r="L22" s="290">
        <f>'MP Attach O'!P146</f>
        <v>5400142.653204679</v>
      </c>
      <c r="M22" s="269"/>
      <c r="N22" s="274"/>
      <c r="O22" s="274"/>
      <c r="P22" s="274"/>
      <c r="Q22"/>
      <c r="R22"/>
      <c r="S22"/>
      <c r="T22"/>
      <c r="U22"/>
      <c r="V22"/>
      <c r="W22"/>
      <c r="X22"/>
    </row>
    <row r="23" spans="1:24" ht="15.75">
      <c r="A23" s="288">
        <v>4</v>
      </c>
      <c r="B23" s="269"/>
      <c r="C23" s="253" t="s">
        <v>469</v>
      </c>
      <c r="D23" s="289" t="s">
        <v>470</v>
      </c>
      <c r="E23" s="289"/>
      <c r="F23" s="287">
        <f>IF(F22=0,0,F22/F17)</f>
        <v>0.05504619537209661</v>
      </c>
      <c r="G23" s="274"/>
      <c r="H23" s="287">
        <f>IF(H22=0,0,H22/H17)</f>
        <v>0.05814483373948765</v>
      </c>
      <c r="I23" s="274"/>
      <c r="J23" s="287">
        <f>H23</f>
        <v>0.05814483373948765</v>
      </c>
      <c r="K23" s="269"/>
      <c r="L23" s="287">
        <f>IF(L22=0,0,L22/L17)</f>
        <v>0.046559166746092596</v>
      </c>
      <c r="M23" s="269"/>
      <c r="N23" s="287">
        <f>L23</f>
        <v>0.046559166746092596</v>
      </c>
      <c r="O23" s="293"/>
      <c r="P23" s="293"/>
      <c r="Q23"/>
      <c r="R23"/>
      <c r="S23"/>
      <c r="T23"/>
      <c r="U23"/>
      <c r="V23"/>
      <c r="W23"/>
      <c r="X23"/>
    </row>
    <row r="24" spans="1:24" ht="15.75">
      <c r="A24" s="288"/>
      <c r="B24" s="269"/>
      <c r="C24" s="253"/>
      <c r="D24" s="289" t="s">
        <v>471</v>
      </c>
      <c r="E24" s="289"/>
      <c r="F24" s="274"/>
      <c r="G24" s="274"/>
      <c r="H24" s="274"/>
      <c r="I24" s="287"/>
      <c r="J24" s="287"/>
      <c r="K24" s="274"/>
      <c r="L24" s="274"/>
      <c r="M24" s="274"/>
      <c r="N24" s="287"/>
      <c r="O24" s="269"/>
      <c r="P24" s="269"/>
      <c r="Q24"/>
      <c r="R24"/>
      <c r="S24"/>
      <c r="T24"/>
      <c r="U24"/>
      <c r="V24"/>
      <c r="W24"/>
      <c r="X24"/>
    </row>
    <row r="25" spans="1:24" ht="15.75">
      <c r="A25" s="288"/>
      <c r="B25" s="269"/>
      <c r="C25" s="253"/>
      <c r="D25" s="289"/>
      <c r="E25" s="289"/>
      <c r="F25" s="274"/>
      <c r="G25" s="274"/>
      <c r="H25" s="274"/>
      <c r="I25" s="287"/>
      <c r="J25" s="287"/>
      <c r="K25" s="274"/>
      <c r="L25" s="274"/>
      <c r="M25" s="274"/>
      <c r="N25" s="287"/>
      <c r="O25" s="269"/>
      <c r="P25" s="269"/>
      <c r="Q25"/>
      <c r="R25"/>
      <c r="S25"/>
      <c r="T25"/>
      <c r="U25"/>
      <c r="V25"/>
      <c r="W25"/>
      <c r="X25"/>
    </row>
    <row r="26" spans="1:24" ht="15.75">
      <c r="A26" s="288"/>
      <c r="B26" s="269"/>
      <c r="C26" s="294" t="s">
        <v>472</v>
      </c>
      <c r="D26" s="289"/>
      <c r="E26" s="289"/>
      <c r="F26" s="274"/>
      <c r="G26" s="274"/>
      <c r="H26" s="274"/>
      <c r="I26" s="287"/>
      <c r="J26" s="287"/>
      <c r="K26" s="274"/>
      <c r="L26" s="274"/>
      <c r="M26" s="274"/>
      <c r="N26" s="287"/>
      <c r="O26" s="269"/>
      <c r="P26" s="269"/>
      <c r="Q26"/>
      <c r="R26"/>
      <c r="S26"/>
      <c r="T26"/>
      <c r="U26"/>
      <c r="V26"/>
      <c r="W26"/>
      <c r="X26"/>
    </row>
    <row r="27" spans="1:24" ht="15.75">
      <c r="A27" s="288">
        <v>5</v>
      </c>
      <c r="B27" s="269"/>
      <c r="C27" s="253" t="s">
        <v>473</v>
      </c>
      <c r="D27" s="289" t="s">
        <v>474</v>
      </c>
      <c r="E27" s="289"/>
      <c r="F27" s="290">
        <f>'MP Attach O'!J152</f>
        <v>1097888.6950732858</v>
      </c>
      <c r="G27" s="274"/>
      <c r="H27" s="290">
        <f>'MP Attach O'!M152</f>
        <v>776463.6397041515</v>
      </c>
      <c r="I27" s="274"/>
      <c r="J27" s="287"/>
      <c r="K27" s="269"/>
      <c r="L27" s="290">
        <f>'MP Attach O'!P152</f>
        <v>321425.05536913435</v>
      </c>
      <c r="M27" s="269"/>
      <c r="N27" s="274"/>
      <c r="O27" s="274"/>
      <c r="P27" s="269"/>
      <c r="Q27"/>
      <c r="R27"/>
      <c r="S27"/>
      <c r="T27"/>
      <c r="U27"/>
      <c r="V27"/>
      <c r="W27"/>
      <c r="X27"/>
    </row>
    <row r="28" spans="1:24" ht="15.75">
      <c r="A28" s="288">
        <v>6</v>
      </c>
      <c r="B28" s="269"/>
      <c r="C28" s="295" t="s">
        <v>475</v>
      </c>
      <c r="D28" s="289" t="s">
        <v>476</v>
      </c>
      <c r="E28" s="289"/>
      <c r="F28" s="383">
        <f>IF(F27=0,0,F27/F17)</f>
        <v>0.002531676046416511</v>
      </c>
      <c r="G28" s="274"/>
      <c r="H28" s="287">
        <f>IF(H27=0,0,H27/H17)</f>
        <v>0.00244419762133195</v>
      </c>
      <c r="I28" s="274"/>
      <c r="J28" s="287">
        <f>H28</f>
        <v>0.00244419762133195</v>
      </c>
      <c r="K28" s="269"/>
      <c r="L28" s="287">
        <f>IF(L27=0,0,L27/L17)</f>
        <v>0.0027712754477740554</v>
      </c>
      <c r="M28" s="269"/>
      <c r="N28" s="287">
        <f>L28</f>
        <v>0.0027712754477740554</v>
      </c>
      <c r="O28" s="293"/>
      <c r="P28" s="269"/>
      <c r="Q28"/>
      <c r="R28"/>
      <c r="S28"/>
      <c r="T28"/>
      <c r="U28"/>
      <c r="V28"/>
      <c r="W28"/>
      <c r="X28"/>
    </row>
    <row r="29" spans="1:24" ht="15.75">
      <c r="A29" s="288"/>
      <c r="B29" s="269"/>
      <c r="C29" s="295" t="s">
        <v>477</v>
      </c>
      <c r="D29" s="289" t="s">
        <v>478</v>
      </c>
      <c r="E29" s="289"/>
      <c r="F29" s="274"/>
      <c r="G29" s="274"/>
      <c r="H29" s="274"/>
      <c r="I29" s="287"/>
      <c r="J29" s="287"/>
      <c r="K29" s="274"/>
      <c r="L29" s="274"/>
      <c r="M29" s="274"/>
      <c r="N29" s="287"/>
      <c r="O29" s="269"/>
      <c r="P29" s="269"/>
      <c r="Q29"/>
      <c r="R29"/>
      <c r="S29"/>
      <c r="T29"/>
      <c r="U29"/>
      <c r="V29"/>
      <c r="W29"/>
      <c r="X29"/>
    </row>
    <row r="30" spans="1:24" ht="15.75">
      <c r="A30" s="288"/>
      <c r="B30" s="269"/>
      <c r="C30" s="253"/>
      <c r="D30" s="289"/>
      <c r="E30" s="289"/>
      <c r="F30" s="274"/>
      <c r="G30" s="274"/>
      <c r="H30" s="274"/>
      <c r="I30" s="287"/>
      <c r="J30" s="287"/>
      <c r="K30" s="274"/>
      <c r="L30" s="274"/>
      <c r="M30" s="274"/>
      <c r="N30" s="287"/>
      <c r="O30" s="269"/>
      <c r="P30" s="269"/>
      <c r="Q30"/>
      <c r="R30"/>
      <c r="S30"/>
      <c r="T30"/>
      <c r="U30"/>
      <c r="V30"/>
      <c r="W30"/>
      <c r="X30"/>
    </row>
    <row r="31" spans="1:24" ht="15.75">
      <c r="A31" s="296"/>
      <c r="B31" s="269"/>
      <c r="C31" s="253" t="s">
        <v>479</v>
      </c>
      <c r="D31" s="264"/>
      <c r="E31" s="264"/>
      <c r="F31" s="274"/>
      <c r="G31" s="274"/>
      <c r="H31" s="274"/>
      <c r="I31" s="274"/>
      <c r="J31" s="287"/>
      <c r="K31" s="274"/>
      <c r="L31" s="274"/>
      <c r="M31" s="274"/>
      <c r="N31" s="287"/>
      <c r="O31" s="274"/>
      <c r="P31" s="274"/>
      <c r="Q31"/>
      <c r="R31"/>
      <c r="S31"/>
      <c r="T31"/>
      <c r="U31"/>
      <c r="V31"/>
      <c r="W31"/>
      <c r="X31"/>
    </row>
    <row r="32" spans="1:24" ht="15.75">
      <c r="A32" s="296" t="s">
        <v>480</v>
      </c>
      <c r="B32" s="269"/>
      <c r="C32" s="253" t="s">
        <v>481</v>
      </c>
      <c r="D32" s="289" t="s">
        <v>482</v>
      </c>
      <c r="E32" s="289"/>
      <c r="F32" s="297">
        <f>'MP Attach O'!J164</f>
        <v>4361206.894393714</v>
      </c>
      <c r="G32" s="274"/>
      <c r="H32" s="290">
        <f>'MP Attach O'!M164</f>
        <v>3423816.9145674696</v>
      </c>
      <c r="I32" s="298"/>
      <c r="J32" s="287"/>
      <c r="K32" s="269"/>
      <c r="L32" s="290">
        <f>'MP Attach O'!P164</f>
        <v>937390.0399162453</v>
      </c>
      <c r="M32" s="269"/>
      <c r="N32" s="287"/>
      <c r="O32" s="299"/>
      <c r="P32" s="299"/>
      <c r="Q32"/>
      <c r="R32"/>
      <c r="S32"/>
      <c r="T32"/>
      <c r="U32"/>
      <c r="V32"/>
      <c r="W32"/>
      <c r="X32"/>
    </row>
    <row r="33" spans="1:24" ht="15.75">
      <c r="A33" s="296" t="s">
        <v>483</v>
      </c>
      <c r="B33" s="269"/>
      <c r="C33" s="253" t="s">
        <v>484</v>
      </c>
      <c r="D33" s="289" t="s">
        <v>485</v>
      </c>
      <c r="E33" s="289"/>
      <c r="F33" s="287">
        <f>IF(F32=0,0,F32/F17)</f>
        <v>0.010056723488956311</v>
      </c>
      <c r="G33" s="274"/>
      <c r="H33" s="287">
        <f>IF(H32=0,0,H32/H17)</f>
        <v>0.010777690970372377</v>
      </c>
      <c r="I33" s="274"/>
      <c r="J33" s="287">
        <f>H33</f>
        <v>0.010777690970372377</v>
      </c>
      <c r="K33" s="269"/>
      <c r="L33" s="287">
        <f>IF(L32=0,0,L32/L17)</f>
        <v>0.008082027082874664</v>
      </c>
      <c r="M33" s="269"/>
      <c r="N33" s="287">
        <f>L33</f>
        <v>0.008082027082874664</v>
      </c>
      <c r="O33" s="293"/>
      <c r="P33" s="293"/>
      <c r="Q33"/>
      <c r="R33"/>
      <c r="S33"/>
      <c r="T33"/>
      <c r="U33"/>
      <c r="V33"/>
      <c r="W33"/>
      <c r="X33"/>
    </row>
    <row r="34" spans="1:24" ht="15.75">
      <c r="A34" s="296"/>
      <c r="B34" s="269"/>
      <c r="C34" s="253"/>
      <c r="D34" s="289" t="s">
        <v>486</v>
      </c>
      <c r="E34" s="289"/>
      <c r="F34" s="287"/>
      <c r="G34" s="274"/>
      <c r="H34" s="287"/>
      <c r="I34" s="274"/>
      <c r="J34" s="287"/>
      <c r="K34" s="269"/>
      <c r="L34" s="287"/>
      <c r="M34" s="269"/>
      <c r="N34" s="287"/>
      <c r="O34" s="293"/>
      <c r="P34" s="293"/>
      <c r="Q34"/>
      <c r="R34"/>
      <c r="S34"/>
      <c r="T34"/>
      <c r="U34"/>
      <c r="V34"/>
      <c r="W34"/>
      <c r="X34"/>
    </row>
    <row r="35" spans="1:24" ht="15.75">
      <c r="A35" s="296"/>
      <c r="B35" s="269"/>
      <c r="C35" s="253"/>
      <c r="D35" s="289"/>
      <c r="E35" s="289"/>
      <c r="F35" s="287"/>
      <c r="G35" s="274"/>
      <c r="H35" s="274"/>
      <c r="I35" s="274"/>
      <c r="J35" s="287"/>
      <c r="K35" s="269"/>
      <c r="L35" s="274"/>
      <c r="M35" s="269"/>
      <c r="N35" s="287"/>
      <c r="O35" s="293"/>
      <c r="P35" s="293"/>
      <c r="Q35"/>
      <c r="R35"/>
      <c r="S35"/>
      <c r="T35"/>
      <c r="U35"/>
      <c r="V35"/>
      <c r="W35"/>
      <c r="X35"/>
    </row>
    <row r="36" spans="1:24" ht="15.75">
      <c r="A36" s="296" t="s">
        <v>487</v>
      </c>
      <c r="B36" s="269"/>
      <c r="C36" s="253" t="s">
        <v>488</v>
      </c>
      <c r="D36" s="289" t="s">
        <v>489</v>
      </c>
      <c r="E36" s="289"/>
      <c r="F36" s="287">
        <f>F23+F28+F33</f>
        <v>0.06763459490746944</v>
      </c>
      <c r="G36" s="274"/>
      <c r="H36" s="287">
        <f>H23+H28+H33</f>
        <v>0.07136672233119197</v>
      </c>
      <c r="I36" s="274"/>
      <c r="J36" s="287">
        <f>H36</f>
        <v>0.07136672233119197</v>
      </c>
      <c r="K36" s="269"/>
      <c r="L36" s="287">
        <f>L23+L28+L33</f>
        <v>0.05741246927674132</v>
      </c>
      <c r="M36" s="269"/>
      <c r="N36" s="287">
        <f>L36</f>
        <v>0.05741246927674132</v>
      </c>
      <c r="O36" s="293"/>
      <c r="P36" s="293"/>
      <c r="Q36"/>
      <c r="R36"/>
      <c r="S36"/>
      <c r="T36"/>
      <c r="U36"/>
      <c r="V36"/>
      <c r="W36"/>
      <c r="X36"/>
    </row>
    <row r="37" spans="1:24" ht="15.75">
      <c r="A37" s="296"/>
      <c r="B37" s="269"/>
      <c r="C37" s="253"/>
      <c r="D37" s="289" t="s">
        <v>490</v>
      </c>
      <c r="E37" s="289"/>
      <c r="F37" s="287"/>
      <c r="G37" s="274"/>
      <c r="H37" s="287"/>
      <c r="I37" s="274"/>
      <c r="J37" s="287"/>
      <c r="K37" s="269"/>
      <c r="L37" s="287"/>
      <c r="M37" s="269"/>
      <c r="N37" s="287"/>
      <c r="O37" s="293"/>
      <c r="P37" s="293"/>
      <c r="Q37"/>
      <c r="R37"/>
      <c r="S37"/>
      <c r="T37"/>
      <c r="U37"/>
      <c r="V37"/>
      <c r="W37"/>
      <c r="X37"/>
    </row>
    <row r="38" spans="1:24" ht="15.75">
      <c r="A38" s="296"/>
      <c r="B38" s="269"/>
      <c r="C38" s="253"/>
      <c r="D38" s="289"/>
      <c r="E38" s="289"/>
      <c r="F38" s="274"/>
      <c r="G38" s="274"/>
      <c r="H38" s="274"/>
      <c r="I38" s="298"/>
      <c r="J38" s="287"/>
      <c r="K38" s="274"/>
      <c r="L38" s="274"/>
      <c r="M38" s="274"/>
      <c r="N38" s="287"/>
      <c r="O38" s="274"/>
      <c r="P38" s="274"/>
      <c r="Q38"/>
      <c r="R38"/>
      <c r="S38"/>
      <c r="T38"/>
      <c r="U38"/>
      <c r="V38"/>
      <c r="W38"/>
      <c r="X38"/>
    </row>
    <row r="39" spans="1:24" ht="15.75">
      <c r="A39" s="300"/>
      <c r="B39" s="301"/>
      <c r="C39" s="263" t="s">
        <v>491</v>
      </c>
      <c r="D39" s="289"/>
      <c r="E39" s="289"/>
      <c r="F39" s="274"/>
      <c r="G39" s="302"/>
      <c r="H39" s="274"/>
      <c r="I39" s="287"/>
      <c r="J39" s="287"/>
      <c r="K39" s="274"/>
      <c r="L39" s="303"/>
      <c r="M39" s="274"/>
      <c r="N39" s="287"/>
      <c r="O39" s="301"/>
      <c r="P39" s="301"/>
      <c r="Q39"/>
      <c r="R39"/>
      <c r="S39"/>
      <c r="T39"/>
      <c r="U39"/>
      <c r="V39"/>
      <c r="W39"/>
      <c r="X39"/>
    </row>
    <row r="40" spans="1:24" ht="15.75">
      <c r="A40" s="296" t="s">
        <v>492</v>
      </c>
      <c r="B40" s="301"/>
      <c r="C40" s="263" t="s">
        <v>14</v>
      </c>
      <c r="D40" s="289" t="s">
        <v>493</v>
      </c>
      <c r="E40" s="289"/>
      <c r="F40" s="290">
        <f>'MP Attach O'!J177</f>
        <v>10639054.851175593</v>
      </c>
      <c r="G40" s="302"/>
      <c r="H40" s="290">
        <f>'MP Attach O'!M177</f>
        <v>7994860.785859115</v>
      </c>
      <c r="I40" s="287"/>
      <c r="J40" s="287"/>
      <c r="K40" s="274"/>
      <c r="L40" s="290">
        <f>'MP Attach O'!P177</f>
        <v>2644194.0653164755</v>
      </c>
      <c r="M40" s="274"/>
      <c r="N40" s="287"/>
      <c r="O40" s="301"/>
      <c r="P40" s="301"/>
      <c r="Q40"/>
      <c r="R40"/>
      <c r="S40"/>
      <c r="T40"/>
      <c r="U40"/>
      <c r="V40"/>
      <c r="W40"/>
      <c r="X40"/>
    </row>
    <row r="41" spans="1:24" ht="15.75">
      <c r="A41" s="296" t="s">
        <v>494</v>
      </c>
      <c r="B41" s="301"/>
      <c r="C41" s="263" t="s">
        <v>495</v>
      </c>
      <c r="D41" s="289" t="s">
        <v>496</v>
      </c>
      <c r="E41" s="289"/>
      <c r="F41" s="287">
        <f>IF(F40=0,0,F40/F18)</f>
        <v>0.03881457181425108</v>
      </c>
      <c r="G41" s="302"/>
      <c r="H41" s="287">
        <f>IF(H40=0,0,H40/H18)</f>
        <v>0.0389698161556143</v>
      </c>
      <c r="I41" s="287"/>
      <c r="J41" s="287">
        <f>H41</f>
        <v>0.0389698161556143</v>
      </c>
      <c r="K41" s="274"/>
      <c r="L41" s="287">
        <f>IF(L40=0,0,L40/L18)</f>
        <v>0.03835261646622236</v>
      </c>
      <c r="M41" s="274"/>
      <c r="N41" s="287">
        <f>L41</f>
        <v>0.03835261646622236</v>
      </c>
      <c r="O41" s="301"/>
      <c r="P41" s="301"/>
      <c r="Q41"/>
      <c r="R41"/>
      <c r="S41"/>
      <c r="T41"/>
      <c r="U41"/>
      <c r="V41"/>
      <c r="W41"/>
      <c r="X41"/>
    </row>
    <row r="42" spans="1:24" ht="15.75">
      <c r="A42" s="296"/>
      <c r="B42" s="301"/>
      <c r="C42" s="263"/>
      <c r="D42" s="289" t="s">
        <v>497</v>
      </c>
      <c r="E42" s="289"/>
      <c r="F42" s="287"/>
      <c r="G42" s="302"/>
      <c r="H42" s="287"/>
      <c r="I42" s="287"/>
      <c r="J42" s="287"/>
      <c r="K42" s="274"/>
      <c r="L42" s="287"/>
      <c r="M42" s="274"/>
      <c r="N42" s="287"/>
      <c r="O42" s="301"/>
      <c r="P42" s="301"/>
      <c r="Q42"/>
      <c r="R42"/>
      <c r="S42"/>
      <c r="T42"/>
      <c r="U42"/>
      <c r="V42"/>
      <c r="W42"/>
      <c r="X42"/>
    </row>
    <row r="43" spans="1:24" ht="15.75">
      <c r="A43" s="300"/>
      <c r="B43" s="301"/>
      <c r="C43" s="263"/>
      <c r="D43" s="289"/>
      <c r="E43" s="289"/>
      <c r="F43" s="287"/>
      <c r="G43" s="302"/>
      <c r="H43" s="274"/>
      <c r="I43" s="287"/>
      <c r="J43" s="287"/>
      <c r="K43" s="274"/>
      <c r="L43" s="303"/>
      <c r="M43" s="274"/>
      <c r="N43" s="287"/>
      <c r="O43" s="301"/>
      <c r="P43" s="301"/>
      <c r="Q43"/>
      <c r="R43"/>
      <c r="S43"/>
      <c r="T43"/>
      <c r="U43"/>
      <c r="V43"/>
      <c r="W43"/>
      <c r="X43"/>
    </row>
    <row r="44" spans="1:24" ht="15.75">
      <c r="A44" s="296"/>
      <c r="B44" s="269"/>
      <c r="C44" s="253" t="s">
        <v>15</v>
      </c>
      <c r="D44" s="304"/>
      <c r="E44" s="304"/>
      <c r="F44" s="269"/>
      <c r="G44" s="274"/>
      <c r="H44" s="274"/>
      <c r="I44" s="269"/>
      <c r="J44" s="287"/>
      <c r="K44" s="269"/>
      <c r="L44" s="274"/>
      <c r="M44" s="269"/>
      <c r="N44" s="287"/>
      <c r="O44" s="269"/>
      <c r="P44" s="269"/>
      <c r="Q44"/>
      <c r="R44"/>
      <c r="S44"/>
      <c r="T44"/>
      <c r="U44"/>
      <c r="V44"/>
      <c r="W44"/>
      <c r="X44"/>
    </row>
    <row r="45" spans="1:24" ht="15.75">
      <c r="A45" s="296" t="s">
        <v>498</v>
      </c>
      <c r="B45" s="269"/>
      <c r="C45" s="253" t="s">
        <v>499</v>
      </c>
      <c r="D45" s="264" t="s">
        <v>500</v>
      </c>
      <c r="E45" s="264"/>
      <c r="F45" s="290">
        <f>'MP Attach O'!J179</f>
        <v>20768372.139685664</v>
      </c>
      <c r="G45" s="305"/>
      <c r="H45" s="290">
        <f>'MP Attach O'!M179</f>
        <v>15703980.035296658</v>
      </c>
      <c r="I45" s="305"/>
      <c r="J45" s="287"/>
      <c r="K45" s="269"/>
      <c r="L45" s="290">
        <f>'MP Attach O'!P179</f>
        <v>5064392.104389005</v>
      </c>
      <c r="M45" s="269"/>
      <c r="N45" s="287"/>
      <c r="O45" s="293"/>
      <c r="P45" s="293"/>
      <c r="Q45"/>
      <c r="R45"/>
      <c r="S45"/>
      <c r="T45"/>
      <c r="U45"/>
      <c r="V45"/>
      <c r="W45"/>
      <c r="X45"/>
    </row>
    <row r="46" spans="1:24" ht="15.75">
      <c r="A46" s="296" t="s">
        <v>501</v>
      </c>
      <c r="B46" s="269"/>
      <c r="C46" s="253" t="s">
        <v>502</v>
      </c>
      <c r="D46" s="289" t="s">
        <v>503</v>
      </c>
      <c r="E46" s="304"/>
      <c r="F46" s="287">
        <f>IF(F45=0,0,F45/F18)</f>
        <v>0.07576946290410812</v>
      </c>
      <c r="G46" s="274"/>
      <c r="H46" s="287">
        <f>IF(H45=0,0,H45/H18)</f>
        <v>0.07654682567698838</v>
      </c>
      <c r="I46" s="306"/>
      <c r="J46" s="287">
        <f>H46</f>
        <v>0.07654682567698838</v>
      </c>
      <c r="K46" s="307"/>
      <c r="L46" s="287">
        <f>IF(L45=0,0,L45/L18)</f>
        <v>0.07345629073218163</v>
      </c>
      <c r="M46" s="307"/>
      <c r="N46" s="287">
        <f>L46</f>
        <v>0.07345629073218163</v>
      </c>
      <c r="O46" s="269"/>
      <c r="P46" s="269"/>
      <c r="Q46"/>
      <c r="R46"/>
      <c r="S46"/>
      <c r="T46"/>
      <c r="U46"/>
      <c r="V46"/>
      <c r="W46"/>
      <c r="X46"/>
    </row>
    <row r="47" spans="1:24" ht="15.75">
      <c r="A47" s="296"/>
      <c r="B47" s="269"/>
      <c r="C47" s="253"/>
      <c r="D47" s="289" t="s">
        <v>504</v>
      </c>
      <c r="E47" s="304"/>
      <c r="F47" s="287"/>
      <c r="G47" s="274"/>
      <c r="H47" s="287"/>
      <c r="I47" s="306"/>
      <c r="J47" s="287"/>
      <c r="K47" s="307"/>
      <c r="L47" s="287"/>
      <c r="M47" s="307"/>
      <c r="N47" s="287"/>
      <c r="O47" s="269"/>
      <c r="P47" s="269"/>
      <c r="Q47"/>
      <c r="R47"/>
      <c r="S47"/>
      <c r="T47"/>
      <c r="U47"/>
      <c r="V47"/>
      <c r="W47"/>
      <c r="X47"/>
    </row>
    <row r="48" spans="1:24" ht="15.75">
      <c r="A48" s="300"/>
      <c r="B48" s="301"/>
      <c r="C48" s="253"/>
      <c r="D48" s="304"/>
      <c r="E48" s="304"/>
      <c r="F48" s="274"/>
      <c r="G48" s="274"/>
      <c r="H48" s="307"/>
      <c r="I48" s="306"/>
      <c r="J48" s="287"/>
      <c r="K48" s="307"/>
      <c r="L48" s="274"/>
      <c r="M48" s="307"/>
      <c r="N48" s="287"/>
      <c r="O48" s="269"/>
      <c r="P48" s="269"/>
      <c r="Q48"/>
      <c r="R48"/>
      <c r="S48"/>
      <c r="T48"/>
      <c r="U48"/>
      <c r="V48"/>
      <c r="W48"/>
      <c r="X48"/>
    </row>
    <row r="49" spans="1:24" ht="15.75">
      <c r="A49" s="296" t="s">
        <v>505</v>
      </c>
      <c r="B49" s="301"/>
      <c r="C49" s="253" t="s">
        <v>506</v>
      </c>
      <c r="D49" s="289" t="s">
        <v>507</v>
      </c>
      <c r="E49" s="304"/>
      <c r="F49" s="308"/>
      <c r="G49" s="274"/>
      <c r="H49" s="306">
        <f>H41+H46</f>
        <v>0.11551664183260268</v>
      </c>
      <c r="I49" s="306"/>
      <c r="J49" s="287"/>
      <c r="K49" s="307"/>
      <c r="L49" s="306">
        <f>L41+L46</f>
        <v>0.11180890719840399</v>
      </c>
      <c r="M49" s="307"/>
      <c r="N49" s="287"/>
      <c r="O49" s="269"/>
      <c r="P49" s="269"/>
      <c r="Q49"/>
      <c r="R49"/>
      <c r="S49"/>
      <c r="T49"/>
      <c r="U49"/>
      <c r="V49"/>
      <c r="W49"/>
      <c r="X49"/>
    </row>
    <row r="50" spans="1:24" ht="15.75">
      <c r="A50" s="300"/>
      <c r="B50" s="301"/>
      <c r="C50" s="253"/>
      <c r="D50" s="289" t="s">
        <v>508</v>
      </c>
      <c r="E50" s="304"/>
      <c r="F50" s="274" t="s">
        <v>3</v>
      </c>
      <c r="G50" s="274"/>
      <c r="H50" s="274"/>
      <c r="I50" s="306"/>
      <c r="J50" s="274"/>
      <c r="K50" s="307"/>
      <c r="L50" s="307"/>
      <c r="M50" s="307"/>
      <c r="N50" s="274" t="s">
        <v>3</v>
      </c>
      <c r="O50" s="269"/>
      <c r="P50" s="269"/>
      <c r="Q50"/>
      <c r="R50"/>
      <c r="S50"/>
      <c r="T50"/>
      <c r="U50"/>
      <c r="V50"/>
      <c r="W50"/>
      <c r="X50"/>
    </row>
    <row r="51" spans="1:24" ht="15.75">
      <c r="A51" s="300"/>
      <c r="B51" s="301"/>
      <c r="C51" s="253"/>
      <c r="D51" s="304"/>
      <c r="E51" s="304"/>
      <c r="F51" s="274"/>
      <c r="G51" s="274"/>
      <c r="H51" s="274"/>
      <c r="I51" s="306"/>
      <c r="J51" s="274"/>
      <c r="K51" s="307"/>
      <c r="L51" s="307"/>
      <c r="M51" s="307"/>
      <c r="N51" s="274"/>
      <c r="O51" s="269"/>
      <c r="P51" s="269"/>
      <c r="Q51"/>
      <c r="R51"/>
      <c r="S51"/>
      <c r="T51"/>
      <c r="U51"/>
      <c r="V51"/>
      <c r="W51"/>
      <c r="X51"/>
    </row>
    <row r="52" spans="1:24" ht="15.75">
      <c r="A52" s="300"/>
      <c r="B52" s="301"/>
      <c r="C52" s="277"/>
      <c r="D52" s="309"/>
      <c r="E52" s="309"/>
      <c r="F52" s="274"/>
      <c r="G52" s="277"/>
      <c r="H52" s="277"/>
      <c r="I52" s="287"/>
      <c r="J52" s="274"/>
      <c r="K52" s="274"/>
      <c r="L52" s="274"/>
      <c r="M52" s="274"/>
      <c r="N52" s="274"/>
      <c r="O52" s="293"/>
      <c r="P52" s="293"/>
      <c r="Q52"/>
      <c r="R52"/>
      <c r="S52"/>
      <c r="T52"/>
      <c r="U52"/>
      <c r="V52"/>
      <c r="W52"/>
      <c r="X52"/>
    </row>
    <row r="53" spans="1:24" ht="15.75">
      <c r="A53" s="310"/>
      <c r="B53" s="301"/>
      <c r="C53" s="275"/>
      <c r="D53" s="264"/>
      <c r="E53" s="264"/>
      <c r="F53" s="263"/>
      <c r="G53" s="253"/>
      <c r="H53" s="253"/>
      <c r="I53" s="311"/>
      <c r="J53" s="274"/>
      <c r="K53" s="263"/>
      <c r="M53" s="263"/>
      <c r="N53" s="274"/>
      <c r="O53" s="312"/>
      <c r="P53" s="313"/>
      <c r="Q53"/>
      <c r="R53"/>
      <c r="S53"/>
      <c r="T53"/>
      <c r="U53"/>
      <c r="V53"/>
      <c r="W53"/>
      <c r="X53"/>
    </row>
    <row r="54" spans="1:24" ht="15.75">
      <c r="A54" s="310"/>
      <c r="B54" s="314"/>
      <c r="C54" s="275"/>
      <c r="D54" s="264"/>
      <c r="E54" s="264"/>
      <c r="F54" s="263"/>
      <c r="G54" s="253"/>
      <c r="H54" s="253"/>
      <c r="I54" s="311"/>
      <c r="J54" s="274"/>
      <c r="K54" s="263"/>
      <c r="L54" s="263"/>
      <c r="M54" s="263"/>
      <c r="N54" s="274"/>
      <c r="O54" s="315"/>
      <c r="P54" s="315"/>
      <c r="Q54"/>
      <c r="R54"/>
      <c r="S54"/>
      <c r="T54"/>
      <c r="U54"/>
      <c r="V54"/>
      <c r="W54"/>
      <c r="X54"/>
    </row>
    <row r="55" spans="1:24" ht="15">
      <c r="A55" s="268"/>
      <c r="B55" s="269"/>
      <c r="C55" s="277"/>
      <c r="D55" s="277"/>
      <c r="E55" s="277"/>
      <c r="F55" s="274"/>
      <c r="G55" s="277"/>
      <c r="H55" s="277"/>
      <c r="I55" s="277"/>
      <c r="J55" s="279"/>
      <c r="K55" s="277"/>
      <c r="L55" s="277"/>
      <c r="M55" s="277"/>
      <c r="N55" s="274"/>
      <c r="O55" s="274"/>
      <c r="P55" s="274"/>
      <c r="Q55"/>
      <c r="R55"/>
      <c r="S55"/>
      <c r="T55"/>
      <c r="U55"/>
      <c r="V55"/>
      <c r="W55"/>
      <c r="X55"/>
    </row>
    <row r="56" spans="1:24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5">
      <c r="A58" s="316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7"/>
      <c r="O58" s="316"/>
      <c r="Q58"/>
      <c r="R58"/>
      <c r="S58"/>
      <c r="T58"/>
      <c r="U58"/>
      <c r="V58"/>
      <c r="W58"/>
      <c r="X58"/>
    </row>
    <row r="59" spans="1:24" ht="15">
      <c r="A59" s="316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7"/>
      <c r="O59" s="316"/>
      <c r="Q59"/>
      <c r="R59"/>
      <c r="S59"/>
      <c r="T59"/>
      <c r="U59"/>
      <c r="V59"/>
      <c r="W59"/>
      <c r="X59"/>
    </row>
    <row r="60" spans="1:24" ht="15">
      <c r="A60" s="316"/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Q60"/>
      <c r="R60"/>
      <c r="S60"/>
      <c r="T60"/>
      <c r="U60"/>
      <c r="V60"/>
      <c r="W60"/>
      <c r="X60"/>
    </row>
    <row r="61" spans="1:24" ht="15">
      <c r="A61" s="318"/>
      <c r="B61" s="316"/>
      <c r="C61" s="319"/>
      <c r="D61" s="319"/>
      <c r="E61" s="319"/>
      <c r="F61" s="319"/>
      <c r="G61" s="320"/>
      <c r="H61" s="319"/>
      <c r="I61" s="319"/>
      <c r="J61" s="319"/>
      <c r="K61" s="319"/>
      <c r="L61" s="316"/>
      <c r="M61" s="320"/>
      <c r="N61" s="321" t="s">
        <v>456</v>
      </c>
      <c r="O61" s="322"/>
      <c r="Q61"/>
      <c r="R61"/>
      <c r="S61"/>
      <c r="T61"/>
      <c r="U61"/>
      <c r="V61"/>
      <c r="W61"/>
      <c r="X61"/>
    </row>
    <row r="62" spans="1:24" ht="15">
      <c r="A62" s="318"/>
      <c r="B62" s="316"/>
      <c r="C62" s="319" t="s">
        <v>457</v>
      </c>
      <c r="D62" s="319"/>
      <c r="E62" s="319"/>
      <c r="F62" s="319"/>
      <c r="G62" s="323" t="s">
        <v>0</v>
      </c>
      <c r="H62" s="319"/>
      <c r="I62" s="319"/>
      <c r="J62" s="319"/>
      <c r="K62" s="319"/>
      <c r="L62" s="316"/>
      <c r="M62" s="324"/>
      <c r="N62" s="325" t="s">
        <v>453</v>
      </c>
      <c r="O62" s="322"/>
      <c r="Q62"/>
      <c r="R62"/>
      <c r="S62"/>
      <c r="T62"/>
      <c r="U62"/>
      <c r="V62"/>
      <c r="W62"/>
      <c r="X62"/>
    </row>
    <row r="63" spans="1:24" ht="15">
      <c r="A63" s="318"/>
      <c r="B63" s="316"/>
      <c r="C63" s="319"/>
      <c r="D63" s="319"/>
      <c r="E63" s="319"/>
      <c r="F63" s="319"/>
      <c r="G63" s="323" t="s">
        <v>458</v>
      </c>
      <c r="H63" s="319"/>
      <c r="I63" s="319"/>
      <c r="J63" s="319"/>
      <c r="K63" s="319"/>
      <c r="L63" s="320"/>
      <c r="M63" s="320"/>
      <c r="N63" s="316"/>
      <c r="O63" s="322"/>
      <c r="Q63"/>
      <c r="R63"/>
      <c r="S63"/>
      <c r="T63"/>
      <c r="U63"/>
      <c r="V63"/>
      <c r="W63"/>
      <c r="X63"/>
    </row>
    <row r="64" spans="1:24" ht="15">
      <c r="A64" s="318"/>
      <c r="B64" s="316"/>
      <c r="C64" s="319"/>
      <c r="D64" s="319"/>
      <c r="E64" s="319"/>
      <c r="F64" s="319"/>
      <c r="G64" s="319"/>
      <c r="H64" s="319"/>
      <c r="I64" s="319"/>
      <c r="J64" s="319"/>
      <c r="K64" s="319"/>
      <c r="L64" s="316"/>
      <c r="M64" s="320"/>
      <c r="N64" s="319" t="s">
        <v>509</v>
      </c>
      <c r="O64" s="322"/>
      <c r="Q64"/>
      <c r="R64"/>
      <c r="S64"/>
      <c r="T64"/>
      <c r="U64"/>
      <c r="V64"/>
      <c r="W64"/>
      <c r="X64"/>
    </row>
    <row r="65" spans="1:15" ht="15">
      <c r="A65" s="318"/>
      <c r="B65" s="316"/>
      <c r="C65" s="316"/>
      <c r="D65" s="316"/>
      <c r="E65" s="319"/>
      <c r="F65" s="319"/>
      <c r="G65" s="323" t="s">
        <v>28</v>
      </c>
      <c r="H65" s="319"/>
      <c r="I65" s="319"/>
      <c r="J65" s="319"/>
      <c r="K65" s="319"/>
      <c r="L65" s="319"/>
      <c r="M65" s="320"/>
      <c r="N65" s="320"/>
      <c r="O65" s="322"/>
    </row>
    <row r="66" spans="1:15" ht="15">
      <c r="A66" s="318"/>
      <c r="B66" s="316"/>
      <c r="C66" s="316"/>
      <c r="D66" s="316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22"/>
    </row>
    <row r="67" spans="1:15" ht="15.75">
      <c r="A67" s="318"/>
      <c r="B67" s="316"/>
      <c r="C67" s="319"/>
      <c r="D67" s="319"/>
      <c r="E67" s="326" t="s">
        <v>510</v>
      </c>
      <c r="F67" s="326"/>
      <c r="G67" s="316"/>
      <c r="H67" s="327"/>
      <c r="I67" s="327"/>
      <c r="J67" s="327"/>
      <c r="K67" s="327"/>
      <c r="L67" s="327"/>
      <c r="M67" s="320"/>
      <c r="N67" s="320"/>
      <c r="O67" s="322"/>
    </row>
    <row r="68" spans="1:15" ht="15.75">
      <c r="A68" s="318"/>
      <c r="B68" s="316"/>
      <c r="C68" s="319"/>
      <c r="D68" s="319"/>
      <c r="E68" s="326"/>
      <c r="F68" s="326"/>
      <c r="G68" s="316"/>
      <c r="H68" s="327"/>
      <c r="I68" s="327"/>
      <c r="J68" s="327"/>
      <c r="K68" s="327"/>
      <c r="L68" s="327"/>
      <c r="M68" s="320"/>
      <c r="N68" s="320"/>
      <c r="O68" s="322"/>
    </row>
    <row r="69" spans="1:15" ht="14.25" customHeight="1">
      <c r="A69" s="318"/>
      <c r="B69" s="316"/>
      <c r="C69" s="328">
        <v>-1</v>
      </c>
      <c r="D69" s="328">
        <v>-2</v>
      </c>
      <c r="E69" s="328">
        <v>-3</v>
      </c>
      <c r="F69" s="328">
        <v>-4</v>
      </c>
      <c r="G69" s="328">
        <v>-5</v>
      </c>
      <c r="H69" s="328">
        <v>-6</v>
      </c>
      <c r="I69" s="328">
        <v>-7</v>
      </c>
      <c r="J69" s="328">
        <v>-8</v>
      </c>
      <c r="K69" s="328">
        <v>-9</v>
      </c>
      <c r="L69" s="328">
        <v>-10</v>
      </c>
      <c r="M69" s="328">
        <v>-11</v>
      </c>
      <c r="N69" s="328">
        <v>-12</v>
      </c>
      <c r="O69" s="322"/>
    </row>
    <row r="70" spans="1:24" ht="63">
      <c r="A70" s="329" t="s">
        <v>511</v>
      </c>
      <c r="B70" s="330"/>
      <c r="C70" s="330" t="s">
        <v>512</v>
      </c>
      <c r="D70" s="331" t="s">
        <v>513</v>
      </c>
      <c r="E70" s="332" t="s">
        <v>514</v>
      </c>
      <c r="F70" s="332" t="s">
        <v>515</v>
      </c>
      <c r="G70" s="333" t="s">
        <v>516</v>
      </c>
      <c r="H70" s="332" t="s">
        <v>517</v>
      </c>
      <c r="I70" s="332" t="s">
        <v>506</v>
      </c>
      <c r="J70" s="333" t="s">
        <v>518</v>
      </c>
      <c r="K70" s="332" t="s">
        <v>519</v>
      </c>
      <c r="L70" s="334" t="s">
        <v>520</v>
      </c>
      <c r="M70" s="335" t="s">
        <v>521</v>
      </c>
      <c r="N70" s="334" t="s">
        <v>522</v>
      </c>
      <c r="O70" s="336"/>
      <c r="X70" s="256" t="s">
        <v>3</v>
      </c>
    </row>
    <row r="71" spans="1:15" ht="48.75" customHeight="1">
      <c r="A71" s="337" t="s">
        <v>523</v>
      </c>
      <c r="B71" s="338"/>
      <c r="C71" s="338"/>
      <c r="D71" s="338"/>
      <c r="E71" s="339" t="s">
        <v>5</v>
      </c>
      <c r="F71" s="340" t="s">
        <v>524</v>
      </c>
      <c r="G71" s="341" t="s">
        <v>525</v>
      </c>
      <c r="H71" s="339" t="s">
        <v>6</v>
      </c>
      <c r="I71" s="340" t="s">
        <v>526</v>
      </c>
      <c r="J71" s="341" t="s">
        <v>527</v>
      </c>
      <c r="K71" s="339" t="s">
        <v>528</v>
      </c>
      <c r="L71" s="341" t="s">
        <v>529</v>
      </c>
      <c r="M71" s="342" t="s">
        <v>530</v>
      </c>
      <c r="N71" s="343" t="s">
        <v>531</v>
      </c>
      <c r="O71" s="322"/>
    </row>
    <row r="72" spans="1:15" ht="15">
      <c r="A72" s="344"/>
      <c r="B72" s="327"/>
      <c r="C72" s="327"/>
      <c r="D72" s="327"/>
      <c r="E72" s="327"/>
      <c r="F72" s="327"/>
      <c r="G72" s="345"/>
      <c r="H72" s="327"/>
      <c r="I72" s="327"/>
      <c r="J72" s="345"/>
      <c r="K72" s="327"/>
      <c r="L72" s="345"/>
      <c r="M72" s="320"/>
      <c r="N72" s="346"/>
      <c r="O72" s="322"/>
    </row>
    <row r="73" spans="1:15" ht="15">
      <c r="A73" s="347" t="s">
        <v>13</v>
      </c>
      <c r="B73" s="316"/>
      <c r="C73" s="348" t="s">
        <v>532</v>
      </c>
      <c r="D73" s="349">
        <v>277</v>
      </c>
      <c r="E73" s="387">
        <v>20869491</v>
      </c>
      <c r="F73" s="350">
        <f>+$H$36</f>
        <v>0.07136672233119197</v>
      </c>
      <c r="G73" s="389">
        <f>E73*F73</f>
        <v>1489387.1693903098</v>
      </c>
      <c r="H73" s="352">
        <v>19460252</v>
      </c>
      <c r="I73" s="350">
        <f>+$H$49</f>
        <v>0.11551664183260268</v>
      </c>
      <c r="J73" s="392">
        <f>H73*I73</f>
        <v>2247982.96025619</v>
      </c>
      <c r="K73" s="393">
        <v>526266</v>
      </c>
      <c r="L73" s="392">
        <f>G73+J73+K73</f>
        <v>4263636.1296465</v>
      </c>
      <c r="M73" s="394">
        <v>-307047</v>
      </c>
      <c r="N73" s="389">
        <f>L73+M73</f>
        <v>3956589.1296464996</v>
      </c>
      <c r="O73" s="354"/>
    </row>
    <row r="74" spans="1:15" ht="15">
      <c r="A74" s="347" t="s">
        <v>533</v>
      </c>
      <c r="B74" s="316"/>
      <c r="C74" s="348" t="s">
        <v>534</v>
      </c>
      <c r="D74" s="349">
        <v>279</v>
      </c>
      <c r="E74" s="388">
        <v>10631700</v>
      </c>
      <c r="F74" s="350">
        <f aca="true" t="shared" si="0" ref="F74:F80">+$H$36</f>
        <v>0.07136672233119197</v>
      </c>
      <c r="G74" s="389">
        <f aca="true" t="shared" si="1" ref="G74:G80">E74*F74</f>
        <v>758749.5818085336</v>
      </c>
      <c r="H74" s="352">
        <v>10363274</v>
      </c>
      <c r="I74" s="350">
        <f aca="true" t="shared" si="2" ref="I74:I80">+$H$49</f>
        <v>0.11551664183260268</v>
      </c>
      <c r="J74" s="392">
        <f aca="true" t="shared" si="3" ref="J74:J80">H74*I74</f>
        <v>1197130.6108711238</v>
      </c>
      <c r="K74" s="393">
        <v>268425</v>
      </c>
      <c r="L74" s="392">
        <f aca="true" t="shared" si="4" ref="L74:L80">G74+J74+K74</f>
        <v>2224305.1926796576</v>
      </c>
      <c r="M74" s="394">
        <v>-336031</v>
      </c>
      <c r="N74" s="389">
        <f aca="true" t="shared" si="5" ref="N74:N80">L74+M74</f>
        <v>1888274.1926796576</v>
      </c>
      <c r="O74" s="354"/>
    </row>
    <row r="75" spans="1:15" ht="15">
      <c r="A75" s="347" t="s">
        <v>535</v>
      </c>
      <c r="B75" s="316"/>
      <c r="C75" s="348" t="s">
        <v>536</v>
      </c>
      <c r="D75" s="355" t="s">
        <v>537</v>
      </c>
      <c r="E75" s="388">
        <v>11881235</v>
      </c>
      <c r="F75" s="350">
        <f t="shared" si="0"/>
        <v>0.07136672233119197</v>
      </c>
      <c r="G75" s="389">
        <f t="shared" si="1"/>
        <v>847924.7991966397</v>
      </c>
      <c r="H75" s="352">
        <v>11284201</v>
      </c>
      <c r="I75" s="350">
        <f t="shared" si="2"/>
        <v>0.11551664183260268</v>
      </c>
      <c r="J75" s="392">
        <f t="shared" si="3"/>
        <v>1303513.005284097</v>
      </c>
      <c r="K75" s="393">
        <v>298219</v>
      </c>
      <c r="L75" s="392">
        <f t="shared" si="4"/>
        <v>2449656.8044807366</v>
      </c>
      <c r="M75" s="394">
        <v>-808281</v>
      </c>
      <c r="N75" s="389">
        <f t="shared" si="5"/>
        <v>1641375.8044807366</v>
      </c>
      <c r="O75" s="354"/>
    </row>
    <row r="76" spans="1:15" ht="15">
      <c r="A76" s="347" t="s">
        <v>538</v>
      </c>
      <c r="B76" s="316"/>
      <c r="C76" s="348" t="s">
        <v>539</v>
      </c>
      <c r="D76" s="355" t="s">
        <v>540</v>
      </c>
      <c r="E76" s="388">
        <v>30193381</v>
      </c>
      <c r="F76" s="350">
        <f t="shared" si="0"/>
        <v>0.07136672233119197</v>
      </c>
      <c r="G76" s="389">
        <f t="shared" si="1"/>
        <v>2154802.6380668874</v>
      </c>
      <c r="H76" s="352">
        <v>30158982</v>
      </c>
      <c r="I76" s="350">
        <f t="shared" si="2"/>
        <v>0.11551664183260268</v>
      </c>
      <c r="J76" s="392">
        <f t="shared" si="3"/>
        <v>3483864.3217299115</v>
      </c>
      <c r="K76" s="393">
        <v>223588</v>
      </c>
      <c r="L76" s="392">
        <f t="shared" si="4"/>
        <v>5862254.959796799</v>
      </c>
      <c r="M76" s="394">
        <v>307582</v>
      </c>
      <c r="N76" s="389">
        <f t="shared" si="5"/>
        <v>6169836.959796799</v>
      </c>
      <c r="O76" s="354"/>
    </row>
    <row r="77" spans="1:15" ht="15">
      <c r="A77" s="347" t="s">
        <v>541</v>
      </c>
      <c r="B77" s="316"/>
      <c r="C77" s="348" t="s">
        <v>542</v>
      </c>
      <c r="D77" s="355" t="s">
        <v>543</v>
      </c>
      <c r="E77" s="388">
        <v>14725128</v>
      </c>
      <c r="F77" s="350">
        <f t="shared" si="0"/>
        <v>0.07136672233119197</v>
      </c>
      <c r="G77" s="389">
        <f t="shared" si="1"/>
        <v>1050884.12126726</v>
      </c>
      <c r="H77" s="352">
        <v>14725128</v>
      </c>
      <c r="I77" s="350">
        <f t="shared" si="2"/>
        <v>0.11551664183260268</v>
      </c>
      <c r="J77" s="392">
        <f t="shared" si="3"/>
        <v>1700997.337115229</v>
      </c>
      <c r="K77" s="393">
        <v>0</v>
      </c>
      <c r="L77" s="392">
        <f t="shared" si="4"/>
        <v>2751881.458382489</v>
      </c>
      <c r="M77" s="394">
        <v>364257</v>
      </c>
      <c r="N77" s="389">
        <f t="shared" si="5"/>
        <v>3116138.458382489</v>
      </c>
      <c r="O77" s="354"/>
    </row>
    <row r="78" spans="1:15" ht="15">
      <c r="A78" s="347" t="s">
        <v>544</v>
      </c>
      <c r="B78" s="316"/>
      <c r="C78" s="356" t="s">
        <v>545</v>
      </c>
      <c r="D78" s="391">
        <v>2634</v>
      </c>
      <c r="E78" s="390">
        <v>1450304</v>
      </c>
      <c r="F78" s="350">
        <f t="shared" si="0"/>
        <v>0.07136672233119197</v>
      </c>
      <c r="G78" s="389">
        <f t="shared" si="1"/>
        <v>103503.44286381704</v>
      </c>
      <c r="H78" s="352">
        <v>1438926</v>
      </c>
      <c r="I78" s="350">
        <f t="shared" si="2"/>
        <v>0.11551664183260268</v>
      </c>
      <c r="J78" s="392">
        <f t="shared" si="3"/>
        <v>166219.89936561964</v>
      </c>
      <c r="K78" s="393">
        <v>42264</v>
      </c>
      <c r="L78" s="392">
        <f t="shared" si="4"/>
        <v>311987.3422294367</v>
      </c>
      <c r="M78" s="394"/>
      <c r="N78" s="389">
        <f t="shared" si="5"/>
        <v>311987.3422294367</v>
      </c>
      <c r="O78" s="354"/>
    </row>
    <row r="79" spans="1:15" ht="15">
      <c r="A79" s="347" t="s">
        <v>546</v>
      </c>
      <c r="B79" s="316"/>
      <c r="C79" s="348" t="s">
        <v>547</v>
      </c>
      <c r="D79" s="358">
        <v>1025</v>
      </c>
      <c r="E79" s="388">
        <v>0</v>
      </c>
      <c r="F79" s="350">
        <f t="shared" si="0"/>
        <v>0.07136672233119197</v>
      </c>
      <c r="G79" s="389">
        <f t="shared" si="1"/>
        <v>0</v>
      </c>
      <c r="H79" s="352">
        <v>0</v>
      </c>
      <c r="I79" s="350">
        <f t="shared" si="2"/>
        <v>0.11551664183260268</v>
      </c>
      <c r="J79" s="392">
        <f t="shared" si="3"/>
        <v>0</v>
      </c>
      <c r="K79" s="393">
        <v>0</v>
      </c>
      <c r="L79" s="392">
        <f t="shared" si="4"/>
        <v>0</v>
      </c>
      <c r="M79" s="394">
        <v>0</v>
      </c>
      <c r="N79" s="389">
        <f t="shared" si="5"/>
        <v>0</v>
      </c>
      <c r="O79" s="354"/>
    </row>
    <row r="80" spans="1:15" ht="15">
      <c r="A80" s="347" t="s">
        <v>548</v>
      </c>
      <c r="B80" s="316"/>
      <c r="C80" s="359" t="s">
        <v>549</v>
      </c>
      <c r="D80" s="357">
        <v>3373</v>
      </c>
      <c r="E80" s="388">
        <v>0</v>
      </c>
      <c r="F80" s="350">
        <f t="shared" si="0"/>
        <v>0.07136672233119197</v>
      </c>
      <c r="G80" s="389">
        <f t="shared" si="1"/>
        <v>0</v>
      </c>
      <c r="H80" s="352">
        <v>0</v>
      </c>
      <c r="I80" s="350">
        <f t="shared" si="2"/>
        <v>0.11551664183260268</v>
      </c>
      <c r="J80" s="392">
        <f t="shared" si="3"/>
        <v>0</v>
      </c>
      <c r="K80" s="393">
        <v>0</v>
      </c>
      <c r="L80" s="392">
        <f t="shared" si="4"/>
        <v>0</v>
      </c>
      <c r="M80" s="394">
        <v>0</v>
      </c>
      <c r="N80" s="389">
        <f t="shared" si="5"/>
        <v>0</v>
      </c>
      <c r="O80" s="354"/>
    </row>
    <row r="81" spans="1:24" ht="15">
      <c r="A81"/>
      <c r="B81"/>
      <c r="C81"/>
      <c r="D81"/>
      <c r="E81"/>
      <c r="F81"/>
      <c r="G81"/>
      <c r="H81"/>
      <c r="I81"/>
      <c r="J81"/>
      <c r="K81"/>
      <c r="L81"/>
      <c r="M81" s="395"/>
      <c r="N81"/>
      <c r="O81"/>
      <c r="P81"/>
      <c r="Q81"/>
      <c r="R81"/>
      <c r="S81"/>
      <c r="T81"/>
      <c r="U81"/>
      <c r="V81"/>
      <c r="W81"/>
      <c r="X81"/>
    </row>
    <row r="82" spans="1:24" ht="15">
      <c r="A82" s="360"/>
      <c r="B82" s="361"/>
      <c r="C82" s="362"/>
      <c r="D82" s="362"/>
      <c r="E82" s="362"/>
      <c r="F82" s="362"/>
      <c r="G82" s="363"/>
      <c r="H82" s="362"/>
      <c r="I82" s="362"/>
      <c r="J82" s="363"/>
      <c r="K82" s="362"/>
      <c r="L82" s="363"/>
      <c r="M82" s="362"/>
      <c r="N82" s="363"/>
      <c r="O82" s="354"/>
      <c r="P82"/>
      <c r="Q82"/>
      <c r="R82"/>
      <c r="S82"/>
      <c r="T82"/>
      <c r="U82"/>
      <c r="V82"/>
      <c r="W82"/>
      <c r="X82"/>
    </row>
    <row r="83" spans="1:24" ht="15">
      <c r="A83" s="364" t="s">
        <v>550</v>
      </c>
      <c r="B83" s="365"/>
      <c r="C83" s="319" t="s">
        <v>551</v>
      </c>
      <c r="D83" s="319"/>
      <c r="E83" s="366"/>
      <c r="F83" s="366"/>
      <c r="G83" s="320"/>
      <c r="H83" s="320"/>
      <c r="I83" s="320"/>
      <c r="J83" s="320"/>
      <c r="K83" s="320"/>
      <c r="L83" s="367">
        <f>SUM(L73:L82)</f>
        <v>17863721.887215618</v>
      </c>
      <c r="M83" s="367">
        <f>SUM(M73:M82)</f>
        <v>-779520</v>
      </c>
      <c r="N83" s="367">
        <f>SUM(N73:N82)</f>
        <v>17084201.887215618</v>
      </c>
      <c r="O83" s="354"/>
      <c r="P83"/>
      <c r="Q83"/>
      <c r="R83"/>
      <c r="S83"/>
      <c r="T83"/>
      <c r="U83"/>
      <c r="V83"/>
      <c r="W83"/>
      <c r="X83"/>
    </row>
    <row r="84" spans="1:24" ht="15">
      <c r="A84" s="364"/>
      <c r="B84" s="365"/>
      <c r="C84" s="319"/>
      <c r="D84" s="319"/>
      <c r="E84" s="366"/>
      <c r="F84" s="366"/>
      <c r="G84" s="320"/>
      <c r="H84" s="320"/>
      <c r="I84" s="320"/>
      <c r="J84" s="320"/>
      <c r="K84" s="320"/>
      <c r="L84" s="367"/>
      <c r="M84" s="367"/>
      <c r="N84" s="367"/>
      <c r="O84" s="354"/>
      <c r="P84"/>
      <c r="Q84"/>
      <c r="R84"/>
      <c r="S84"/>
      <c r="T84"/>
      <c r="U84"/>
      <c r="V84"/>
      <c r="W84"/>
      <c r="X84"/>
    </row>
    <row r="85" spans="1:24" ht="15">
      <c r="A85" s="364"/>
      <c r="B85" s="365"/>
      <c r="C85" s="319"/>
      <c r="D85" s="319"/>
      <c r="E85" s="366"/>
      <c r="F85" s="366"/>
      <c r="G85" s="320"/>
      <c r="H85" s="320"/>
      <c r="I85" s="320"/>
      <c r="J85" s="320"/>
      <c r="K85" s="320"/>
      <c r="L85" s="367"/>
      <c r="M85" s="367"/>
      <c r="N85" s="367"/>
      <c r="O85" s="354"/>
      <c r="P85"/>
      <c r="Q85"/>
      <c r="R85"/>
      <c r="S85"/>
      <c r="T85"/>
      <c r="U85"/>
      <c r="V85"/>
      <c r="W85"/>
      <c r="X85"/>
    </row>
    <row r="86" spans="1:24" ht="45">
      <c r="A86" s="337" t="s">
        <v>552</v>
      </c>
      <c r="B86" s="338"/>
      <c r="C86" s="338"/>
      <c r="D86" s="338"/>
      <c r="E86" s="339" t="s">
        <v>5</v>
      </c>
      <c r="F86" s="340" t="s">
        <v>553</v>
      </c>
      <c r="G86" s="341" t="s">
        <v>525</v>
      </c>
      <c r="H86" s="339" t="s">
        <v>6</v>
      </c>
      <c r="I86" s="340" t="s">
        <v>554</v>
      </c>
      <c r="J86" s="341" t="s">
        <v>527</v>
      </c>
      <c r="K86" s="339" t="s">
        <v>528</v>
      </c>
      <c r="L86" s="341" t="s">
        <v>529</v>
      </c>
      <c r="M86" s="342" t="s">
        <v>530</v>
      </c>
      <c r="N86" s="343" t="s">
        <v>531</v>
      </c>
      <c r="O86" s="354"/>
      <c r="P86"/>
      <c r="Q86"/>
      <c r="R86"/>
      <c r="S86"/>
      <c r="T86"/>
      <c r="U86"/>
      <c r="V86"/>
      <c r="W86"/>
      <c r="X86"/>
    </row>
    <row r="87" spans="1:24" ht="15">
      <c r="A87" s="344"/>
      <c r="B87" s="327"/>
      <c r="C87" s="327"/>
      <c r="D87" s="327"/>
      <c r="E87" s="327"/>
      <c r="F87" s="327"/>
      <c r="G87" s="345"/>
      <c r="H87" s="327"/>
      <c r="I87" s="327"/>
      <c r="J87" s="345"/>
      <c r="K87" s="327"/>
      <c r="L87" s="345"/>
      <c r="M87" s="320"/>
      <c r="N87" s="346"/>
      <c r="O87" s="354"/>
      <c r="P87"/>
      <c r="Q87"/>
      <c r="R87"/>
      <c r="S87"/>
      <c r="T87"/>
      <c r="U87"/>
      <c r="V87"/>
      <c r="W87"/>
      <c r="X87"/>
    </row>
    <row r="88" spans="1:24" ht="15">
      <c r="A88" s="368" t="s">
        <v>555</v>
      </c>
      <c r="B88" s="316"/>
      <c r="C88" s="369" t="s">
        <v>556</v>
      </c>
      <c r="D88" s="370"/>
      <c r="E88" s="352">
        <v>0</v>
      </c>
      <c r="F88" s="350">
        <f>+$L$36</f>
        <v>0.05741246927674132</v>
      </c>
      <c r="G88" s="351">
        <v>0</v>
      </c>
      <c r="H88" s="352">
        <v>0</v>
      </c>
      <c r="I88" s="350">
        <f>+$L$49</f>
        <v>0.11180890719840399</v>
      </c>
      <c r="J88" s="351">
        <v>0</v>
      </c>
      <c r="K88" s="352">
        <v>0</v>
      </c>
      <c r="L88" s="351">
        <v>0</v>
      </c>
      <c r="M88" s="352">
        <v>0</v>
      </c>
      <c r="N88" s="353">
        <v>0</v>
      </c>
      <c r="O88" s="354"/>
      <c r="P88"/>
      <c r="Q88"/>
      <c r="R88"/>
      <c r="S88"/>
      <c r="T88"/>
      <c r="U88"/>
      <c r="V88"/>
      <c r="W88"/>
      <c r="X88"/>
    </row>
    <row r="89" spans="1:24" ht="15">
      <c r="A89" s="368" t="s">
        <v>557</v>
      </c>
      <c r="B89" s="316"/>
      <c r="C89" s="316"/>
      <c r="D89" s="370"/>
      <c r="E89" s="352">
        <v>0</v>
      </c>
      <c r="F89" s="350">
        <f>+$L$36</f>
        <v>0.05741246927674132</v>
      </c>
      <c r="G89" s="351">
        <v>0</v>
      </c>
      <c r="H89" s="352">
        <v>0</v>
      </c>
      <c r="I89" s="350">
        <f>+$L$49</f>
        <v>0.11180890719840399</v>
      </c>
      <c r="J89" s="351">
        <v>0</v>
      </c>
      <c r="K89" s="352">
        <v>0</v>
      </c>
      <c r="L89" s="351">
        <v>0</v>
      </c>
      <c r="M89" s="352">
        <v>0</v>
      </c>
      <c r="N89" s="353">
        <v>0</v>
      </c>
      <c r="O89" s="354"/>
      <c r="P89"/>
      <c r="Q89"/>
      <c r="R89"/>
      <c r="S89"/>
      <c r="T89"/>
      <c r="U89"/>
      <c r="V89"/>
      <c r="W89"/>
      <c r="X89"/>
    </row>
    <row r="90" spans="1:24" ht="15">
      <c r="A90" s="368" t="s">
        <v>558</v>
      </c>
      <c r="B90" s="316"/>
      <c r="C90" s="316"/>
      <c r="D90" s="370"/>
      <c r="E90" s="352">
        <v>0</v>
      </c>
      <c r="F90" s="350">
        <f>+$L$36</f>
        <v>0.05741246927674132</v>
      </c>
      <c r="G90" s="351">
        <v>0</v>
      </c>
      <c r="H90" s="352">
        <v>0</v>
      </c>
      <c r="I90" s="350">
        <f>+$L$49</f>
        <v>0.11180890719840399</v>
      </c>
      <c r="J90" s="351">
        <v>0</v>
      </c>
      <c r="K90" s="352">
        <v>0</v>
      </c>
      <c r="L90" s="351">
        <v>0</v>
      </c>
      <c r="M90" s="352">
        <v>0</v>
      </c>
      <c r="N90" s="353">
        <v>0</v>
      </c>
      <c r="O90" s="354"/>
      <c r="P90"/>
      <c r="Q90"/>
      <c r="R90"/>
      <c r="S90"/>
      <c r="T90"/>
      <c r="U90"/>
      <c r="V90"/>
      <c r="W90"/>
      <c r="X90"/>
    </row>
    <row r="91" spans="1:24" ht="15">
      <c r="A91" s="347"/>
      <c r="B91" s="316"/>
      <c r="C91" s="354"/>
      <c r="D91" s="371"/>
      <c r="E91" s="354"/>
      <c r="F91" s="354"/>
      <c r="G91" s="372"/>
      <c r="H91" s="354"/>
      <c r="I91" s="354"/>
      <c r="J91" s="372"/>
      <c r="K91" s="354"/>
      <c r="L91" s="372"/>
      <c r="M91" s="354"/>
      <c r="N91" s="372"/>
      <c r="O91" s="354"/>
      <c r="P91"/>
      <c r="Q91"/>
      <c r="R91"/>
      <c r="S91"/>
      <c r="T91"/>
      <c r="U91"/>
      <c r="V91"/>
      <c r="W91"/>
      <c r="X91"/>
    </row>
    <row r="92" spans="1:24" ht="15">
      <c r="A92" s="360"/>
      <c r="B92" s="361"/>
      <c r="C92" s="362"/>
      <c r="D92" s="362"/>
      <c r="E92" s="362"/>
      <c r="F92" s="362"/>
      <c r="G92" s="363"/>
      <c r="H92" s="362"/>
      <c r="I92" s="362"/>
      <c r="J92" s="363"/>
      <c r="K92" s="362"/>
      <c r="L92" s="363"/>
      <c r="M92" s="362"/>
      <c r="N92" s="363"/>
      <c r="O92" s="354"/>
      <c r="P92"/>
      <c r="Q92"/>
      <c r="R92"/>
      <c r="S92"/>
      <c r="T92"/>
      <c r="U92"/>
      <c r="V92"/>
      <c r="W92"/>
      <c r="X92"/>
    </row>
    <row r="93" spans="1:24" ht="15">
      <c r="A93" s="364" t="s">
        <v>559</v>
      </c>
      <c r="B93" s="365"/>
      <c r="C93" s="319" t="s">
        <v>560</v>
      </c>
      <c r="D93" s="319"/>
      <c r="E93" s="366"/>
      <c r="F93" s="366"/>
      <c r="G93" s="320"/>
      <c r="H93" s="320"/>
      <c r="I93" s="320"/>
      <c r="J93" s="320"/>
      <c r="K93" s="320"/>
      <c r="L93" s="367">
        <v>0</v>
      </c>
      <c r="M93" s="367">
        <v>0</v>
      </c>
      <c r="N93" s="367">
        <v>0</v>
      </c>
      <c r="O93" s="354"/>
      <c r="P93"/>
      <c r="Q93"/>
      <c r="R93"/>
      <c r="S93"/>
      <c r="T93"/>
      <c r="U93"/>
      <c r="V93"/>
      <c r="W93"/>
      <c r="X93"/>
    </row>
    <row r="94" spans="1:24" ht="15">
      <c r="A94" s="364"/>
      <c r="B94" s="365"/>
      <c r="C94" s="319"/>
      <c r="D94" s="319"/>
      <c r="E94" s="366"/>
      <c r="F94" s="366"/>
      <c r="G94" s="320"/>
      <c r="H94" s="320"/>
      <c r="I94" s="320"/>
      <c r="J94" s="320"/>
      <c r="K94" s="320"/>
      <c r="L94" s="367"/>
      <c r="M94" s="367"/>
      <c r="N94" s="367"/>
      <c r="O94" s="354"/>
      <c r="P94"/>
      <c r="Q94"/>
      <c r="R94"/>
      <c r="S94"/>
      <c r="T94"/>
      <c r="U94"/>
      <c r="V94"/>
      <c r="W94"/>
      <c r="X94"/>
    </row>
    <row r="95" spans="1:24" ht="15">
      <c r="A95" s="373">
        <v>5</v>
      </c>
      <c r="B95" s="354"/>
      <c r="C95" s="319" t="s">
        <v>561</v>
      </c>
      <c r="D95" s="354"/>
      <c r="E95" s="354"/>
      <c r="F95" s="354"/>
      <c r="G95" s="354"/>
      <c r="H95" s="354"/>
      <c r="I95" s="354"/>
      <c r="J95" s="354"/>
      <c r="K95" s="354"/>
      <c r="L95" s="367">
        <f>L83+L93</f>
        <v>17863721.887215618</v>
      </c>
      <c r="M95" s="354"/>
      <c r="N95" s="367">
        <f>N83+N93</f>
        <v>17084201.887215618</v>
      </c>
      <c r="O95" s="354"/>
      <c r="P95"/>
      <c r="Q95"/>
      <c r="R95"/>
      <c r="S95"/>
      <c r="T95"/>
      <c r="U95"/>
      <c r="V95"/>
      <c r="W95"/>
      <c r="X95"/>
    </row>
    <row r="96" spans="1:24" ht="15">
      <c r="A96" s="354"/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/>
      <c r="Q96"/>
      <c r="R96"/>
      <c r="S96"/>
      <c r="T96"/>
      <c r="U96"/>
      <c r="V96"/>
      <c r="W96"/>
      <c r="X96"/>
    </row>
    <row r="97" spans="1:24" ht="15">
      <c r="A97" s="354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/>
      <c r="Q97"/>
      <c r="R97"/>
      <c r="S97"/>
      <c r="T97"/>
      <c r="U97"/>
      <c r="V97"/>
      <c r="W97"/>
      <c r="X97"/>
    </row>
    <row r="98" spans="1:24" ht="15">
      <c r="A98" s="319" t="s">
        <v>16</v>
      </c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/>
      <c r="Q98"/>
      <c r="R98"/>
      <c r="S98"/>
      <c r="T98"/>
      <c r="U98"/>
      <c r="V98"/>
      <c r="W98"/>
      <c r="X98"/>
    </row>
    <row r="99" spans="1:24" ht="15.75" thickBot="1">
      <c r="A99" s="374" t="s">
        <v>17</v>
      </c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/>
      <c r="Q99"/>
      <c r="R99"/>
      <c r="S99"/>
      <c r="T99"/>
      <c r="U99"/>
      <c r="V99"/>
      <c r="W99"/>
      <c r="X99"/>
    </row>
    <row r="100" spans="1:24" ht="15">
      <c r="A100" s="375" t="s">
        <v>18</v>
      </c>
      <c r="B100" s="359"/>
      <c r="C100" s="400" t="s">
        <v>562</v>
      </c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54"/>
      <c r="P100"/>
      <c r="Q100"/>
      <c r="R100"/>
      <c r="S100"/>
      <c r="T100"/>
      <c r="U100"/>
      <c r="V100"/>
      <c r="W100"/>
      <c r="X100"/>
    </row>
    <row r="101" spans="1:24" ht="15">
      <c r="A101" s="375" t="s">
        <v>19</v>
      </c>
      <c r="B101" s="359"/>
      <c r="C101" s="399" t="s">
        <v>563</v>
      </c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54"/>
      <c r="P101"/>
      <c r="Q101"/>
      <c r="R101"/>
      <c r="S101"/>
      <c r="T101"/>
      <c r="U101"/>
      <c r="V101"/>
      <c r="W101"/>
      <c r="X101"/>
    </row>
    <row r="102" spans="1:24" ht="31.5" customHeight="1">
      <c r="A102" s="376" t="s">
        <v>20</v>
      </c>
      <c r="B102" s="359"/>
      <c r="C102" s="401" t="s">
        <v>568</v>
      </c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354"/>
      <c r="P102"/>
      <c r="Q102"/>
      <c r="R102"/>
      <c r="S102"/>
      <c r="T102"/>
      <c r="U102"/>
      <c r="V102"/>
      <c r="W102"/>
      <c r="X102"/>
    </row>
    <row r="103" spans="1:24" ht="18" customHeight="1">
      <c r="A103" s="375" t="s">
        <v>21</v>
      </c>
      <c r="B103" s="359"/>
      <c r="C103" s="402" t="s">
        <v>569</v>
      </c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354"/>
      <c r="P103"/>
      <c r="Q103"/>
      <c r="R103"/>
      <c r="S103"/>
      <c r="T103"/>
      <c r="U103"/>
      <c r="V103"/>
      <c r="W103"/>
      <c r="X103"/>
    </row>
    <row r="104" spans="1:24" ht="15">
      <c r="A104" s="375" t="s">
        <v>22</v>
      </c>
      <c r="B104" s="377"/>
      <c r="C104" s="403" t="s">
        <v>564</v>
      </c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54"/>
      <c r="P104"/>
      <c r="Q104"/>
      <c r="R104"/>
      <c r="S104"/>
      <c r="T104"/>
      <c r="U104"/>
      <c r="V104"/>
      <c r="W104"/>
      <c r="X104"/>
    </row>
    <row r="105" spans="1:24" ht="15">
      <c r="A105" s="375" t="s">
        <v>23</v>
      </c>
      <c r="B105" s="377"/>
      <c r="C105" s="399" t="s">
        <v>565</v>
      </c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54"/>
      <c r="P105"/>
      <c r="Q105"/>
      <c r="R105"/>
      <c r="S105"/>
      <c r="T105"/>
      <c r="U105"/>
      <c r="V105"/>
      <c r="W105"/>
      <c r="X105"/>
    </row>
    <row r="106" spans="1:24" ht="15">
      <c r="A106" s="375" t="s">
        <v>24</v>
      </c>
      <c r="B106" s="377"/>
      <c r="C106" s="399" t="s">
        <v>566</v>
      </c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54"/>
      <c r="P106"/>
      <c r="Q106"/>
      <c r="R106"/>
      <c r="S106"/>
      <c r="T106"/>
      <c r="U106"/>
      <c r="V106"/>
      <c r="W106"/>
      <c r="X106"/>
    </row>
    <row r="107" spans="1:24" ht="17.25" customHeight="1">
      <c r="A107" s="378" t="s">
        <v>332</v>
      </c>
      <c r="B107" s="354"/>
      <c r="C107" s="400" t="s">
        <v>567</v>
      </c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54"/>
      <c r="P107"/>
      <c r="Q107"/>
      <c r="R107"/>
      <c r="S107"/>
      <c r="T107"/>
      <c r="U107"/>
      <c r="V107"/>
      <c r="W107"/>
      <c r="X107"/>
    </row>
    <row r="108" spans="1:24" ht="15.75">
      <c r="A108" s="310"/>
      <c r="B108" s="294"/>
      <c r="C108" s="379"/>
      <c r="D108" s="380"/>
      <c r="E108" s="366"/>
      <c r="F108" s="366"/>
      <c r="G108" s="320"/>
      <c r="H108" s="319"/>
      <c r="I108" s="319"/>
      <c r="J108" s="381"/>
      <c r="K108" s="319"/>
      <c r="L108" s="316"/>
      <c r="M108" s="320"/>
      <c r="N108" s="312"/>
      <c r="O108" s="354"/>
      <c r="P108"/>
      <c r="Q108"/>
      <c r="R108"/>
      <c r="S108"/>
      <c r="T108"/>
      <c r="U108"/>
      <c r="V108"/>
      <c r="W108"/>
      <c r="X108"/>
    </row>
    <row r="109" spans="1:24" ht="15.75">
      <c r="A109" s="310"/>
      <c r="B109" s="294"/>
      <c r="C109" s="379"/>
      <c r="D109" s="380"/>
      <c r="E109" s="366"/>
      <c r="F109" s="366"/>
      <c r="G109" s="320"/>
      <c r="H109" s="319"/>
      <c r="I109" s="319"/>
      <c r="J109" s="381"/>
      <c r="K109" s="319"/>
      <c r="L109" s="316"/>
      <c r="M109" s="320"/>
      <c r="N109" s="382"/>
      <c r="O109" s="354"/>
      <c r="P109"/>
      <c r="Q109"/>
      <c r="R109"/>
      <c r="S109"/>
      <c r="T109"/>
      <c r="U109"/>
      <c r="V109"/>
      <c r="W109"/>
      <c r="X109"/>
    </row>
    <row r="110" spans="1:24" ht="15">
      <c r="A110" s="316"/>
      <c r="B110" s="316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/>
      <c r="Q110"/>
      <c r="R110"/>
      <c r="S110"/>
      <c r="T110"/>
      <c r="U110"/>
      <c r="V110"/>
      <c r="W110"/>
      <c r="X110"/>
    </row>
  </sheetData>
  <sheetProtection/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rintOptions/>
  <pageMargins left="0.2" right="0.2" top="0.75" bottom="0.5" header="0.3" footer="0.3"/>
  <pageSetup fitToHeight="2" horizontalDpi="600" verticalDpi="600" orientation="landscape" scale="47" r:id="rId1"/>
  <rowBreaks count="1" manualBreakCount="1"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Hodgson</dc:creator>
  <cp:keywords/>
  <dc:description/>
  <cp:lastModifiedBy>tbradshaw</cp:lastModifiedBy>
  <cp:lastPrinted>2012-12-13T17:33:35Z</cp:lastPrinted>
  <dcterms:created xsi:type="dcterms:W3CDTF">2009-07-01T14:12:33Z</dcterms:created>
  <dcterms:modified xsi:type="dcterms:W3CDTF">2012-12-26T17:26:26Z</dcterms:modified>
  <cp:category/>
  <cp:version/>
  <cp:contentType/>
  <cp:contentStatus/>
</cp:coreProperties>
</file>