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4840" windowHeight="6375" tabRatio="689" activeTab="4"/>
  </bookViews>
  <sheets>
    <sheet name="Forward Rate TO Support Data PA" sheetId="3" r:id="rId1"/>
    <sheet name="CWIP &amp; Prefunded AFUDC- 2012 PA" sheetId="6" r:id="rId2"/>
    <sheet name="Project Descriptions TS" sheetId="7" r:id="rId3"/>
    <sheet name="Adjmt to Gross &amp; Net Plant TS" sheetId="8" r:id="rId4"/>
    <sheet name="2012 True Up Allocation" sheetId="9" r:id="rId5"/>
  </sheets>
  <definedNames>
    <definedName name="_xlnm.Print_Area" localSheetId="1">'CWIP &amp; Prefunded AFUDC- 2012 PA'!$A$1:$G$197</definedName>
    <definedName name="_xlnm.Print_Area" localSheetId="0">'Forward Rate TO Support Data PA'!$A$1:$H$67</definedName>
    <definedName name="_xlnm.Print_Area" localSheetId="2">'Project Descriptions TS'!$A$1:$F$19</definedName>
  </definedNames>
  <calcPr calcId="145621"/>
</workbook>
</file>

<file path=xl/calcChain.xml><?xml version="1.0" encoding="utf-8"?>
<calcChain xmlns="http://schemas.openxmlformats.org/spreadsheetml/2006/main">
  <c r="F18" i="9" l="1"/>
  <c r="D17" i="9"/>
  <c r="E17" i="9" s="1"/>
  <c r="G17" i="9" s="1"/>
  <c r="E16" i="9"/>
  <c r="G16" i="9" s="1"/>
  <c r="D16" i="9"/>
  <c r="D15" i="9"/>
  <c r="E15" i="9" s="1"/>
  <c r="G15" i="9" s="1"/>
  <c r="D14" i="9"/>
  <c r="E14" i="9" s="1"/>
  <c r="G14" i="9" s="1"/>
  <c r="D13" i="9"/>
  <c r="E13" i="9" s="1"/>
  <c r="G13" i="9" s="1"/>
  <c r="G18" i="9" l="1"/>
  <c r="G21" i="9" s="1"/>
  <c r="H14" i="9" s="1"/>
  <c r="I14" i="9" s="1"/>
  <c r="C17" i="6"/>
  <c r="H16" i="9" l="1"/>
  <c r="I16" i="9" s="1"/>
  <c r="H13" i="9"/>
  <c r="H17" i="9"/>
  <c r="I17" i="9" s="1"/>
  <c r="H15" i="9"/>
  <c r="I15" i="9" s="1"/>
  <c r="C179" i="6"/>
  <c r="E179" i="6"/>
  <c r="D179" i="6"/>
  <c r="H18" i="9" l="1"/>
  <c r="I13" i="9"/>
  <c r="I18" i="9" s="1"/>
  <c r="D180" i="6"/>
  <c r="D119" i="6" l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B10" i="6"/>
  <c r="B11" i="6" s="1"/>
  <c r="B12" i="6" s="1"/>
  <c r="B13" i="6" l="1"/>
  <c r="B14" i="6" s="1"/>
  <c r="B15" i="6" s="1"/>
  <c r="B16" i="6" s="1"/>
  <c r="B17" i="6" s="1"/>
  <c r="B18" i="6" s="1"/>
  <c r="G64" i="3"/>
  <c r="F64" i="3"/>
  <c r="B19" i="6" l="1"/>
  <c r="B20" i="6" s="1"/>
  <c r="B21" i="6" s="1"/>
  <c r="E16" i="6" l="1"/>
  <c r="E17" i="6" s="1"/>
  <c r="C31" i="3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64" i="3" s="1"/>
  <c r="C16" i="3" l="1"/>
  <c r="G16" i="3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F16" i="3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D16" i="3"/>
  <c r="D17" i="3" s="1"/>
  <c r="D18" i="3" s="1"/>
  <c r="D19" i="3" s="1"/>
  <c r="C77" i="6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10" i="6"/>
  <c r="C101" i="6" s="1"/>
  <c r="D20" i="3" l="1"/>
  <c r="D21" i="3" s="1"/>
  <c r="D22" i="3" s="1"/>
  <c r="D23" i="3" s="1"/>
  <c r="D24" i="3" s="1"/>
  <c r="D25" i="3" s="1"/>
  <c r="D64" i="3"/>
  <c r="C11" i="6"/>
  <c r="C102" i="6" s="1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B77" i="6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C56" i="6"/>
  <c r="B56" i="6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C139" i="6" l="1"/>
  <c r="C57" i="6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12" i="6"/>
  <c r="D26" i="3"/>
  <c r="D27" i="3" s="1"/>
  <c r="B138" i="6"/>
  <c r="D76" i="6"/>
  <c r="F76" i="6" s="1"/>
  <c r="D55" i="6"/>
  <c r="F55" i="6" s="1"/>
  <c r="D30" i="6"/>
  <c r="F30" i="6" s="1"/>
  <c r="D9" i="6"/>
  <c r="F9" i="6" s="1"/>
  <c r="C48" i="3"/>
  <c r="C103" i="6" l="1"/>
  <c r="D12" i="6"/>
  <c r="C13" i="6"/>
  <c r="C14" i="6" l="1"/>
  <c r="C105" i="6" s="1"/>
  <c r="E105" i="6" s="1"/>
  <c r="C104" i="6"/>
  <c r="C156" i="6"/>
  <c r="C167" i="6"/>
  <c r="E167" i="6" s="1"/>
  <c r="C157" i="6"/>
  <c r="E157" i="6" s="1"/>
  <c r="C158" i="6"/>
  <c r="E158" i="6" s="1"/>
  <c r="C159" i="6"/>
  <c r="E159" i="6" s="1"/>
  <c r="C160" i="6"/>
  <c r="E160" i="6" s="1"/>
  <c r="C161" i="6"/>
  <c r="E161" i="6" s="1"/>
  <c r="C162" i="6"/>
  <c r="E162" i="6" s="1"/>
  <c r="C163" i="6"/>
  <c r="E163" i="6" s="1"/>
  <c r="C164" i="6"/>
  <c r="E164" i="6" s="1"/>
  <c r="C165" i="6"/>
  <c r="E165" i="6" s="1"/>
  <c r="C166" i="6"/>
  <c r="C140" i="6"/>
  <c r="E140" i="6" s="1"/>
  <c r="C141" i="6"/>
  <c r="C142" i="6"/>
  <c r="E142" i="6" s="1"/>
  <c r="C143" i="6"/>
  <c r="C144" i="6"/>
  <c r="E144" i="6" s="1"/>
  <c r="C145" i="6"/>
  <c r="C146" i="6"/>
  <c r="E146" i="6" s="1"/>
  <c r="C147" i="6"/>
  <c r="C148" i="6"/>
  <c r="E148" i="6" s="1"/>
  <c r="C149" i="6"/>
  <c r="E149" i="6" s="1"/>
  <c r="C150" i="6"/>
  <c r="E150" i="6" s="1"/>
  <c r="C118" i="6"/>
  <c r="E118" i="6" s="1"/>
  <c r="E101" i="6"/>
  <c r="E102" i="6"/>
  <c r="E103" i="6"/>
  <c r="E104" i="6"/>
  <c r="H49" i="3"/>
  <c r="H50" i="3"/>
  <c r="H51" i="3"/>
  <c r="H52" i="3"/>
  <c r="H53" i="3"/>
  <c r="H54" i="3"/>
  <c r="H55" i="3"/>
  <c r="H56" i="3"/>
  <c r="H57" i="3"/>
  <c r="H58" i="3"/>
  <c r="H59" i="3"/>
  <c r="H60" i="3"/>
  <c r="G49" i="3"/>
  <c r="G50" i="3"/>
  <c r="G51" i="3"/>
  <c r="G52" i="3"/>
  <c r="G53" i="3"/>
  <c r="G54" i="3"/>
  <c r="G55" i="3"/>
  <c r="G56" i="3"/>
  <c r="G57" i="3"/>
  <c r="G58" i="3"/>
  <c r="G59" i="3"/>
  <c r="G60" i="3"/>
  <c r="F49" i="3"/>
  <c r="F50" i="3"/>
  <c r="F51" i="3"/>
  <c r="F52" i="3"/>
  <c r="F53" i="3"/>
  <c r="F54" i="3"/>
  <c r="F55" i="3"/>
  <c r="F56" i="3"/>
  <c r="F57" i="3"/>
  <c r="F58" i="3"/>
  <c r="F59" i="3"/>
  <c r="F60" i="3"/>
  <c r="D49" i="3"/>
  <c r="D50" i="3"/>
  <c r="D51" i="3"/>
  <c r="D52" i="3"/>
  <c r="D53" i="3"/>
  <c r="D54" i="3"/>
  <c r="D55" i="3"/>
  <c r="D56" i="3"/>
  <c r="D57" i="3"/>
  <c r="D58" i="3"/>
  <c r="D59" i="3"/>
  <c r="D60" i="3"/>
  <c r="C49" i="3"/>
  <c r="C50" i="3"/>
  <c r="C51" i="3"/>
  <c r="C52" i="3"/>
  <c r="C53" i="3"/>
  <c r="C54" i="3"/>
  <c r="C55" i="3"/>
  <c r="C56" i="3"/>
  <c r="C57" i="3"/>
  <c r="C58" i="3"/>
  <c r="C59" i="3"/>
  <c r="C60" i="3"/>
  <c r="G44" i="3"/>
  <c r="H48" i="3"/>
  <c r="G48" i="3"/>
  <c r="F48" i="3"/>
  <c r="D48" i="3"/>
  <c r="B191" i="6"/>
  <c r="B179" i="6"/>
  <c r="A176" i="6"/>
  <c r="A175" i="6"/>
  <c r="A174" i="6"/>
  <c r="B167" i="6"/>
  <c r="B155" i="6"/>
  <c r="B150" i="6"/>
  <c r="E139" i="6"/>
  <c r="A135" i="6"/>
  <c r="A134" i="6"/>
  <c r="A133" i="6"/>
  <c r="B129" i="6"/>
  <c r="B117" i="6"/>
  <c r="B112" i="6"/>
  <c r="B100" i="6"/>
  <c r="A96" i="6"/>
  <c r="A95" i="6"/>
  <c r="A94" i="6"/>
  <c r="E90" i="6"/>
  <c r="C90" i="6"/>
  <c r="B90" i="6"/>
  <c r="D88" i="6"/>
  <c r="F88" i="6" s="1"/>
  <c r="A88" i="6"/>
  <c r="D87" i="6"/>
  <c r="F87" i="6" s="1"/>
  <c r="D86" i="6"/>
  <c r="F86" i="6" s="1"/>
  <c r="D85" i="6"/>
  <c r="F85" i="6" s="1"/>
  <c r="D84" i="6"/>
  <c r="F84" i="6" s="1"/>
  <c r="D83" i="6"/>
  <c r="F83" i="6" s="1"/>
  <c r="D82" i="6"/>
  <c r="F82" i="6" s="1"/>
  <c r="D81" i="6"/>
  <c r="F81" i="6" s="1"/>
  <c r="D80" i="6"/>
  <c r="F80" i="6" s="1"/>
  <c r="D79" i="6"/>
  <c r="F79" i="6" s="1"/>
  <c r="D78" i="6"/>
  <c r="F78" i="6" s="1"/>
  <c r="D77" i="6"/>
  <c r="F77" i="6" s="1"/>
  <c r="A76" i="6"/>
  <c r="E69" i="6"/>
  <c r="C69" i="6"/>
  <c r="B69" i="6"/>
  <c r="D67" i="6"/>
  <c r="F67" i="6" s="1"/>
  <c r="A67" i="6"/>
  <c r="D66" i="6"/>
  <c r="F66" i="6" s="1"/>
  <c r="D65" i="6"/>
  <c r="F65" i="6" s="1"/>
  <c r="D64" i="6"/>
  <c r="F64" i="6" s="1"/>
  <c r="D63" i="6"/>
  <c r="F63" i="6" s="1"/>
  <c r="D62" i="6"/>
  <c r="F62" i="6" s="1"/>
  <c r="D61" i="6"/>
  <c r="F61" i="6" s="1"/>
  <c r="D60" i="6"/>
  <c r="F60" i="6" s="1"/>
  <c r="D59" i="6"/>
  <c r="F59" i="6" s="1"/>
  <c r="D58" i="6"/>
  <c r="F58" i="6" s="1"/>
  <c r="D57" i="6"/>
  <c r="F57" i="6" s="1"/>
  <c r="D56" i="6"/>
  <c r="F56" i="6" s="1"/>
  <c r="A55" i="6"/>
  <c r="A49" i="6"/>
  <c r="A48" i="6"/>
  <c r="A47" i="6"/>
  <c r="E44" i="6"/>
  <c r="C44" i="6"/>
  <c r="B44" i="6"/>
  <c r="F42" i="6"/>
  <c r="A42" i="6"/>
  <c r="F41" i="6"/>
  <c r="F40" i="6"/>
  <c r="F39" i="6"/>
  <c r="F38" i="6"/>
  <c r="F37" i="6"/>
  <c r="F36" i="6"/>
  <c r="F35" i="6"/>
  <c r="F34" i="6"/>
  <c r="F33" i="6"/>
  <c r="F32" i="6"/>
  <c r="A30" i="6"/>
  <c r="B23" i="6"/>
  <c r="A21" i="6"/>
  <c r="D13" i="6"/>
  <c r="F13" i="6" s="1"/>
  <c r="F12" i="6"/>
  <c r="D11" i="6"/>
  <c r="F11" i="6" s="1"/>
  <c r="D10" i="6"/>
  <c r="F10" i="6" s="1"/>
  <c r="A9" i="6"/>
  <c r="J11" i="8"/>
  <c r="H11" i="8"/>
  <c r="L19" i="8"/>
  <c r="J19" i="8"/>
  <c r="H19" i="8"/>
  <c r="L11" i="8"/>
  <c r="G28" i="3"/>
  <c r="D28" i="3"/>
  <c r="F28" i="3"/>
  <c r="H66" i="3"/>
  <c r="F66" i="3"/>
  <c r="D66" i="3"/>
  <c r="C66" i="3"/>
  <c r="H44" i="3"/>
  <c r="F44" i="3"/>
  <c r="H28" i="3"/>
  <c r="C28" i="3"/>
  <c r="B16" i="3"/>
  <c r="B32" i="3" s="1"/>
  <c r="B15" i="3"/>
  <c r="B48" i="3" s="1"/>
  <c r="B27" i="3"/>
  <c r="B43" i="3" s="1"/>
  <c r="B60" i="3" s="1"/>
  <c r="C44" i="3"/>
  <c r="C15" i="6" l="1"/>
  <c r="C106" i="6" s="1"/>
  <c r="D14" i="6"/>
  <c r="F14" i="6" s="1"/>
  <c r="D15" i="6"/>
  <c r="F15" i="6" s="1"/>
  <c r="B49" i="3"/>
  <c r="B31" i="3"/>
  <c r="C119" i="6"/>
  <c r="D181" i="6"/>
  <c r="C16" i="6"/>
  <c r="C107" i="6" s="1"/>
  <c r="E106" i="6"/>
  <c r="F31" i="6"/>
  <c r="H61" i="3"/>
  <c r="G61" i="3"/>
  <c r="F61" i="3"/>
  <c r="D61" i="3"/>
  <c r="C180" i="6"/>
  <c r="C61" i="3"/>
  <c r="E166" i="6"/>
  <c r="E156" i="6"/>
  <c r="E180" i="6" s="1"/>
  <c r="D90" i="6"/>
  <c r="F90" i="6"/>
  <c r="E147" i="6"/>
  <c r="E145" i="6"/>
  <c r="E143" i="6"/>
  <c r="E141" i="6"/>
  <c r="D69" i="6"/>
  <c r="F69" i="6"/>
  <c r="D44" i="6"/>
  <c r="C181" i="6" l="1"/>
  <c r="D182" i="6"/>
  <c r="E119" i="6"/>
  <c r="C120" i="6" s="1"/>
  <c r="C108" i="6"/>
  <c r="E107" i="6"/>
  <c r="D16" i="6"/>
  <c r="F16" i="6" s="1"/>
  <c r="F44" i="6"/>
  <c r="E181" i="6" l="1"/>
  <c r="D183" i="6"/>
  <c r="C182" i="6"/>
  <c r="C18" i="6"/>
  <c r="C109" i="6" s="1"/>
  <c r="D17" i="6"/>
  <c r="F17" i="6" s="1"/>
  <c r="E120" i="6"/>
  <c r="C121" i="6" s="1"/>
  <c r="C183" i="6" s="1"/>
  <c r="D18" i="6" l="1"/>
  <c r="C19" i="6"/>
  <c r="E121" i="6"/>
  <c r="E183" i="6" s="1"/>
  <c r="E108" i="6"/>
  <c r="E182" i="6"/>
  <c r="D111" i="6" l="1"/>
  <c r="D112" i="6" s="1"/>
  <c r="D191" i="6" s="1"/>
  <c r="D189" i="6"/>
  <c r="D184" i="6"/>
  <c r="C122" i="6"/>
  <c r="C184" i="6" s="1"/>
  <c r="E18" i="6"/>
  <c r="F18" i="6" s="1"/>
  <c r="C20" i="6"/>
  <c r="D19" i="6"/>
  <c r="E109" i="6" l="1"/>
  <c r="D188" i="6"/>
  <c r="E122" i="6"/>
  <c r="C123" i="6" s="1"/>
  <c r="E19" i="6"/>
  <c r="F19" i="6" s="1"/>
  <c r="D20" i="6"/>
  <c r="C21" i="6"/>
  <c r="D21" i="6" s="1"/>
  <c r="C110" i="6" l="1"/>
  <c r="E110" i="6" s="1"/>
  <c r="E184" i="6"/>
  <c r="D23" i="6"/>
  <c r="E21" i="6"/>
  <c r="F21" i="6" s="1"/>
  <c r="E20" i="6"/>
  <c r="F20" i="6" s="1"/>
  <c r="C23" i="6"/>
  <c r="C185" i="6"/>
  <c r="D185" i="6" l="1"/>
  <c r="E123" i="6"/>
  <c r="C124" i="6" s="1"/>
  <c r="D186" i="6"/>
  <c r="C111" i="6"/>
  <c r="E111" i="6" s="1"/>
  <c r="C112" i="6" s="1"/>
  <c r="E112" i="6" s="1"/>
  <c r="F23" i="6"/>
  <c r="F92" i="6" s="1"/>
  <c r="E23" i="6"/>
  <c r="E185" i="6" l="1"/>
  <c r="E124" i="6"/>
  <c r="C186" i="6"/>
  <c r="D187" i="6" l="1"/>
  <c r="C125" i="6"/>
  <c r="E186" i="6"/>
  <c r="C187" i="6" l="1"/>
  <c r="E125" i="6"/>
  <c r="C126" i="6" l="1"/>
  <c r="E187" i="6"/>
  <c r="E126" i="6" l="1"/>
  <c r="E188" i="6" s="1"/>
  <c r="C188" i="6"/>
  <c r="C127" i="6" l="1"/>
  <c r="E127" i="6" l="1"/>
  <c r="C189" i="6"/>
  <c r="D190" i="6" l="1"/>
  <c r="C128" i="6"/>
  <c r="E189" i="6"/>
  <c r="C190" i="6" l="1"/>
  <c r="E128" i="6"/>
  <c r="D197" i="6" l="1"/>
  <c r="C129" i="6"/>
  <c r="E190" i="6"/>
  <c r="C191" i="6" l="1"/>
  <c r="E129" i="6"/>
  <c r="E191" i="6" s="1"/>
  <c r="E193" i="6" s="1"/>
</calcChain>
</file>

<file path=xl/sharedStrings.xml><?xml version="1.0" encoding="utf-8"?>
<sst xmlns="http://schemas.openxmlformats.org/spreadsheetml/2006/main" count="369" uniqueCount="169">
  <si>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</si>
  <si>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</si>
  <si>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</si>
  <si>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</si>
  <si>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</si>
  <si>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</si>
  <si>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</si>
  <si>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</si>
  <si>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</si>
  <si>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</si>
  <si>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</si>
  <si>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</si>
  <si>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</si>
  <si>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</si>
  <si>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</si>
  <si>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</si>
  <si>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</si>
  <si>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</si>
  <si>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Amortization Expense</t>
  </si>
  <si>
    <t xml:space="preserve">Rate Year </t>
  </si>
  <si>
    <t>Reporting Company</t>
  </si>
  <si>
    <t>13 Month Average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</si>
  <si>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</si>
  <si>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</si>
  <si>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</si>
  <si>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</si>
  <si>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</si>
  <si>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</si>
  <si>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</si>
  <si>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</si>
  <si>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</si>
  <si>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</si>
  <si>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MP</t>
  </si>
  <si>
    <t>286-1</t>
  </si>
  <si>
    <t>286-2</t>
  </si>
  <si>
    <t>MTEP07</t>
  </si>
  <si>
    <t>MTEP06</t>
  </si>
  <si>
    <t>MTEP08</t>
  </si>
  <si>
    <t>Badoura Area Projects</t>
  </si>
  <si>
    <t>Mesabi Energy Project (Excelsior Energy) Currently Under Suspension</t>
  </si>
  <si>
    <t>Minnesota Power</t>
  </si>
  <si>
    <t>ALLETE, Inc., d/b/a Minnesota Power</t>
  </si>
  <si>
    <t>Direct Cost</t>
  </si>
  <si>
    <t xml:space="preserve">AFUDC </t>
  </si>
  <si>
    <t xml:space="preserve">Total </t>
  </si>
  <si>
    <t xml:space="preserve">CWIP </t>
  </si>
  <si>
    <t>MTEP Project ID 279</t>
  </si>
  <si>
    <t>January</t>
  </si>
  <si>
    <t>MTEP Project ID 286-1</t>
  </si>
  <si>
    <t>MP Proj 105019 Phase 1</t>
  </si>
  <si>
    <t>MTEP Project ID 286-2</t>
  </si>
  <si>
    <t>MP Proj 105147 Phase 2</t>
  </si>
  <si>
    <t>Prefunded AFDC Ending Balance</t>
  </si>
  <si>
    <t>MISO Proj 279</t>
  </si>
  <si>
    <t>In Service</t>
  </si>
  <si>
    <t>No</t>
  </si>
  <si>
    <t>MISO Project 286 Phase 1</t>
  </si>
  <si>
    <t>Inservice</t>
  </si>
  <si>
    <t>Yes</t>
  </si>
  <si>
    <t xml:space="preserve">MISO Project 286 Phase 2  </t>
  </si>
  <si>
    <t>NO</t>
  </si>
  <si>
    <t xml:space="preserve">MISO Project 286 Phase 3 </t>
  </si>
  <si>
    <t>Total Prefunded AFDC</t>
  </si>
  <si>
    <t>Pre-Funded AFUDC (13 Month Average)  Page 2 , Line 23a</t>
  </si>
  <si>
    <t>Enter as a negative</t>
  </si>
  <si>
    <t>Facility ID 2640, 2976</t>
  </si>
  <si>
    <t>Facility ID 1104, 2641</t>
  </si>
  <si>
    <t>Facility ID 1105</t>
  </si>
  <si>
    <t>Facility ID</t>
  </si>
  <si>
    <t>2640, 2976</t>
  </si>
  <si>
    <t>CAPX Boswell to Bemidji Project</t>
  </si>
  <si>
    <t>MISO Facility Database Description</t>
  </si>
  <si>
    <t>286-3</t>
  </si>
  <si>
    <t>Transmission</t>
  </si>
  <si>
    <t>AC System</t>
  </si>
  <si>
    <t>DC System</t>
  </si>
  <si>
    <t>Gross Transmission Plant - Total</t>
  </si>
  <si>
    <t>Att O, p2, line 2, col 5, 7, 9</t>
  </si>
  <si>
    <t>Net Transmission Plant - Total</t>
  </si>
  <si>
    <t>Construction Work in Progress</t>
  </si>
  <si>
    <t>Att O, p2, line 18a, col 5, 7, 9</t>
  </si>
  <si>
    <t>+</t>
  </si>
  <si>
    <t>-</t>
  </si>
  <si>
    <t>Adjusted Gross Transmission Plant</t>
  </si>
  <si>
    <t>Att GG, p1, line 1, col 4, 5, 7</t>
  </si>
  <si>
    <t>Att O, p2, line 23a</t>
  </si>
  <si>
    <t>Gross Transmission Plant</t>
  </si>
  <si>
    <t>Net Transmission Plant</t>
  </si>
  <si>
    <t>Att O, p2, line 14, col 5, 7, 9</t>
  </si>
  <si>
    <t>Adjusted Net Transmission Plant</t>
  </si>
  <si>
    <t>Att GG, p1, line 2, col 4, 5, 7</t>
  </si>
  <si>
    <t>GG P1 L1 C4</t>
  </si>
  <si>
    <t>GG P1 L1 C5</t>
  </si>
  <si>
    <t>GG P1 L1 C7</t>
  </si>
  <si>
    <t>GG P1 L2 C4</t>
  </si>
  <si>
    <t>GG P1 L2 C5</t>
  </si>
  <si>
    <t>GG P1 L2 C7</t>
  </si>
  <si>
    <t>Pre funded AFUDC</t>
  </si>
  <si>
    <t>CAPX Fargo to Monticello Phase 2  (St Cloud to Alexandria)</t>
  </si>
  <si>
    <t>345 KV Line from Waite Park to Monticello Substation and Terminal Works; New Transformer and Terminal Works.</t>
  </si>
  <si>
    <t>1104, 2641</t>
  </si>
  <si>
    <t xml:space="preserve">345 KV Line from Alexandria Switching Station to Waite Park and Terminal Works; new Transformer and Terminal Works. </t>
  </si>
  <si>
    <t>345 kV line from Maple River to Alexandria Switching Station substation and terminal works</t>
  </si>
  <si>
    <t>Transfers to Plant</t>
  </si>
  <si>
    <t>CWIP Balances</t>
  </si>
  <si>
    <t>Total CWIP Page  2 Line 18a</t>
  </si>
  <si>
    <t>Pre-Funded AFUDC  Amortization Page 3 , Line 9a</t>
  </si>
  <si>
    <t>Actual 13 Months Ended December 31, 2012</t>
  </si>
  <si>
    <t>MTEP Project ID 286- 3</t>
  </si>
  <si>
    <t>2012 Attachment GG Work papers -  Forward Rate TO Support Data</t>
  </si>
  <si>
    <t>2012 Attachment GG Work papers -  CWIP &amp; AFUDC Adjustments to Gross &amp; Net Plant Working Papers</t>
  </si>
  <si>
    <t>Actual 12 Months Ended December 31, 2012</t>
  </si>
  <si>
    <t>Budgeted 12 Months Ended December 31, 2012</t>
  </si>
  <si>
    <t>2012 Attachment O Work papers - Project Descriptions</t>
  </si>
  <si>
    <t>2012 Attachment GG Work papers - CWIP and Prefunded AFUDC Working Papers</t>
  </si>
  <si>
    <t>2263, 2944, 2946, 579, 2945</t>
  </si>
  <si>
    <t>2263 - New Line (Badoura - Pine River); 2944 - Substation Equipment &amp; Transformer (Pine River); 2946 - Substation Equipment (Badoura); 579 - New Line (Pine River - Pequot Lakes); 2945 - Substation Equipment (Pequot Lakes)</t>
  </si>
  <si>
    <t>Add a new 230 KV line between Boswell and Winton</t>
  </si>
  <si>
    <t xml:space="preserve">CAPX Fargo to Monticello Phase 1  (Monticello to St Cloud) </t>
  </si>
  <si>
    <t>CAPX Fargo to Monticello Phase 3  (ALexandria to Fargo)</t>
  </si>
  <si>
    <t>2659 (all other facilities withdrawn from project)</t>
  </si>
  <si>
    <t>2659 - Blackberry Sub: 3 each-230 kV circuit breakers, 9 each-230 kV air break switches, structural steel, bus work and control equipment</t>
  </si>
  <si>
    <t>Record Date</t>
  </si>
  <si>
    <t>Comments</t>
  </si>
  <si>
    <t>Total</t>
  </si>
  <si>
    <t>Amortization</t>
  </si>
  <si>
    <t>Prefunded AFUDC Beginning Balance</t>
  </si>
  <si>
    <t>MP Proj 103319 104975 105845</t>
  </si>
  <si>
    <t>MP Proj 103434 106233 Phase 3</t>
  </si>
  <si>
    <t>not in service</t>
  </si>
  <si>
    <t>In Service no chgs in 2012</t>
  </si>
  <si>
    <t xml:space="preserve"> </t>
  </si>
  <si>
    <t>MTEP11</t>
  </si>
  <si>
    <t>9 Line Upgrade</t>
  </si>
  <si>
    <t>ER13-1049</t>
  </si>
  <si>
    <t>6244 - Thermal Upgrade</t>
  </si>
  <si>
    <t>(A)</t>
  </si>
  <si>
    <t>(B)</t>
  </si>
  <si>
    <t>(C)</t>
  </si>
  <si>
    <t>(D)</t>
  </si>
  <si>
    <t>(E)</t>
  </si>
  <si>
    <t>(F)</t>
  </si>
  <si>
    <t>(G)</t>
  </si>
  <si>
    <t>(H)</t>
  </si>
  <si>
    <t>Actual 2012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</si>
  <si>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</si>
  <si>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</si>
  <si>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</si>
  <si>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</si>
  <si>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</si>
  <si>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</si>
  <si>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</si>
  <si>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</si>
  <si>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</si>
  <si>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Project</t>
  </si>
  <si>
    <t>Requirement</t>
  </si>
  <si>
    <t>% of Total</t>
  </si>
  <si>
    <t>Distributed</t>
  </si>
  <si>
    <t>to Projects</t>
  </si>
  <si>
    <t>Interest</t>
  </si>
  <si>
    <t>Project 277</t>
  </si>
  <si>
    <t>Project 279</t>
  </si>
  <si>
    <t>Project 286-1</t>
  </si>
  <si>
    <t>Project 286-2</t>
  </si>
  <si>
    <t>Project 286-3</t>
  </si>
  <si>
    <t>Annual FERC Interest Rate (Jan. '12 - Dec '13)</t>
  </si>
  <si>
    <t>Interest for 24 Months (Jan'12 - Dec '13)  (Line 6 * Line 7 * 2)</t>
  </si>
  <si>
    <t>Net Under Recovery,  including interest (Line 6 + Line 8)</t>
  </si>
  <si>
    <t>2012 Attachment GG Work papers -  2012 Attachment GG True-up Adjustment for the year ended December 31,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</si>
</sst>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8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* #,##0_);_(* \(#,##0\);_(* &quot;-&quot;??_);_(@_)"/>
    <numFmt numFmtId="264" formatCode="mm/dd/yy;@"/>
    <numFmt numFmtId="265" formatCode="_(&quot;$&quot;* #,##0_);_(&quot;$&quot;* \(#,##0\);_(&quot;$&quot;* &quot;-&quot;??_);_(@_)"/>
    <numFmt numFmtId="266" formatCode="_(* #,##0.0000_);_(* \(#,##0.0000\);_(* &quot;-&quot;??_);_(@_)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 MT"/>
    </font>
    <font>
      <sz val="10"/>
      <name val="Arial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3"/>
      <name val="Arial"/>
      <family val="2"/>
    </font>
    <font>
      <sz val="10"/>
      <color theme="4" tint="-0.24997711111789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9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" fillId="0" borderId="0"/>
    <xf numFmtId="0" fontId="10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/>
    <xf numFmtId="170" fontId="4" fillId="20" borderId="0" applyNumberFormat="0" applyFill="0" applyBorder="0" applyAlignment="0" applyProtection="0">
      <alignment horizontal="right" vertical="center"/>
    </xf>
    <xf numFmtId="170" fontId="1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171" fontId="11" fillId="0" borderId="0" applyFont="0" applyFill="0" applyBorder="0" applyAlignment="0" applyProtection="0"/>
    <xf numFmtId="172" fontId="5" fillId="0" borderId="0" applyFont="0" applyFill="0" applyBorder="0" applyProtection="0">
      <alignment horizontal="left"/>
    </xf>
    <xf numFmtId="173" fontId="5" fillId="0" borderId="0" applyFont="0" applyFill="0" applyBorder="0" applyProtection="0">
      <alignment horizontal="left"/>
    </xf>
    <xf numFmtId="174" fontId="5" fillId="0" borderId="0" applyFont="0" applyFill="0" applyBorder="0" applyProtection="0">
      <alignment horizontal="left"/>
    </xf>
    <xf numFmtId="37" fontId="12" fillId="0" borderId="0" applyFont="0" applyFill="0" applyBorder="0" applyAlignment="0" applyProtection="0">
      <alignment vertical="center"/>
      <protection locked="0"/>
    </xf>
    <xf numFmtId="175" fontId="13" fillId="0" borderId="0" applyFont="0" applyFill="0" applyBorder="0" applyAlignment="0" applyProtection="0"/>
    <xf numFmtId="0" fontId="14" fillId="0" borderId="0"/>
    <xf numFmtId="0" fontId="15" fillId="0" borderId="0"/>
    <xf numFmtId="0" fontId="14" fillId="0" borderId="0"/>
    <xf numFmtId="0" fontId="14" fillId="0" borderId="0"/>
    <xf numFmtId="176" fontId="16" fillId="0" borderId="0" applyFill="0"/>
    <xf numFmtId="176" fontId="16" fillId="0" borderId="0">
      <alignment horizontal="center"/>
    </xf>
    <xf numFmtId="0" fontId="16" fillId="0" borderId="0" applyFill="0">
      <alignment horizontal="center"/>
    </xf>
    <xf numFmtId="176" fontId="17" fillId="0" borderId="2" applyFill="0"/>
    <xf numFmtId="0" fontId="2" fillId="0" borderId="0" applyFont="0" applyAlignment="0"/>
    <xf numFmtId="0" fontId="105" fillId="0" borderId="0" applyFont="0" applyAlignment="0"/>
    <xf numFmtId="0" fontId="18" fillId="0" borderId="0" applyFill="0">
      <alignment vertical="top"/>
    </xf>
    <xf numFmtId="0" fontId="17" fillId="0" borderId="0" applyFill="0">
      <alignment horizontal="left" vertical="top"/>
    </xf>
    <xf numFmtId="176" fontId="19" fillId="0" borderId="3" applyFill="0"/>
    <xf numFmtId="0" fontId="2" fillId="0" borderId="0" applyNumberFormat="0" applyFont="0" applyAlignment="0"/>
    <xf numFmtId="0" fontId="105" fillId="0" borderId="0" applyNumberFormat="0" applyFont="0" applyAlignment="0"/>
    <xf numFmtId="0" fontId="18" fillId="0" borderId="0" applyFill="0">
      <alignment wrapText="1"/>
    </xf>
    <xf numFmtId="0" fontId="17" fillId="0" borderId="0" applyFill="0">
      <alignment horizontal="left" vertical="top" wrapText="1"/>
    </xf>
    <xf numFmtId="176" fontId="20" fillId="0" borderId="0" applyFill="0"/>
    <xf numFmtId="0" fontId="21" fillId="0" borderId="0" applyNumberFormat="0" applyFont="0" applyAlignment="0">
      <alignment horizontal="center"/>
    </xf>
    <xf numFmtId="0" fontId="22" fillId="0" borderId="0" applyFill="0">
      <alignment vertical="top" wrapText="1"/>
    </xf>
    <xf numFmtId="0" fontId="19" fillId="0" borderId="0" applyFill="0">
      <alignment horizontal="left" vertical="top" wrapText="1"/>
    </xf>
    <xf numFmtId="176" fontId="2" fillId="0" borderId="0" applyFill="0"/>
    <xf numFmtId="176" fontId="105" fillId="0" borderId="0" applyFill="0"/>
    <xf numFmtId="0" fontId="21" fillId="0" borderId="0" applyNumberFormat="0" applyFont="0" applyAlignment="0">
      <alignment horizontal="center"/>
    </xf>
    <xf numFmtId="0" fontId="23" fillId="0" borderId="0" applyFill="0">
      <alignment vertical="center" wrapText="1"/>
    </xf>
    <xf numFmtId="0" fontId="24" fillId="0" borderId="0">
      <alignment horizontal="left" vertical="center" wrapText="1"/>
    </xf>
    <xf numFmtId="176" fontId="25" fillId="0" borderId="0" applyFill="0"/>
    <xf numFmtId="176" fontId="9" fillId="0" borderId="0" applyFill="0"/>
    <xf numFmtId="0" fontId="21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76" fontId="27" fillId="0" borderId="0" applyFill="0"/>
    <xf numFmtId="0" fontId="21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29" fillId="0" borderId="0" applyFill="0">
      <alignment horizontal="center" vertical="center" wrapText="1"/>
    </xf>
    <xf numFmtId="176" fontId="30" fillId="0" borderId="0" applyFill="0"/>
    <xf numFmtId="0" fontId="21" fillId="0" borderId="0" applyNumberFormat="0" applyFont="0" applyAlignment="0">
      <alignment horizontal="center"/>
    </xf>
    <xf numFmtId="0" fontId="31" fillId="0" borderId="0">
      <alignment horizontal="center" wrapText="1"/>
    </xf>
    <xf numFmtId="0" fontId="27" fillId="0" borderId="0" applyFill="0">
      <alignment horizontal="center" wrapText="1"/>
    </xf>
    <xf numFmtId="177" fontId="32" fillId="0" borderId="0" applyFont="0" applyFill="0" applyBorder="0" applyAlignment="0" applyProtection="0">
      <protection locked="0"/>
    </xf>
    <xf numFmtId="178" fontId="32" fillId="0" borderId="0" applyFont="0" applyFill="0" applyBorder="0" applyAlignment="0" applyProtection="0">
      <protection locked="0"/>
    </xf>
    <xf numFmtId="39" fontId="4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34" fillId="21" borderId="4" applyNumberFormat="0" applyAlignment="0" applyProtection="0"/>
    <xf numFmtId="0" fontId="34" fillId="21" borderId="4" applyNumberFormat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0" fontId="35" fillId="0" borderId="0" applyFill="0" applyBorder="0" applyProtection="0">
      <alignment horizontal="center"/>
      <protection locked="0"/>
    </xf>
    <xf numFmtId="0" fontId="36" fillId="22" borderId="5" applyNumberFormat="0" applyAlignment="0" applyProtection="0"/>
    <xf numFmtId="0" fontId="36" fillId="22" borderId="5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10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20" fillId="0" borderId="0" applyFont="0" applyFill="0" applyBorder="0" applyAlignment="0" applyProtection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37" fontId="42" fillId="0" borderId="0" applyFill="0" applyBorder="0" applyAlignment="0" applyProtection="0"/>
    <xf numFmtId="3" fontId="2" fillId="0" borderId="0" applyFont="0" applyFill="0" applyBorder="0" applyAlignment="0" applyProtection="0"/>
    <xf numFmtId="3" fontId="105" fillId="0" borderId="0" applyFont="0" applyFill="0" applyBorder="0" applyAlignment="0" applyProtection="0"/>
    <xf numFmtId="0" fontId="17" fillId="0" borderId="0" applyFill="0" applyBorder="0" applyAlignment="0" applyProtection="0">
      <protection locked="0"/>
    </xf>
    <xf numFmtId="44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94" fontId="20" fillId="0" borderId="0" applyFont="0" applyFill="0" applyBorder="0" applyAlignment="0" applyProtection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5" fontId="42" fillId="0" borderId="0" applyFill="0" applyBorder="0" applyAlignment="0" applyProtection="0"/>
    <xf numFmtId="5" fontId="2" fillId="0" borderId="0" applyFont="0" applyFill="0" applyBorder="0" applyAlignment="0" applyProtection="0"/>
    <xf numFmtId="5" fontId="105" fillId="0" borderId="0" applyFont="0" applyFill="0" applyBorder="0" applyAlignment="0" applyProtection="0"/>
    <xf numFmtId="5" fontId="4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2" fillId="0" borderId="0" applyFont="0" applyFill="0" applyBorder="0" applyAlignment="0" applyProtection="0">
      <protection locked="0"/>
    </xf>
    <xf numFmtId="7" fontId="16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43" fillId="0" borderId="0" applyFont="0" applyFill="0" applyBorder="0" applyAlignment="0" applyProtection="0"/>
    <xf numFmtId="0" fontId="44" fillId="23" borderId="6" applyNumberFormat="0" applyFont="0" applyFill="0" applyAlignment="0" applyProtection="0">
      <alignment horizontal="left" indent="1"/>
    </xf>
    <xf numFmtId="14" fontId="2" fillId="0" borderId="0" applyFont="0" applyFill="0" applyBorder="0" applyAlignment="0" applyProtection="0"/>
    <xf numFmtId="200" fontId="5" fillId="0" borderId="0" applyFont="0" applyFill="0" applyBorder="0" applyProtection="0"/>
    <xf numFmtId="201" fontId="5" fillId="0" borderId="0" applyFont="0" applyFill="0" applyBorder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4" fontId="105" fillId="0" borderId="0" applyFont="0" applyFill="0" applyBorder="0" applyAlignment="0" applyProtection="0"/>
    <xf numFmtId="14" fontId="105" fillId="0" borderId="0" applyFont="0" applyFill="0" applyBorder="0" applyAlignment="0" applyProtection="0"/>
    <xf numFmtId="14" fontId="105" fillId="0" borderId="0" applyFont="0" applyFill="0" applyBorder="0" applyAlignment="0" applyProtection="0"/>
    <xf numFmtId="205" fontId="45" fillId="0" borderId="0" applyFont="0" applyFill="0" applyBorder="0" applyAlignment="0" applyProtection="0"/>
    <xf numFmtId="5" fontId="46" fillId="0" borderId="0" applyBorder="0"/>
    <xf numFmtId="196" fontId="46" fillId="0" borderId="0" applyBorder="0"/>
    <xf numFmtId="7" fontId="46" fillId="0" borderId="0" applyBorder="0"/>
    <xf numFmtId="37" fontId="46" fillId="0" borderId="0" applyBorder="0"/>
    <xf numFmtId="177" fontId="46" fillId="0" borderId="0" applyBorder="0"/>
    <xf numFmtId="206" fontId="46" fillId="0" borderId="0" applyBorder="0"/>
    <xf numFmtId="39" fontId="46" fillId="0" borderId="0" applyBorder="0"/>
    <xf numFmtId="207" fontId="46" fillId="0" borderId="0" applyBorder="0"/>
    <xf numFmtId="7" fontId="2" fillId="0" borderId="0" applyFont="0" applyFill="0" applyBorder="0" applyAlignment="0" applyProtection="0"/>
    <xf numFmtId="7" fontId="105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Alignment="0" applyProtection="0"/>
    <xf numFmtId="208" fontId="13" fillId="0" borderId="0" applyFont="0" applyFill="0" applyBorder="0" applyAlignment="0" applyProtection="0"/>
    <xf numFmtId="210" fontId="47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105" fillId="0" borderId="0" applyFont="0" applyFill="0" applyBorder="0" applyAlignment="0" applyProtection="0"/>
    <xf numFmtId="0" fontId="49" fillId="0" borderId="0"/>
    <xf numFmtId="177" fontId="50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5" fillId="0" borderId="0" applyFont="0" applyFill="0" applyBorder="0" applyProtection="0">
      <alignment horizontal="center" wrapText="1"/>
    </xf>
    <xf numFmtId="211" fontId="5" fillId="0" borderId="0" applyFont="0" applyFill="0" applyBorder="0" applyProtection="0">
      <alignment horizontal="right"/>
    </xf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2" fillId="24" borderId="0" applyNumberFormat="0" applyFill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8">
      <alignment horizontal="left" vertical="center"/>
    </xf>
    <xf numFmtId="14" fontId="53" fillId="25" borderId="9">
      <alignment horizontal="center" vertical="center" wrapText="1"/>
    </xf>
    <xf numFmtId="0" fontId="54" fillId="0" borderId="0" applyFont="0" applyFill="0" applyBorder="0" applyAlignment="0" applyProtection="0"/>
    <xf numFmtId="0" fontId="102" fillId="0" borderId="10" applyNumberFormat="0" applyFill="0" applyAlignment="0" applyProtection="0"/>
    <xf numFmtId="0" fontId="55" fillId="0" borderId="0" applyFont="0" applyFill="0" applyBorder="0" applyAlignment="0" applyProtection="0"/>
    <xf numFmtId="0" fontId="103" fillId="0" borderId="11" applyNumberFormat="0" applyFill="0" applyAlignment="0" applyProtection="0"/>
    <xf numFmtId="0" fontId="19" fillId="0" borderId="0" applyFont="0" applyFill="0" applyBorder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1" applyFill="0" applyAlignment="0" applyProtection="0">
      <protection locked="0"/>
    </xf>
    <xf numFmtId="0" fontId="57" fillId="0" borderId="9"/>
    <xf numFmtId="0" fontId="58" fillId="0" borderId="0"/>
    <xf numFmtId="0" fontId="59" fillId="0" borderId="1" applyNumberFormat="0" applyFill="0" applyAlignment="0" applyProtection="0"/>
    <xf numFmtId="0" fontId="45" fillId="26" borderId="0" applyNumberFormat="0" applyFont="0" applyBorder="0" applyAlignment="0" applyProtection="0"/>
    <xf numFmtId="0" fontId="60" fillId="27" borderId="13" applyNumberFormat="0" applyAlignment="0" applyProtection="0"/>
    <xf numFmtId="212" fontId="5" fillId="0" borderId="0" applyFont="0" applyFill="0" applyBorder="0" applyProtection="0">
      <alignment horizontal="left"/>
    </xf>
    <xf numFmtId="213" fontId="5" fillId="0" borderId="0" applyFont="0" applyFill="0" applyBorder="0" applyProtection="0">
      <alignment horizontal="left"/>
    </xf>
    <xf numFmtId="214" fontId="5" fillId="0" borderId="0" applyFont="0" applyFill="0" applyBorder="0" applyProtection="0">
      <alignment horizontal="left"/>
    </xf>
    <xf numFmtId="215" fontId="5" fillId="0" borderId="0" applyFont="0" applyFill="0" applyBorder="0" applyProtection="0">
      <alignment horizontal="left"/>
    </xf>
    <xf numFmtId="0" fontId="61" fillId="7" borderId="4" applyNumberFormat="0" applyAlignment="0" applyProtection="0"/>
    <xf numFmtId="10" fontId="16" fillId="28" borderId="13" applyNumberFormat="0" applyBorder="0" applyAlignment="0" applyProtection="0"/>
    <xf numFmtId="0" fontId="61" fillId="7" borderId="4" applyNumberFormat="0" applyAlignment="0" applyProtection="0"/>
    <xf numFmtId="5" fontId="62" fillId="0" borderId="0" applyBorder="0"/>
    <xf numFmtId="196" fontId="62" fillId="0" borderId="0" applyBorder="0"/>
    <xf numFmtId="7" fontId="62" fillId="0" borderId="0" applyBorder="0"/>
    <xf numFmtId="37" fontId="62" fillId="0" borderId="0" applyBorder="0"/>
    <xf numFmtId="177" fontId="62" fillId="0" borderId="0" applyBorder="0"/>
    <xf numFmtId="206" fontId="62" fillId="0" borderId="0" applyBorder="0"/>
    <xf numFmtId="39" fontId="62" fillId="0" borderId="0" applyBorder="0"/>
    <xf numFmtId="207" fontId="62" fillId="0" borderId="0" applyBorder="0"/>
    <xf numFmtId="0" fontId="45" fillId="0" borderId="14" applyNumberFormat="0" applyFont="0" applyFill="0" applyAlignment="0" applyProtection="0"/>
    <xf numFmtId="0" fontId="64" fillId="0" borderId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05" fillId="0" borderId="0" applyFont="0" applyFill="0" applyBorder="0" applyAlignment="0" applyProtection="0">
      <alignment horizontal="right"/>
    </xf>
    <xf numFmtId="221" fontId="4" fillId="0" borderId="0" applyFont="0" applyFill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37" fontId="67" fillId="0" borderId="0"/>
    <xf numFmtId="0" fontId="63" fillId="0" borderId="0"/>
    <xf numFmtId="0" fontId="13" fillId="0" borderId="0"/>
    <xf numFmtId="0" fontId="4" fillId="0" borderId="0"/>
    <xf numFmtId="0" fontId="4" fillId="0" borderId="0"/>
    <xf numFmtId="0" fontId="68" fillId="0" borderId="0">
      <alignment vertical="top"/>
    </xf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05" fillId="0" borderId="0"/>
    <xf numFmtId="176" fontId="69" fillId="0" borderId="0" applyProtection="0"/>
    <xf numFmtId="0" fontId="37" fillId="0" borderId="0"/>
    <xf numFmtId="176" fontId="69" fillId="0" borderId="0" applyProtection="0"/>
    <xf numFmtId="0" fontId="2" fillId="0" borderId="0"/>
    <xf numFmtId="0" fontId="68" fillId="0" borderId="0">
      <alignment vertical="top"/>
    </xf>
    <xf numFmtId="0" fontId="68" fillId="0" borderId="0">
      <alignment vertical="top"/>
    </xf>
    <xf numFmtId="0" fontId="2" fillId="30" borderId="16" applyNumberFormat="0" applyFont="0" applyAlignment="0" applyProtection="0"/>
    <xf numFmtId="0" fontId="4" fillId="30" borderId="16" applyNumberFormat="0" applyFont="0" applyAlignment="0" applyProtection="0"/>
    <xf numFmtId="0" fontId="105" fillId="30" borderId="16" applyNumberFormat="0" applyFont="0" applyAlignment="0" applyProtection="0"/>
    <xf numFmtId="0" fontId="70" fillId="21" borderId="17" applyNumberFormat="0" applyAlignment="0" applyProtection="0"/>
    <xf numFmtId="0" fontId="70" fillId="21" borderId="17" applyNumberFormat="0" applyAlignment="0" applyProtection="0"/>
    <xf numFmtId="0" fontId="71" fillId="31" borderId="0" applyNumberFormat="0" applyFont="0" applyBorder="0" applyAlignment="0"/>
    <xf numFmtId="222" fontId="4" fillId="0" borderId="0" applyFont="0" applyFill="0" applyBorder="0" applyAlignment="0" applyProtection="0"/>
    <xf numFmtId="223" fontId="72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4" fontId="2" fillId="0" borderId="0"/>
    <xf numFmtId="224" fontId="105" fillId="0" borderId="0"/>
    <xf numFmtId="225" fontId="63" fillId="0" borderId="0"/>
    <xf numFmtId="225" fontId="13" fillId="0" borderId="0"/>
    <xf numFmtId="225" fontId="13" fillId="0" borderId="0"/>
    <xf numFmtId="225" fontId="63" fillId="0" borderId="0"/>
    <xf numFmtId="225" fontId="13" fillId="0" borderId="0"/>
    <xf numFmtId="225" fontId="13" fillId="0" borderId="0"/>
    <xf numFmtId="223" fontId="72" fillId="0" borderId="0"/>
    <xf numFmtId="0" fontId="63" fillId="0" borderId="0"/>
    <xf numFmtId="0" fontId="13" fillId="0" borderId="0"/>
    <xf numFmtId="0" fontId="13" fillId="0" borderId="0"/>
    <xf numFmtId="223" fontId="42" fillId="0" borderId="0"/>
    <xf numFmtId="224" fontId="2" fillId="0" borderId="0"/>
    <xf numFmtId="224" fontId="105" fillId="0" borderId="0"/>
    <xf numFmtId="225" fontId="63" fillId="0" borderId="0"/>
    <xf numFmtId="225" fontId="13" fillId="0" borderId="0"/>
    <xf numFmtId="225" fontId="13" fillId="0" borderId="0"/>
    <xf numFmtId="225" fontId="63" fillId="0" borderId="0"/>
    <xf numFmtId="225" fontId="13" fillId="0" borderId="0"/>
    <xf numFmtId="225" fontId="13" fillId="0" borderId="0"/>
    <xf numFmtId="0" fontId="6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0" fontId="13" fillId="0" borderId="0"/>
    <xf numFmtId="226" fontId="63" fillId="0" borderId="0"/>
    <xf numFmtId="226" fontId="13" fillId="0" borderId="0"/>
    <xf numFmtId="227" fontId="63" fillId="0" borderId="0"/>
    <xf numFmtId="227" fontId="13" fillId="0" borderId="0"/>
    <xf numFmtId="227" fontId="13" fillId="0" borderId="0"/>
    <xf numFmtId="226" fontId="13" fillId="0" borderId="0"/>
    <xf numFmtId="228" fontId="63" fillId="0" borderId="0"/>
    <xf numFmtId="228" fontId="13" fillId="0" borderId="0"/>
    <xf numFmtId="226" fontId="63" fillId="0" borderId="0"/>
    <xf numFmtId="226" fontId="13" fillId="0" borderId="0"/>
    <xf numFmtId="226" fontId="13" fillId="0" borderId="0"/>
    <xf numFmtId="227" fontId="63" fillId="0" borderId="0"/>
    <xf numFmtId="227" fontId="13" fillId="0" borderId="0"/>
    <xf numFmtId="227" fontId="13" fillId="0" borderId="0"/>
    <xf numFmtId="229" fontId="63" fillId="0" borderId="0"/>
    <xf numFmtId="229" fontId="13" fillId="0" borderId="0"/>
    <xf numFmtId="229" fontId="13" fillId="0" borderId="0"/>
    <xf numFmtId="228" fontId="13" fillId="0" borderId="0"/>
    <xf numFmtId="229" fontId="63" fillId="0" borderId="0"/>
    <xf numFmtId="229" fontId="13" fillId="0" borderId="0"/>
    <xf numFmtId="229" fontId="13" fillId="0" borderId="0"/>
    <xf numFmtId="230" fontId="63" fillId="0" borderId="0"/>
    <xf numFmtId="230" fontId="13" fillId="0" borderId="0"/>
    <xf numFmtId="230" fontId="13" fillId="0" borderId="0"/>
    <xf numFmtId="228" fontId="63" fillId="0" borderId="0"/>
    <xf numFmtId="228" fontId="13" fillId="0" borderId="0"/>
    <xf numFmtId="231" fontId="63" fillId="0" borderId="0"/>
    <xf numFmtId="231" fontId="13" fillId="0" borderId="0"/>
    <xf numFmtId="231" fontId="13" fillId="0" borderId="0"/>
    <xf numFmtId="230" fontId="63" fillId="0" borderId="0"/>
    <xf numFmtId="230" fontId="13" fillId="0" borderId="0"/>
    <xf numFmtId="230" fontId="13" fillId="0" borderId="0"/>
    <xf numFmtId="228" fontId="13" fillId="0" borderId="0"/>
    <xf numFmtId="230" fontId="63" fillId="0" borderId="0"/>
    <xf numFmtId="230" fontId="13" fillId="0" borderId="0"/>
    <xf numFmtId="230" fontId="13" fillId="0" borderId="0"/>
    <xf numFmtId="0" fontId="63" fillId="0" borderId="0"/>
    <xf numFmtId="0" fontId="13" fillId="0" borderId="0"/>
    <xf numFmtId="0" fontId="13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72" fillId="0" borderId="0"/>
    <xf numFmtId="223" fontId="72" fillId="0" borderId="0"/>
    <xf numFmtId="222" fontId="4" fillId="0" borderId="0" applyFont="0" applyFill="0" applyBorder="0" applyAlignment="0" applyProtection="0"/>
    <xf numFmtId="223" fontId="72" fillId="0" borderId="0"/>
    <xf numFmtId="223" fontId="72" fillId="0" borderId="0"/>
    <xf numFmtId="226" fontId="63" fillId="0" borderId="0"/>
    <xf numFmtId="226" fontId="13" fillId="0" borderId="0"/>
    <xf numFmtId="227" fontId="63" fillId="0" borderId="0"/>
    <xf numFmtId="227" fontId="13" fillId="0" borderId="0"/>
    <xf numFmtId="227" fontId="13" fillId="0" borderId="0"/>
    <xf numFmtId="226" fontId="13" fillId="0" borderId="0"/>
    <xf numFmtId="228" fontId="63" fillId="0" borderId="0"/>
    <xf numFmtId="228" fontId="13" fillId="0" borderId="0"/>
    <xf numFmtId="226" fontId="63" fillId="0" borderId="0"/>
    <xf numFmtId="226" fontId="13" fillId="0" borderId="0"/>
    <xf numFmtId="226" fontId="13" fillId="0" borderId="0"/>
    <xf numFmtId="227" fontId="63" fillId="0" borderId="0"/>
    <xf numFmtId="227" fontId="13" fillId="0" borderId="0"/>
    <xf numFmtId="227" fontId="13" fillId="0" borderId="0"/>
    <xf numFmtId="229" fontId="63" fillId="0" borderId="0"/>
    <xf numFmtId="229" fontId="13" fillId="0" borderId="0"/>
    <xf numFmtId="229" fontId="13" fillId="0" borderId="0"/>
    <xf numFmtId="228" fontId="13" fillId="0" borderId="0"/>
    <xf numFmtId="229" fontId="63" fillId="0" borderId="0"/>
    <xf numFmtId="229" fontId="13" fillId="0" borderId="0"/>
    <xf numFmtId="229" fontId="13" fillId="0" borderId="0"/>
    <xf numFmtId="230" fontId="63" fillId="0" borderId="0"/>
    <xf numFmtId="230" fontId="13" fillId="0" borderId="0"/>
    <xf numFmtId="230" fontId="13" fillId="0" borderId="0"/>
    <xf numFmtId="228" fontId="63" fillId="0" borderId="0"/>
    <xf numFmtId="228" fontId="13" fillId="0" borderId="0"/>
    <xf numFmtId="231" fontId="63" fillId="0" borderId="0"/>
    <xf numFmtId="231" fontId="13" fillId="0" borderId="0"/>
    <xf numFmtId="231" fontId="13" fillId="0" borderId="0"/>
    <xf numFmtId="230" fontId="63" fillId="0" borderId="0"/>
    <xf numFmtId="230" fontId="13" fillId="0" borderId="0"/>
    <xf numFmtId="230" fontId="13" fillId="0" borderId="0"/>
    <xf numFmtId="228" fontId="13" fillId="0" borderId="0"/>
    <xf numFmtId="230" fontId="63" fillId="0" borderId="0"/>
    <xf numFmtId="230" fontId="13" fillId="0" borderId="0"/>
    <xf numFmtId="230" fontId="13" fillId="0" borderId="0"/>
    <xf numFmtId="232" fontId="25" fillId="32" borderId="0" applyFont="0" applyFill="0" applyBorder="0" applyAlignment="0" applyProtection="0"/>
    <xf numFmtId="232" fontId="9" fillId="32" borderId="0" applyFont="0" applyFill="0" applyBorder="0" applyAlignment="0" applyProtection="0"/>
    <xf numFmtId="233" fontId="25" fillId="32" borderId="0" applyFont="0" applyFill="0" applyBorder="0" applyAlignment="0" applyProtection="0"/>
    <xf numFmtId="233" fontId="9" fillId="32" borderId="0" applyFont="0" applyFill="0" applyBorder="0" applyAlignment="0" applyProtection="0"/>
    <xf numFmtId="234" fontId="4" fillId="0" borderId="0" applyFont="0" applyFill="0" applyBorder="0" applyAlignment="0" applyProtection="0"/>
    <xf numFmtId="235" fontId="41" fillId="0" borderId="0" applyFont="0" applyFill="0" applyBorder="0" applyAlignment="0" applyProtection="0"/>
    <xf numFmtId="236" fontId="40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105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2" fontId="41" fillId="0" borderId="0" applyFont="0" applyFill="0" applyBorder="0" applyAlignment="0" applyProtection="0"/>
    <xf numFmtId="243" fontId="40" fillId="0" borderId="0" applyFont="0" applyFill="0" applyBorder="0" applyAlignment="0" applyProtection="0"/>
    <xf numFmtId="244" fontId="41" fillId="0" borderId="0" applyFont="0" applyFill="0" applyBorder="0" applyAlignment="0" applyProtection="0"/>
    <xf numFmtId="245" fontId="40" fillId="0" borderId="0" applyFont="0" applyFill="0" applyBorder="0" applyAlignment="0" applyProtection="0"/>
    <xf numFmtId="246" fontId="41" fillId="0" borderId="0" applyFont="0" applyFill="0" applyBorder="0" applyAlignment="0" applyProtection="0"/>
    <xf numFmtId="247" fontId="40" fillId="0" borderId="0" applyFont="0" applyFill="0" applyBorder="0" applyAlignment="0" applyProtection="0"/>
    <xf numFmtId="248" fontId="20" fillId="0" borderId="0" applyFont="0" applyFill="0" applyBorder="0" applyAlignment="0" applyProtection="0">
      <protection locked="0"/>
    </xf>
    <xf numFmtId="24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2" fillId="0" borderId="0" applyFill="0" applyBorder="0" applyAlignment="0" applyProtection="0"/>
    <xf numFmtId="9" fontId="46" fillId="0" borderId="0" applyBorder="0"/>
    <xf numFmtId="216" fontId="46" fillId="0" borderId="0" applyBorder="0"/>
    <xf numFmtId="10" fontId="46" fillId="0" borderId="0" applyBorder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2" fillId="0" borderId="0">
      <alignment horizontal="left" vertical="top"/>
    </xf>
    <xf numFmtId="3" fontId="105" fillId="0" borderId="0">
      <alignment horizontal="left" vertical="top"/>
    </xf>
    <xf numFmtId="0" fontId="73" fillId="0" borderId="9">
      <alignment horizontal="center"/>
    </xf>
    <xf numFmtId="3" fontId="38" fillId="0" borderId="0" applyFont="0" applyFill="0" applyBorder="0" applyAlignment="0" applyProtection="0"/>
    <xf numFmtId="0" fontId="38" fillId="33" borderId="0" applyNumberFormat="0" applyFont="0" applyBorder="0" applyAlignment="0" applyProtection="0"/>
    <xf numFmtId="3" fontId="2" fillId="0" borderId="0">
      <alignment horizontal="right" vertical="top"/>
    </xf>
    <xf numFmtId="3" fontId="105" fillId="0" borderId="0">
      <alignment horizontal="right" vertical="top"/>
    </xf>
    <xf numFmtId="41" fontId="24" fillId="34" borderId="18" applyFill="0"/>
    <xf numFmtId="0" fontId="74" fillId="0" borderId="0">
      <alignment horizontal="left" indent="7"/>
    </xf>
    <xf numFmtId="41" fontId="24" fillId="0" borderId="18" applyFill="0">
      <alignment horizontal="left" indent="2"/>
    </xf>
    <xf numFmtId="176" fontId="35" fillId="0" borderId="1" applyFill="0">
      <alignment horizontal="right"/>
    </xf>
    <xf numFmtId="0" fontId="53" fillId="0" borderId="13" applyNumberFormat="0" applyFont="0" applyBorder="0">
      <alignment horizontal="right"/>
    </xf>
    <xf numFmtId="0" fontId="75" fillId="0" borderId="0" applyFill="0"/>
    <xf numFmtId="0" fontId="19" fillId="0" borderId="0" applyFill="0"/>
    <xf numFmtId="4" fontId="35" fillId="0" borderId="1" applyFill="0"/>
    <xf numFmtId="0" fontId="2" fillId="0" borderId="0" applyNumberFormat="0" applyFont="0" applyBorder="0" applyAlignment="0"/>
    <xf numFmtId="0" fontId="105" fillId="0" borderId="0" applyNumberFormat="0" applyFont="0" applyBorder="0" applyAlignment="0"/>
    <xf numFmtId="0" fontId="22" fillId="0" borderId="0" applyFill="0">
      <alignment horizontal="left" indent="1"/>
    </xf>
    <xf numFmtId="0" fontId="76" fillId="0" borderId="0" applyFill="0">
      <alignment horizontal="left" indent="1"/>
    </xf>
    <xf numFmtId="4" fontId="25" fillId="0" borderId="0" applyFill="0"/>
    <xf numFmtId="4" fontId="9" fillId="0" borderId="0" applyFill="0"/>
    <xf numFmtId="0" fontId="2" fillId="0" borderId="0" applyNumberFormat="0" applyFont="0" applyFill="0" applyBorder="0" applyAlignment="0"/>
    <xf numFmtId="0" fontId="105" fillId="0" borderId="0" applyNumberFormat="0" applyFont="0" applyFill="0" applyBorder="0" applyAlignment="0"/>
    <xf numFmtId="0" fontId="22" fillId="0" borderId="0" applyFill="0">
      <alignment horizontal="left" indent="2"/>
    </xf>
    <xf numFmtId="0" fontId="19" fillId="0" borderId="0" applyFill="0">
      <alignment horizontal="left" indent="2"/>
    </xf>
    <xf numFmtId="4" fontId="25" fillId="0" borderId="0" applyFill="0"/>
    <xf numFmtId="4" fontId="9" fillId="0" borderId="0" applyFill="0"/>
    <xf numFmtId="0" fontId="2" fillId="0" borderId="0" applyNumberFormat="0" applyFont="0" applyBorder="0" applyAlignment="0"/>
    <xf numFmtId="0" fontId="105" fillId="0" borderId="0" applyNumberFormat="0" applyFont="0" applyBorder="0" applyAlignment="0"/>
    <xf numFmtId="0" fontId="77" fillId="0" borderId="0">
      <alignment horizontal="left" indent="3"/>
    </xf>
    <xf numFmtId="0" fontId="78" fillId="0" borderId="0" applyFill="0">
      <alignment horizontal="left" indent="3"/>
    </xf>
    <xf numFmtId="4" fontId="25" fillId="0" borderId="0" applyFill="0"/>
    <xf numFmtId="4" fontId="9" fillId="0" borderId="0" applyFill="0"/>
    <xf numFmtId="0" fontId="2" fillId="0" borderId="0" applyNumberFormat="0" applyFont="0" applyBorder="0" applyAlignment="0"/>
    <xf numFmtId="0" fontId="105" fillId="0" borderId="0" applyNumberFormat="0" applyFont="0" applyBorder="0" applyAlignment="0"/>
    <xf numFmtId="0" fontId="26" fillId="0" borderId="0">
      <alignment horizontal="left" indent="4"/>
    </xf>
    <xf numFmtId="0" fontId="4" fillId="0" borderId="0" applyFill="0">
      <alignment horizontal="left" indent="4"/>
    </xf>
    <xf numFmtId="4" fontId="27" fillId="0" borderId="0" applyFill="0"/>
    <xf numFmtId="0" fontId="2" fillId="0" borderId="0" applyNumberFormat="0" applyFont="0" applyBorder="0" applyAlignment="0"/>
    <xf numFmtId="0" fontId="105" fillId="0" borderId="0" applyNumberFormat="0" applyFont="0" applyBorder="0" applyAlignment="0"/>
    <xf numFmtId="0" fontId="28" fillId="0" borderId="0">
      <alignment horizontal="left" indent="5"/>
    </xf>
    <xf numFmtId="0" fontId="29" fillId="0" borderId="0" applyFill="0">
      <alignment horizontal="left" indent="5"/>
    </xf>
    <xf numFmtId="4" fontId="30" fillId="0" borderId="0" applyFill="0"/>
    <xf numFmtId="0" fontId="2" fillId="0" borderId="0" applyNumberFormat="0" applyFont="0" applyFill="0" applyBorder="0" applyAlignment="0"/>
    <xf numFmtId="0" fontId="105" fillId="0" borderId="0" applyNumberFormat="0" applyFont="0" applyFill="0" applyBorder="0" applyAlignment="0"/>
    <xf numFmtId="0" fontId="31" fillId="0" borderId="0" applyFill="0">
      <alignment horizontal="left" indent="6"/>
    </xf>
    <xf numFmtId="0" fontId="27" fillId="0" borderId="0" applyFill="0">
      <alignment horizontal="left" indent="6"/>
    </xf>
    <xf numFmtId="0" fontId="45" fillId="0" borderId="19" applyNumberFormat="0" applyFont="0" applyFill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80" fillId="0" borderId="0"/>
    <xf numFmtId="0" fontId="80" fillId="0" borderId="0"/>
    <xf numFmtId="0" fontId="82" fillId="0" borderId="9">
      <alignment horizontal="right"/>
    </xf>
    <xf numFmtId="250" fontId="43" fillId="0" borderId="0">
      <alignment horizontal="center"/>
    </xf>
    <xf numFmtId="251" fontId="83" fillId="0" borderId="0">
      <alignment horizontal="center"/>
    </xf>
    <xf numFmtId="0" fontId="3" fillId="0" borderId="0" applyNumberFormat="0" applyFill="0" applyBorder="0" applyAlignment="0" applyProtection="0"/>
    <xf numFmtId="0" fontId="84" fillId="0" borderId="0" applyNumberFormat="0" applyBorder="0" applyAlignment="0"/>
    <xf numFmtId="0" fontId="37" fillId="0" borderId="0" applyNumberFormat="0" applyBorder="0" applyAlignment="0"/>
    <xf numFmtId="0" fontId="85" fillId="0" borderId="0" applyNumberFormat="0" applyBorder="0" applyAlignment="0"/>
    <xf numFmtId="0" fontId="45" fillId="23" borderId="0" applyNumberFormat="0" applyFont="0" applyBorder="0" applyAlignment="0" applyProtection="0"/>
    <xf numFmtId="232" fontId="86" fillId="0" borderId="8" applyNumberFormat="0" applyFont="0" applyFill="0" applyAlignment="0" applyProtection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Alignment="0">
      <alignment horizontal="centerContinuous"/>
    </xf>
    <xf numFmtId="0" fontId="4" fillId="0" borderId="3" applyNumberFormat="0" applyFont="0" applyFill="0" applyAlignment="0" applyProtection="0"/>
    <xf numFmtId="0" fontId="2" fillId="0" borderId="0" applyFont="0" applyFill="0" applyBorder="0" applyAlignment="0" applyProtection="0"/>
    <xf numFmtId="0" fontId="97" fillId="0" borderId="20" applyNumberFormat="0" applyFill="0" applyAlignment="0" applyProtection="0"/>
    <xf numFmtId="0" fontId="10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52" fontId="40" fillId="0" borderId="0" applyFont="0" applyFill="0" applyBorder="0" applyAlignment="0" applyProtection="0"/>
    <xf numFmtId="253" fontId="40" fillId="0" borderId="0" applyFont="0" applyFill="0" applyBorder="0" applyAlignment="0" applyProtection="0"/>
    <xf numFmtId="254" fontId="40" fillId="0" borderId="0" applyFont="0" applyFill="0" applyBorder="0" applyAlignment="0" applyProtection="0"/>
    <xf numFmtId="255" fontId="40" fillId="0" borderId="0" applyFont="0" applyFill="0" applyBorder="0" applyAlignment="0" applyProtection="0"/>
    <xf numFmtId="256" fontId="40" fillId="0" borderId="0" applyFont="0" applyFill="0" applyBorder="0" applyAlignment="0" applyProtection="0"/>
    <xf numFmtId="257" fontId="40" fillId="0" borderId="0" applyFont="0" applyFill="0" applyBorder="0" applyAlignment="0" applyProtection="0"/>
    <xf numFmtId="258" fontId="40" fillId="0" borderId="0" applyFont="0" applyFill="0" applyBorder="0" applyAlignment="0" applyProtection="0"/>
    <xf numFmtId="259" fontId="40" fillId="0" borderId="0" applyFont="0" applyFill="0" applyBorder="0" applyAlignment="0" applyProtection="0"/>
    <xf numFmtId="260" fontId="92" fillId="23" borderId="21" applyFont="0" applyFill="0" applyBorder="0" applyAlignment="0" applyProtection="0"/>
    <xf numFmtId="260" fontId="13" fillId="0" borderId="0" applyFont="0" applyFill="0" applyBorder="0" applyAlignment="0" applyProtection="0"/>
    <xf numFmtId="261" fontId="33" fillId="0" borderId="0" applyFont="0" applyFill="0" applyBorder="0" applyAlignment="0" applyProtection="0"/>
    <xf numFmtId="262" fontId="43" fillId="0" borderId="8" applyFont="0" applyFill="0" applyBorder="0" applyAlignment="0" applyProtection="0">
      <alignment horizontal="right"/>
      <protection locked="0"/>
    </xf>
    <xf numFmtId="176" fontId="69" fillId="0" borderId="0" applyProtection="0"/>
    <xf numFmtId="43" fontId="38" fillId="0" borderId="0" applyFont="0" applyFill="0" applyBorder="0" applyAlignment="0" applyProtection="0"/>
    <xf numFmtId="0" fontId="68" fillId="0" borderId="0">
      <alignment vertical="top"/>
    </xf>
    <xf numFmtId="0" fontId="69" fillId="30" borderId="16" applyNumberFormat="0" applyFont="0" applyAlignment="0" applyProtection="0"/>
    <xf numFmtId="9" fontId="2" fillId="0" borderId="0" applyFont="0" applyFill="0" applyBorder="0" applyAlignment="0" applyProtection="0"/>
    <xf numFmtId="176" fontId="69" fillId="0" borderId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9" fillId="0" borderId="0" applyProtection="0"/>
    <xf numFmtId="9" fontId="1" fillId="0" borderId="0" applyFont="0" applyFill="0" applyBorder="0" applyAlignment="0" applyProtection="0"/>
    <xf numFmtId="176" fontId="69" fillId="0" borderId="0" applyProtection="0"/>
  </cellStyleXfs>
  <cellXfs count="340">
    <xf numFmtId="0" fontId="0" fillId="0" borderId="0" xfId="0"/>
    <xf numFmtId="0" fontId="53" fillId="0" borderId="0" xfId="276" applyFont="1" applyFill="1" applyBorder="1">
      <alignment vertical="top"/>
    </xf>
    <xf numFmtId="0" fontId="53" fillId="0" borderId="0" xfId="277" applyFont="1">
      <alignment vertical="top"/>
    </xf>
    <xf numFmtId="0" fontId="4" fillId="0" borderId="0" xfId="277" applyFont="1">
      <alignment vertical="top"/>
    </xf>
    <xf numFmtId="0" fontId="68" fillId="0" borderId="0" xfId="277">
      <alignment vertical="top"/>
    </xf>
    <xf numFmtId="0" fontId="53" fillId="0" borderId="1" xfId="276" applyFont="1" applyFill="1" applyBorder="1">
      <alignment vertical="top"/>
    </xf>
    <xf numFmtId="0" fontId="4" fillId="0" borderId="0" xfId="0" applyFont="1"/>
    <xf numFmtId="0" fontId="2" fillId="32" borderId="0" xfId="275" applyFont="1" applyFill="1" applyAlignment="1">
      <alignment horizontal="right"/>
    </xf>
    <xf numFmtId="0" fontId="0" fillId="32" borderId="0" xfId="0" applyFill="1"/>
    <xf numFmtId="0" fontId="2" fillId="32" borderId="0" xfId="275" applyFont="1" applyFill="1"/>
    <xf numFmtId="0" fontId="53" fillId="32" borderId="0" xfId="277" applyFont="1" applyFill="1">
      <alignment vertical="top"/>
    </xf>
    <xf numFmtId="0" fontId="4" fillId="0" borderId="22" xfId="275" quotePrefix="1" applyFont="1" applyFill="1" applyBorder="1" applyAlignment="1">
      <alignment horizontal="left"/>
    </xf>
    <xf numFmtId="0" fontId="2" fillId="0" borderId="18" xfId="275" quotePrefix="1" applyFont="1" applyFill="1" applyBorder="1" applyAlignment="1">
      <alignment horizontal="left"/>
    </xf>
    <xf numFmtId="0" fontId="2" fillId="0" borderId="23" xfId="275" applyFont="1" applyFill="1" applyBorder="1"/>
    <xf numFmtId="0" fontId="2" fillId="0" borderId="18" xfId="275" applyFont="1" applyBorder="1"/>
    <xf numFmtId="0" fontId="4" fillId="0" borderId="23" xfId="277" applyFont="1" applyBorder="1">
      <alignment vertical="top"/>
    </xf>
    <xf numFmtId="0" fontId="53" fillId="32" borderId="22" xfId="277" applyFont="1" applyFill="1" applyBorder="1">
      <alignment vertical="top"/>
    </xf>
    <xf numFmtId="0" fontId="53" fillId="32" borderId="18" xfId="277" applyFont="1" applyFill="1" applyBorder="1">
      <alignment vertical="top"/>
    </xf>
    <xf numFmtId="0" fontId="53" fillId="32" borderId="23" xfId="277" applyFont="1" applyFill="1" applyBorder="1">
      <alignment vertical="top"/>
    </xf>
    <xf numFmtId="0" fontId="94" fillId="0" borderId="0" xfId="0" applyFont="1"/>
    <xf numFmtId="0" fontId="53" fillId="0" borderId="0" xfId="275" applyFont="1" applyAlignment="1">
      <alignment horizontal="right"/>
    </xf>
    <xf numFmtId="227" fontId="93" fillId="0" borderId="0" xfId="272" applyNumberFormat="1" applyFont="1" applyFill="1" applyAlignment="1">
      <alignment horizontal="center" wrapText="1"/>
    </xf>
    <xf numFmtId="0" fontId="53" fillId="0" borderId="22" xfId="0" applyFont="1" applyBorder="1"/>
    <xf numFmtId="0" fontId="4" fillId="0" borderId="22" xfId="277" applyFont="1" applyBorder="1">
      <alignment vertical="top"/>
    </xf>
    <xf numFmtId="0" fontId="0" fillId="0" borderId="0" xfId="0" applyFill="1"/>
    <xf numFmtId="0" fontId="95" fillId="35" borderId="0" xfId="275" applyFont="1" applyFill="1" applyAlignment="1"/>
    <xf numFmtId="227" fontId="96" fillId="35" borderId="0" xfId="272" applyNumberFormat="1" applyFont="1" applyFill="1" applyAlignment="1">
      <alignment horizontal="center" wrapText="1"/>
    </xf>
    <xf numFmtId="0" fontId="53" fillId="0" borderId="0" xfId="277" applyFont="1" applyFill="1">
      <alignment vertical="top"/>
    </xf>
    <xf numFmtId="0" fontId="53" fillId="0" borderId="0" xfId="275" applyFont="1" applyFill="1" applyAlignment="1">
      <alignment horizontal="right"/>
    </xf>
    <xf numFmtId="0" fontId="53" fillId="0" borderId="0" xfId="0" applyFont="1"/>
    <xf numFmtId="37" fontId="2" fillId="32" borderId="0" xfId="275" applyNumberFormat="1" applyFont="1" applyFill="1" applyBorder="1" applyAlignment="1">
      <alignment horizontal="right"/>
    </xf>
    <xf numFmtId="0" fontId="0" fillId="32" borderId="0" xfId="0" applyFill="1" applyAlignment="1">
      <alignment horizontal="right"/>
    </xf>
    <xf numFmtId="0" fontId="4" fillId="0" borderId="0" xfId="277" applyFont="1" applyFill="1" applyBorder="1" applyAlignment="1">
      <alignment horizontal="right" vertical="top"/>
    </xf>
    <xf numFmtId="3" fontId="96" fillId="35" borderId="0" xfId="272" applyNumberFormat="1" applyFont="1" applyFill="1" applyAlignment="1">
      <alignment horizontal="center" wrapText="1"/>
    </xf>
    <xf numFmtId="1" fontId="96" fillId="35" borderId="0" xfId="272" applyNumberFormat="1" applyFont="1" applyFill="1" applyAlignment="1">
      <alignment horizontal="center" wrapText="1"/>
    </xf>
    <xf numFmtId="0" fontId="4" fillId="0" borderId="24" xfId="275" quotePrefix="1" applyFont="1" applyFill="1" applyBorder="1" applyAlignment="1">
      <alignment horizontal="left"/>
    </xf>
    <xf numFmtId="0" fontId="2" fillId="0" borderId="14" xfId="275" applyFont="1" applyFill="1" applyBorder="1"/>
    <xf numFmtId="0" fontId="2" fillId="0" borderId="25" xfId="275" applyFont="1" applyFill="1" applyBorder="1"/>
    <xf numFmtId="263" fontId="94" fillId="0" borderId="0" xfId="119" applyNumberFormat="1" applyFont="1"/>
    <xf numFmtId="263" fontId="0" fillId="0" borderId="0" xfId="119" applyNumberFormat="1" applyFont="1"/>
    <xf numFmtId="263" fontId="4" fillId="0" borderId="0" xfId="119" applyNumberFormat="1" applyFont="1" applyAlignment="1">
      <alignment vertical="top"/>
    </xf>
    <xf numFmtId="263" fontId="96" fillId="35" borderId="0" xfId="119" applyNumberFormat="1" applyFont="1" applyFill="1" applyAlignment="1">
      <alignment horizontal="center" wrapText="1"/>
    </xf>
    <xf numFmtId="263" fontId="4" fillId="0" borderId="0" xfId="119" applyNumberFormat="1" applyFont="1" applyFill="1" applyBorder="1" applyAlignment="1">
      <alignment horizontal="right" vertical="top"/>
    </xf>
    <xf numFmtId="263" fontId="2" fillId="32" borderId="0" xfId="119" applyNumberFormat="1" applyFont="1" applyFill="1" applyBorder="1" applyAlignment="1">
      <alignment horizontal="right"/>
    </xf>
    <xf numFmtId="263" fontId="0" fillId="32" borderId="0" xfId="119" applyNumberFormat="1" applyFont="1" applyFill="1" applyAlignment="1">
      <alignment horizontal="right"/>
    </xf>
    <xf numFmtId="263" fontId="0" fillId="0" borderId="0" xfId="119" applyNumberFormat="1" applyFont="1" applyBorder="1"/>
    <xf numFmtId="176" fontId="4" fillId="0" borderId="0" xfId="274" applyFont="1" applyAlignment="1">
      <alignment horizontal="left"/>
    </xf>
    <xf numFmtId="263" fontId="4" fillId="0" borderId="0" xfId="119" applyNumberFormat="1" applyFont="1" applyAlignment="1">
      <alignment horizontal="center"/>
    </xf>
    <xf numFmtId="0" fontId="94" fillId="0" borderId="0" xfId="263" applyFont="1" applyAlignment="1">
      <alignment horizontal="center"/>
    </xf>
    <xf numFmtId="263" fontId="4" fillId="0" borderId="0" xfId="119" applyNumberFormat="1" applyFont="1"/>
    <xf numFmtId="0" fontId="4" fillId="0" borderId="0" xfId="263" applyAlignment="1">
      <alignment horizontal="center"/>
    </xf>
    <xf numFmtId="0" fontId="4" fillId="0" borderId="0" xfId="277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277" applyFont="1" applyBorder="1" applyAlignment="1">
      <alignment horizontal="center" vertical="top"/>
    </xf>
    <xf numFmtId="0" fontId="4" fillId="0" borderId="0" xfId="277" applyFont="1" applyFill="1" applyBorder="1" applyAlignment="1">
      <alignment horizontal="center" vertical="top"/>
    </xf>
    <xf numFmtId="0" fontId="4" fillId="0" borderId="0" xfId="264" applyAlignment="1">
      <alignment horizontal="center"/>
    </xf>
    <xf numFmtId="0" fontId="53" fillId="0" borderId="0" xfId="264" applyFont="1"/>
    <xf numFmtId="0" fontId="5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176" fontId="4" fillId="0" borderId="0" xfId="274" applyFont="1" applyFill="1" applyAlignment="1">
      <alignment horizontal="center"/>
    </xf>
    <xf numFmtId="264" fontId="4" fillId="0" borderId="0" xfId="274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263" fontId="97" fillId="0" borderId="0" xfId="0" applyNumberFormat="1" applyFont="1" applyAlignment="1">
      <alignment horizontal="center"/>
    </xf>
    <xf numFmtId="0" fontId="97" fillId="0" borderId="0" xfId="0" applyFont="1" applyAlignment="1">
      <alignment horizontal="center"/>
    </xf>
    <xf numFmtId="0" fontId="97" fillId="0" borderId="0" xfId="0" applyFont="1"/>
    <xf numFmtId="176" fontId="2" fillId="0" borderId="0" xfId="274" applyFont="1" applyAlignment="1">
      <alignment horizontal="left"/>
    </xf>
    <xf numFmtId="0" fontId="95" fillId="35" borderId="0" xfId="275" applyFont="1" applyFill="1" applyAlignment="1">
      <alignment horizontal="center"/>
    </xf>
    <xf numFmtId="263" fontId="0" fillId="0" borderId="0" xfId="0" applyNumberFormat="1"/>
    <xf numFmtId="0" fontId="4" fillId="0" borderId="0" xfId="263" applyFont="1" applyAlignment="1">
      <alignment horizontal="center"/>
    </xf>
    <xf numFmtId="0" fontId="100" fillId="0" borderId="0" xfId="0" applyFont="1"/>
    <xf numFmtId="0" fontId="100" fillId="0" borderId="0" xfId="0" applyFont="1" applyAlignment="1">
      <alignment wrapText="1"/>
    </xf>
    <xf numFmtId="265" fontId="100" fillId="0" borderId="0" xfId="147" applyNumberFormat="1" applyFont="1"/>
    <xf numFmtId="0" fontId="100" fillId="0" borderId="0" xfId="0" applyFont="1" applyAlignment="1">
      <alignment horizontal="right"/>
    </xf>
    <xf numFmtId="0" fontId="100" fillId="0" borderId="1" xfId="0" applyFont="1" applyBorder="1"/>
    <xf numFmtId="0" fontId="100" fillId="0" borderId="0" xfId="0" applyFont="1" applyAlignment="1">
      <alignment horizontal="center" wrapText="1"/>
    </xf>
    <xf numFmtId="265" fontId="4" fillId="0" borderId="0" xfId="147" applyNumberFormat="1" applyFont="1"/>
    <xf numFmtId="265" fontId="101" fillId="0" borderId="0" xfId="147" applyNumberFormat="1" applyFont="1"/>
    <xf numFmtId="265" fontId="98" fillId="0" borderId="0" xfId="147" applyNumberFormat="1" applyFont="1"/>
    <xf numFmtId="0" fontId="0" fillId="0" borderId="0" xfId="0" applyBorder="1"/>
    <xf numFmtId="0" fontId="104" fillId="35" borderId="0" xfId="0" applyFont="1" applyFill="1" applyAlignment="1">
      <alignment horizontal="center"/>
    </xf>
    <xf numFmtId="0" fontId="95" fillId="35" borderId="0" xfId="275" applyFont="1" applyFill="1" applyAlignment="1">
      <alignment horizontal="center" wrapText="1"/>
    </xf>
    <xf numFmtId="0" fontId="104" fillId="35" borderId="0" xfId="0" applyFont="1" applyFill="1" applyAlignment="1">
      <alignment horizontal="center" wrapText="1"/>
    </xf>
    <xf numFmtId="0" fontId="4" fillId="0" borderId="14" xfId="275" applyFont="1" applyFill="1" applyBorder="1" applyAlignment="1">
      <alignment horizontal="left"/>
    </xf>
    <xf numFmtId="0" fontId="4" fillId="0" borderId="14" xfId="275" applyFont="1" applyFill="1" applyBorder="1"/>
    <xf numFmtId="0" fontId="4" fillId="0" borderId="25" xfId="275" applyFont="1" applyFill="1" applyBorder="1"/>
    <xf numFmtId="0" fontId="4" fillId="0" borderId="0" xfId="275" applyFont="1" applyFill="1" applyBorder="1"/>
    <xf numFmtId="0" fontId="16" fillId="0" borderId="0" xfId="0" applyFont="1" applyAlignment="1">
      <alignment horizontal="center"/>
    </xf>
    <xf numFmtId="0" fontId="53" fillId="0" borderId="0" xfId="275" applyFont="1" applyAlignment="1">
      <alignment horizontal="left"/>
    </xf>
    <xf numFmtId="263" fontId="4" fillId="0" borderId="0" xfId="136" applyNumberFormat="1" applyFont="1" applyAlignment="1">
      <alignment horizontal="center"/>
    </xf>
    <xf numFmtId="263" fontId="94" fillId="0" borderId="0" xfId="136" applyNumberFormat="1" applyFont="1"/>
    <xf numFmtId="263" fontId="4" fillId="0" borderId="0" xfId="136" applyNumberFormat="1" applyFont="1"/>
    <xf numFmtId="263" fontId="4" fillId="0" borderId="0" xfId="136" applyNumberFormat="1" applyFont="1" applyAlignment="1">
      <alignment vertical="top"/>
    </xf>
    <xf numFmtId="263" fontId="0" fillId="0" borderId="0" xfId="136" applyNumberFormat="1" applyFont="1" applyAlignment="1">
      <alignment horizontal="center"/>
    </xf>
    <xf numFmtId="263" fontId="0" fillId="0" borderId="0" xfId="136" applyNumberFormat="1" applyFont="1"/>
    <xf numFmtId="263" fontId="96" fillId="35" borderId="0" xfId="136" applyNumberFormat="1" applyFont="1" applyFill="1" applyAlignment="1">
      <alignment horizontal="center" wrapText="1"/>
    </xf>
    <xf numFmtId="263" fontId="16" fillId="0" borderId="0" xfId="136" applyNumberFormat="1" applyFont="1" applyBorder="1" applyAlignment="1">
      <alignment horizontal="right" vertical="top"/>
    </xf>
    <xf numFmtId="263" fontId="16" fillId="0" borderId="27" xfId="136" applyNumberFormat="1" applyFont="1" applyBorder="1" applyAlignment="1">
      <alignment horizontal="right" vertical="top"/>
    </xf>
    <xf numFmtId="263" fontId="16" fillId="0" borderId="0" xfId="0" applyNumberFormat="1" applyFont="1" applyBorder="1" applyAlignment="1">
      <alignment horizontal="center"/>
    </xf>
    <xf numFmtId="263" fontId="16" fillId="0" borderId="0" xfId="136" applyNumberFormat="1" applyFont="1" applyBorder="1" applyAlignment="1">
      <alignment horizontal="center" vertical="top"/>
    </xf>
    <xf numFmtId="263" fontId="16" fillId="0" borderId="27" xfId="136" applyNumberFormat="1" applyFont="1" applyBorder="1" applyAlignment="1">
      <alignment horizontal="center" vertical="top"/>
    </xf>
    <xf numFmtId="263" fontId="4" fillId="0" borderId="0" xfId="136" applyNumberFormat="1" applyFont="1" applyBorder="1" applyAlignment="1">
      <alignment horizontal="center" vertical="top"/>
    </xf>
    <xf numFmtId="263" fontId="4" fillId="0" borderId="0" xfId="136" applyNumberFormat="1" applyFont="1" applyBorder="1" applyAlignment="1">
      <alignment horizontal="right" vertical="top"/>
    </xf>
    <xf numFmtId="37" fontId="16" fillId="0" borderId="27" xfId="136" applyNumberFormat="1" applyFont="1" applyBorder="1" applyAlignment="1">
      <alignment horizontal="right" vertical="top"/>
    </xf>
    <xf numFmtId="37" fontId="16" fillId="0" borderId="27" xfId="0" applyNumberFormat="1" applyFont="1" applyBorder="1" applyAlignment="1">
      <alignment horizontal="center"/>
    </xf>
    <xf numFmtId="0" fontId="4" fillId="0" borderId="0" xfId="136" applyNumberFormat="1" applyFont="1" applyAlignment="1">
      <alignment horizontal="center"/>
    </xf>
    <xf numFmtId="3" fontId="4" fillId="0" borderId="0" xfId="136" applyNumberFormat="1" applyFont="1"/>
    <xf numFmtId="263" fontId="53" fillId="0" borderId="0" xfId="264" applyNumberFormat="1" applyFont="1" applyFill="1" applyAlignment="1">
      <alignment horizontal="center"/>
    </xf>
    <xf numFmtId="263" fontId="4" fillId="0" borderId="24" xfId="136" quotePrefix="1" applyNumberFormat="1" applyFont="1" applyFill="1" applyBorder="1" applyAlignment="1">
      <alignment horizontal="center"/>
    </xf>
    <xf numFmtId="263" fontId="4" fillId="0" borderId="14" xfId="136" applyNumberFormat="1" applyFont="1" applyFill="1" applyBorder="1" applyAlignment="1">
      <alignment horizontal="center"/>
    </xf>
    <xf numFmtId="263" fontId="4" fillId="0" borderId="25" xfId="136" applyNumberFormat="1" applyFont="1" applyFill="1" applyBorder="1" applyAlignment="1">
      <alignment horizontal="center"/>
    </xf>
    <xf numFmtId="263" fontId="4" fillId="0" borderId="0" xfId="136" applyNumberFormat="1" applyFont="1" applyFill="1" applyBorder="1" applyAlignment="1">
      <alignment horizontal="center"/>
    </xf>
    <xf numFmtId="263" fontId="0" fillId="0" borderId="0" xfId="136" applyNumberFormat="1" applyFont="1" applyBorder="1"/>
    <xf numFmtId="263" fontId="0" fillId="0" borderId="0" xfId="136" applyNumberFormat="1" applyFont="1" applyBorder="1" applyAlignment="1">
      <alignment horizontal="center"/>
    </xf>
    <xf numFmtId="43" fontId="0" fillId="0" borderId="0" xfId="0" applyNumberFormat="1" applyBorder="1"/>
    <xf numFmtId="263" fontId="0" fillId="0" borderId="0" xfId="0" applyNumberFormat="1" applyBorder="1"/>
    <xf numFmtId="263" fontId="53" fillId="0" borderId="0" xfId="136" applyNumberFormat="1" applyFont="1" applyAlignment="1">
      <alignment horizontal="center"/>
    </xf>
    <xf numFmtId="263" fontId="97" fillId="0" borderId="0" xfId="136" applyNumberFormat="1" applyFont="1" applyAlignment="1">
      <alignment horizontal="center"/>
    </xf>
    <xf numFmtId="263" fontId="97" fillId="0" borderId="0" xfId="136" applyNumberFormat="1" applyFont="1" applyFill="1"/>
    <xf numFmtId="0" fontId="53" fillId="0" borderId="0" xfId="0" applyFont="1" applyFill="1"/>
    <xf numFmtId="0" fontId="9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263" fontId="4" fillId="0" borderId="28" xfId="119" applyNumberFormat="1" applyFont="1" applyFill="1" applyBorder="1" applyAlignment="1">
      <alignment horizontal="right" vertical="top"/>
    </xf>
    <xf numFmtId="263" fontId="4" fillId="0" borderId="8" xfId="119" applyNumberFormat="1" applyFont="1" applyFill="1" applyBorder="1" applyAlignment="1">
      <alignment horizontal="right" vertical="top"/>
    </xf>
    <xf numFmtId="176" fontId="4" fillId="0" borderId="13" xfId="277" applyNumberFormat="1" applyFont="1" applyFill="1" applyBorder="1" applyAlignment="1">
      <alignment horizontal="right" vertical="top"/>
    </xf>
    <xf numFmtId="263" fontId="4" fillId="0" borderId="13" xfId="119" applyNumberFormat="1" applyFont="1" applyFill="1" applyBorder="1" applyAlignment="1">
      <alignment horizontal="right" vertical="top"/>
    </xf>
    <xf numFmtId="0" fontId="53" fillId="32" borderId="14" xfId="277" applyFont="1" applyFill="1" applyBorder="1">
      <alignment vertical="top"/>
    </xf>
    <xf numFmtId="0" fontId="4" fillId="0" borderId="24" xfId="275" quotePrefix="1" applyFont="1" applyBorder="1" applyAlignment="1">
      <alignment horizontal="left"/>
    </xf>
    <xf numFmtId="0" fontId="2" fillId="32" borderId="1" xfId="275" applyFont="1" applyFill="1" applyBorder="1" applyAlignment="1">
      <alignment horizontal="right"/>
    </xf>
    <xf numFmtId="0" fontId="2" fillId="0" borderId="14" xfId="275" quotePrefix="1" applyFont="1" applyBorder="1" applyAlignment="1">
      <alignment horizontal="left"/>
    </xf>
    <xf numFmtId="0" fontId="2" fillId="0" borderId="14" xfId="275" applyFont="1" applyBorder="1"/>
    <xf numFmtId="0" fontId="2" fillId="0" borderId="25" xfId="275" applyFont="1" applyBorder="1"/>
    <xf numFmtId="263" fontId="4" fillId="0" borderId="25" xfId="119" applyNumberFormat="1" applyFont="1" applyFill="1" applyBorder="1" applyAlignment="1">
      <alignment horizontal="right" vertical="top"/>
    </xf>
    <xf numFmtId="263" fontId="4" fillId="0" borderId="23" xfId="119" applyNumberFormat="1" applyFont="1" applyFill="1" applyBorder="1" applyAlignment="1">
      <alignment horizontal="right" vertical="top"/>
    </xf>
    <xf numFmtId="263" fontId="4" fillId="0" borderId="1" xfId="119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37" fillId="0" borderId="16" xfId="273" applyFont="1" applyFill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106" fillId="0" borderId="13" xfId="0" applyFont="1" applyBorder="1"/>
    <xf numFmtId="0" fontId="106" fillId="0" borderId="8" xfId="0" applyFont="1" applyBorder="1" applyAlignment="1">
      <alignment wrapText="1"/>
    </xf>
    <xf numFmtId="0" fontId="5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08" fillId="0" borderId="0" xfId="0" applyFont="1" applyBorder="1"/>
    <xf numFmtId="265" fontId="4" fillId="36" borderId="0" xfId="147" applyNumberFormat="1" applyFont="1" applyFill="1"/>
    <xf numFmtId="265" fontId="101" fillId="36" borderId="0" xfId="147" applyNumberFormat="1" applyFont="1" applyFill="1"/>
    <xf numFmtId="0" fontId="100" fillId="36" borderId="0" xfId="0" applyFont="1" applyFill="1" applyAlignment="1">
      <alignment horizontal="center" wrapText="1"/>
    </xf>
    <xf numFmtId="0" fontId="100" fillId="36" borderId="0" xfId="0" applyFont="1" applyFill="1"/>
    <xf numFmtId="0" fontId="0" fillId="0" borderId="0" xfId="0" applyBorder="1" applyAlignment="1">
      <alignment horizontal="center"/>
    </xf>
    <xf numFmtId="263" fontId="53" fillId="0" borderId="0" xfId="136" applyNumberFormat="1" applyFont="1" applyFill="1" applyAlignment="1">
      <alignment horizontal="center" wrapText="1"/>
    </xf>
    <xf numFmtId="263" fontId="99" fillId="0" borderId="0" xfId="136" applyNumberFormat="1" applyFont="1" applyFill="1" applyAlignment="1">
      <alignment horizontal="center" wrapText="1"/>
    </xf>
    <xf numFmtId="263" fontId="105" fillId="0" borderId="18" xfId="136" applyNumberFormat="1" applyFont="1" applyFill="1" applyBorder="1"/>
    <xf numFmtId="263" fontId="105" fillId="0" borderId="23" xfId="136" applyNumberFormat="1" applyFont="1" applyFill="1" applyBorder="1"/>
    <xf numFmtId="263" fontId="105" fillId="0" borderId="14" xfId="136" applyNumberFormat="1" applyFont="1" applyFill="1" applyBorder="1"/>
    <xf numFmtId="263" fontId="105" fillId="0" borderId="22" xfId="136" applyNumberFormat="1" applyFont="1" applyFill="1" applyBorder="1"/>
    <xf numFmtId="263" fontId="105" fillId="0" borderId="24" xfId="136" applyNumberFormat="1" applyFont="1" applyFill="1" applyBorder="1"/>
    <xf numFmtId="263" fontId="105" fillId="0" borderId="25" xfId="136" applyNumberFormat="1" applyFont="1" applyFill="1" applyBorder="1"/>
    <xf numFmtId="263" fontId="4" fillId="0" borderId="0" xfId="119" applyNumberFormat="1" applyFont="1" applyFill="1" applyBorder="1" applyAlignment="1">
      <alignment horizontal="right" vertical="top" wrapText="1"/>
    </xf>
    <xf numFmtId="0" fontId="4" fillId="0" borderId="14" xfId="119" applyNumberFormat="1" applyFont="1" applyFill="1" applyBorder="1" applyAlignment="1">
      <alignment horizontal="right" vertical="top"/>
    </xf>
    <xf numFmtId="0" fontId="4" fillId="0" borderId="0" xfId="119" applyNumberFormat="1" applyFont="1" applyFill="1" applyBorder="1" applyAlignment="1">
      <alignment horizontal="right" vertical="top"/>
    </xf>
    <xf numFmtId="43" fontId="0" fillId="0" borderId="0" xfId="119" applyFont="1"/>
    <xf numFmtId="1" fontId="4" fillId="0" borderId="0" xfId="119" applyNumberFormat="1" applyFont="1" applyFill="1" applyBorder="1" applyAlignment="1">
      <alignment horizontal="center" vertical="top"/>
    </xf>
    <xf numFmtId="263" fontId="0" fillId="0" borderId="24" xfId="119" applyNumberFormat="1" applyFont="1" applyBorder="1"/>
    <xf numFmtId="263" fontId="0" fillId="0" borderId="22" xfId="119" applyNumberFormat="1" applyFont="1" applyBorder="1" applyAlignment="1">
      <alignment horizontal="center"/>
    </xf>
    <xf numFmtId="263" fontId="4" fillId="0" borderId="24" xfId="136" applyNumberFormat="1" applyFont="1" applyFill="1" applyBorder="1" applyAlignment="1">
      <alignment horizontal="center"/>
    </xf>
    <xf numFmtId="263" fontId="0" fillId="0" borderId="24" xfId="136" applyNumberFormat="1" applyFont="1" applyBorder="1"/>
    <xf numFmtId="263" fontId="0" fillId="0" borderId="22" xfId="0" applyNumberFormat="1" applyBorder="1" applyAlignment="1">
      <alignment horizontal="center"/>
    </xf>
    <xf numFmtId="263" fontId="16" fillId="0" borderId="19" xfId="0" applyNumberFormat="1" applyFont="1" applyBorder="1" applyAlignment="1">
      <alignment horizontal="center"/>
    </xf>
    <xf numFmtId="266" fontId="4" fillId="0" borderId="0" xfId="119" applyNumberFormat="1" applyFont="1" applyFill="1" applyBorder="1" applyAlignment="1">
      <alignment horizontal="right" vertical="top"/>
    </xf>
    <xf numFmtId="43" fontId="2" fillId="0" borderId="0" xfId="0" applyNumberFormat="1" applyFont="1"/>
    <xf numFmtId="43" fontId="2" fillId="0" borderId="0" xfId="119" applyFont="1" applyBorder="1"/>
    <xf numFmtId="263" fontId="16" fillId="0" borderId="0" xfId="119" applyNumberFormat="1" applyFont="1" applyFill="1" applyBorder="1" applyAlignment="1">
      <alignment horizontal="right" vertical="top"/>
    </xf>
    <xf numFmtId="3" fontId="16" fillId="0" borderId="0" xfId="136" applyNumberFormat="1" applyFont="1" applyFill="1" applyBorder="1" applyAlignment="1">
      <alignment horizontal="right" vertical="top"/>
    </xf>
    <xf numFmtId="263" fontId="2" fillId="0" borderId="0" xfId="136" applyNumberFormat="1" applyFont="1" applyFill="1" applyBorder="1"/>
    <xf numFmtId="263" fontId="0" fillId="0" borderId="0" xfId="136" applyNumberFormat="1" applyFont="1" applyFill="1" applyBorder="1"/>
    <xf numFmtId="263" fontId="0" fillId="0" borderId="18" xfId="119" applyNumberFormat="1" applyFont="1" applyBorder="1" applyAlignment="1">
      <alignment horizontal="center"/>
    </xf>
    <xf numFmtId="263" fontId="0" fillId="0" borderId="23" xfId="119" applyNumberFormat="1" applyFont="1" applyBorder="1" applyAlignment="1">
      <alignment horizontal="center"/>
    </xf>
    <xf numFmtId="263" fontId="16" fillId="0" borderId="19" xfId="119" applyNumberFormat="1" applyFont="1" applyBorder="1" applyAlignment="1">
      <alignment horizontal="center"/>
    </xf>
    <xf numFmtId="263" fontId="16" fillId="0" borderId="26" xfId="119" applyNumberFormat="1" applyFont="1" applyBorder="1" applyAlignment="1">
      <alignment horizontal="center"/>
    </xf>
    <xf numFmtId="263" fontId="16" fillId="0" borderId="27" xfId="119" applyNumberFormat="1" applyFont="1" applyBorder="1" applyAlignment="1">
      <alignment horizontal="right" vertical="top"/>
    </xf>
    <xf numFmtId="263" fontId="16" fillId="0" borderId="27" xfId="119" applyNumberFormat="1" applyFont="1" applyBorder="1" applyAlignment="1">
      <alignment horizontal="center"/>
    </xf>
    <xf numFmtId="3" fontId="0" fillId="0" borderId="29" xfId="119" applyNumberFormat="1" applyFont="1" applyBorder="1" applyAlignment="1">
      <alignment horizontal="right"/>
    </xf>
    <xf numFmtId="3" fontId="0" fillId="0" borderId="19" xfId="136" applyNumberFormat="1" applyFont="1" applyBorder="1" applyAlignment="1">
      <alignment horizontal="right"/>
    </xf>
    <xf numFmtId="3" fontId="0" fillId="0" borderId="26" xfId="136" applyNumberFormat="1" applyFont="1" applyBorder="1" applyAlignment="1">
      <alignment horizontal="right"/>
    </xf>
    <xf numFmtId="263" fontId="0" fillId="0" borderId="18" xfId="119" applyNumberFormat="1" applyFont="1" applyBorder="1" applyAlignment="1">
      <alignment horizontal="right"/>
    </xf>
    <xf numFmtId="263" fontId="0" fillId="0" borderId="23" xfId="119" applyNumberFormat="1" applyFont="1" applyBorder="1" applyAlignment="1">
      <alignment horizontal="right"/>
    </xf>
    <xf numFmtId="0" fontId="4" fillId="0" borderId="18" xfId="275" applyFont="1" applyFill="1" applyBorder="1" applyAlignment="1">
      <alignment horizontal="left"/>
    </xf>
    <xf numFmtId="0" fontId="4" fillId="0" borderId="18" xfId="275" applyFont="1" applyFill="1" applyBorder="1"/>
    <xf numFmtId="0" fontId="4" fillId="0" borderId="23" xfId="275" applyFont="1" applyFill="1" applyBorder="1"/>
    <xf numFmtId="0" fontId="16" fillId="0" borderId="19" xfId="0" applyNumberFormat="1" applyFont="1" applyBorder="1" applyAlignment="1">
      <alignment horizontal="right"/>
    </xf>
    <xf numFmtId="0" fontId="16" fillId="0" borderId="26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16" fillId="0" borderId="0" xfId="136" applyNumberFormat="1" applyFont="1" applyBorder="1" applyAlignment="1">
      <alignment horizontal="center" vertical="top"/>
    </xf>
    <xf numFmtId="1" fontId="16" fillId="0" borderId="27" xfId="0" applyNumberFormat="1" applyFont="1" applyBorder="1" applyAlignment="1">
      <alignment horizontal="right"/>
    </xf>
    <xf numFmtId="176" fontId="2" fillId="0" borderId="13" xfId="277" applyNumberFormat="1" applyFont="1" applyFill="1" applyBorder="1" applyAlignment="1">
      <alignment horizontal="right" vertical="top"/>
    </xf>
    <xf numFmtId="263" fontId="53" fillId="37" borderId="0" xfId="264" applyNumberFormat="1" applyFont="1" applyFill="1" applyAlignment="1">
      <alignment horizontal="center"/>
    </xf>
    <xf numFmtId="263" fontId="0" fillId="0" borderId="0" xfId="119" applyNumberFormat="1" applyFont="1" applyBorder="1" applyAlignment="1">
      <alignment horizontal="center"/>
    </xf>
    <xf numFmtId="3" fontId="0" fillId="0" borderId="0" xfId="119" applyNumberFormat="1" applyFont="1" applyBorder="1" applyAlignment="1">
      <alignment horizontal="right"/>
    </xf>
    <xf numFmtId="3" fontId="0" fillId="0" borderId="0" xfId="136" applyNumberFormat="1" applyFont="1" applyBorder="1" applyAlignment="1">
      <alignment horizontal="right"/>
    </xf>
    <xf numFmtId="263" fontId="97" fillId="37" borderId="0" xfId="119" applyNumberFormat="1" applyFont="1" applyFill="1" applyBorder="1" applyAlignment="1">
      <alignment horizontal="center"/>
    </xf>
    <xf numFmtId="263" fontId="97" fillId="37" borderId="0" xfId="119" applyNumberFormat="1" applyFont="1" applyFill="1" applyAlignment="1">
      <alignment horizontal="center"/>
    </xf>
    <xf numFmtId="0" fontId="107" fillId="0" borderId="0" xfId="0" applyFont="1" applyFill="1" applyBorder="1"/>
    <xf numFmtId="0" fontId="0" fillId="0" borderId="0" xfId="0" applyFill="1" applyBorder="1"/>
    <xf numFmtId="0" fontId="4" fillId="0" borderId="0" xfId="0" applyFont="1" applyFill="1"/>
    <xf numFmtId="0" fontId="108" fillId="0" borderId="0" xfId="0" applyFont="1" applyFill="1" applyBorder="1"/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43" fontId="0" fillId="0" borderId="0" xfId="119" applyFont="1" applyFill="1"/>
    <xf numFmtId="43" fontId="0" fillId="0" borderId="0" xfId="0" applyNumberFormat="1" applyFill="1"/>
    <xf numFmtId="14" fontId="0" fillId="0" borderId="0" xfId="0" applyNumberFormat="1" applyFill="1"/>
    <xf numFmtId="263" fontId="0" fillId="0" borderId="0" xfId="0" applyNumberFormat="1" applyFill="1"/>
    <xf numFmtId="0" fontId="2" fillId="0" borderId="0" xfId="0" applyFont="1" applyFill="1" applyAlignment="1">
      <alignment wrapText="1"/>
    </xf>
    <xf numFmtId="263" fontId="0" fillId="0" borderId="0" xfId="119" applyNumberFormat="1" applyFont="1" applyFill="1"/>
    <xf numFmtId="0" fontId="4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" fontId="0" fillId="0" borderId="0" xfId="119" applyNumberFormat="1" applyFont="1" applyFill="1" applyAlignment="1">
      <alignment horizontal="center"/>
    </xf>
    <xf numFmtId="17" fontId="0" fillId="0" borderId="0" xfId="0" applyNumberFormat="1" applyFill="1" applyAlignment="1">
      <alignment horizontal="center"/>
    </xf>
    <xf numFmtId="43" fontId="0" fillId="0" borderId="0" xfId="0" applyNumberFormat="1" applyFill="1" applyBorder="1"/>
    <xf numFmtId="263" fontId="2" fillId="0" borderId="0" xfId="119" applyNumberFormat="1" applyFont="1" applyFill="1" applyBorder="1" applyAlignment="1">
      <alignment horizontal="right" vertical="top"/>
    </xf>
    <xf numFmtId="0" fontId="2" fillId="0" borderId="0" xfId="0" applyFont="1" applyFill="1"/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263" fontId="4" fillId="0" borderId="0" xfId="119" applyNumberFormat="1" applyFont="1" applyFill="1" applyBorder="1" applyAlignment="1"/>
    <xf numFmtId="263" fontId="16" fillId="0" borderId="18" xfId="119" applyNumberFormat="1" applyFont="1" applyFill="1" applyBorder="1" applyProtection="1">
      <protection locked="0"/>
    </xf>
    <xf numFmtId="263" fontId="16" fillId="0" borderId="18" xfId="119" applyNumberFormat="1" applyFont="1" applyFill="1" applyBorder="1" applyAlignment="1">
      <alignment horizontal="right" vertical="top"/>
    </xf>
    <xf numFmtId="0" fontId="16" fillId="0" borderId="18" xfId="0" applyFont="1" applyFill="1" applyBorder="1" applyAlignment="1">
      <alignment horizontal="right"/>
    </xf>
    <xf numFmtId="263" fontId="16" fillId="0" borderId="18" xfId="0" applyNumberFormat="1" applyFont="1" applyFill="1" applyBorder="1" applyAlignment="1">
      <alignment horizontal="center" vertical="top"/>
    </xf>
    <xf numFmtId="263" fontId="16" fillId="0" borderId="19" xfId="119" applyNumberFormat="1" applyFont="1" applyFill="1" applyBorder="1" applyAlignment="1">
      <alignment horizontal="right" vertical="top"/>
    </xf>
    <xf numFmtId="3" fontId="16" fillId="0" borderId="18" xfId="136" applyNumberFormat="1" applyFont="1" applyFill="1" applyBorder="1" applyAlignment="1">
      <alignment horizontal="right" vertical="top"/>
    </xf>
    <xf numFmtId="3" fontId="16" fillId="0" borderId="19" xfId="136" applyNumberFormat="1" applyFont="1" applyFill="1" applyBorder="1" applyAlignment="1">
      <alignment horizontal="right" vertical="top"/>
    </xf>
    <xf numFmtId="263" fontId="16" fillId="0" borderId="19" xfId="119" applyNumberFormat="1" applyFont="1" applyFill="1" applyBorder="1" applyAlignment="1">
      <alignment horizontal="center" vertical="top"/>
    </xf>
    <xf numFmtId="3" fontId="16" fillId="0" borderId="18" xfId="0" applyNumberFormat="1" applyFont="1" applyFill="1" applyBorder="1" applyAlignment="1">
      <alignment horizontal="right"/>
    </xf>
    <xf numFmtId="43" fontId="16" fillId="0" borderId="19" xfId="119" applyFont="1" applyFill="1" applyBorder="1" applyAlignment="1">
      <alignment horizontal="center" vertical="top"/>
    </xf>
    <xf numFmtId="263" fontId="16" fillId="0" borderId="23" xfId="119" applyNumberFormat="1" applyFont="1" applyFill="1" applyBorder="1" applyAlignment="1">
      <alignment horizontal="right" vertical="top"/>
    </xf>
    <xf numFmtId="3" fontId="16" fillId="0" borderId="23" xfId="136" applyNumberFormat="1" applyFont="1" applyFill="1" applyBorder="1" applyAlignment="1">
      <alignment horizontal="right" vertical="top"/>
    </xf>
    <xf numFmtId="3" fontId="16" fillId="0" borderId="26" xfId="136" applyNumberFormat="1" applyFont="1" applyFill="1" applyBorder="1" applyAlignment="1">
      <alignment horizontal="right" vertical="top"/>
    </xf>
    <xf numFmtId="3" fontId="16" fillId="0" borderId="23" xfId="0" applyNumberFormat="1" applyFont="1" applyFill="1" applyBorder="1" applyAlignment="1">
      <alignment horizontal="right"/>
    </xf>
    <xf numFmtId="43" fontId="16" fillId="0" borderId="26" xfId="119" applyFont="1" applyFill="1" applyBorder="1" applyAlignment="1">
      <alignment horizontal="center" vertical="top"/>
    </xf>
    <xf numFmtId="263" fontId="16" fillId="0" borderId="18" xfId="119" applyNumberFormat="1" applyFont="1" applyFill="1" applyBorder="1" applyAlignment="1">
      <alignment horizontal="center" vertical="top"/>
    </xf>
    <xf numFmtId="263" fontId="16" fillId="0" borderId="18" xfId="119" applyNumberFormat="1" applyFont="1" applyFill="1" applyBorder="1" applyAlignment="1">
      <alignment horizontal="right"/>
    </xf>
    <xf numFmtId="263" fontId="16" fillId="0" borderId="18" xfId="136" applyNumberFormat="1" applyFont="1" applyFill="1" applyBorder="1" applyProtection="1">
      <protection locked="0"/>
    </xf>
    <xf numFmtId="263" fontId="16" fillId="0" borderId="23" xfId="136" applyNumberFormat="1" applyFont="1" applyFill="1" applyBorder="1" applyProtection="1">
      <protection locked="0"/>
    </xf>
    <xf numFmtId="0" fontId="16" fillId="0" borderId="23" xfId="0" applyFont="1" applyFill="1" applyBorder="1" applyAlignment="1">
      <alignment horizontal="right"/>
    </xf>
    <xf numFmtId="0" fontId="16" fillId="0" borderId="18" xfId="119" applyNumberFormat="1" applyFont="1" applyFill="1" applyBorder="1" applyAlignment="1">
      <alignment horizontal="right"/>
    </xf>
    <xf numFmtId="263" fontId="16" fillId="0" borderId="18" xfId="136" applyNumberFormat="1" applyFont="1" applyFill="1" applyBorder="1" applyAlignment="1">
      <alignment horizontal="center" vertical="top"/>
    </xf>
    <xf numFmtId="3" fontId="16" fillId="0" borderId="18" xfId="119" applyNumberFormat="1" applyFont="1" applyFill="1" applyBorder="1" applyAlignment="1">
      <alignment horizontal="right"/>
    </xf>
    <xf numFmtId="263" fontId="16" fillId="0" borderId="23" xfId="136" applyNumberFormat="1" applyFont="1" applyFill="1" applyBorder="1" applyAlignment="1">
      <alignment horizontal="center" vertical="top"/>
    </xf>
    <xf numFmtId="263" fontId="16" fillId="0" borderId="26" xfId="119" applyNumberFormat="1" applyFont="1" applyFill="1" applyBorder="1" applyAlignment="1">
      <alignment horizontal="right" vertical="top"/>
    </xf>
    <xf numFmtId="3" fontId="16" fillId="0" borderId="23" xfId="119" applyNumberFormat="1" applyFont="1" applyFill="1" applyBorder="1" applyAlignment="1">
      <alignment horizontal="right"/>
    </xf>
    <xf numFmtId="1" fontId="16" fillId="0" borderId="18" xfId="0" applyNumberFormat="1" applyFont="1" applyFill="1" applyBorder="1" applyAlignment="1">
      <alignment horizontal="right"/>
    </xf>
    <xf numFmtId="1" fontId="16" fillId="0" borderId="23" xfId="136" applyNumberFormat="1" applyFont="1" applyFill="1" applyBorder="1" applyAlignment="1">
      <alignment horizontal="right"/>
    </xf>
    <xf numFmtId="263" fontId="0" fillId="0" borderId="24" xfId="119" applyNumberFormat="1" applyFont="1" applyFill="1" applyBorder="1" applyAlignment="1">
      <alignment horizontal="center"/>
    </xf>
    <xf numFmtId="263" fontId="105" fillId="0" borderId="0" xfId="136" applyNumberFormat="1" applyFont="1" applyFill="1" applyBorder="1" applyAlignment="1">
      <alignment horizontal="center"/>
    </xf>
    <xf numFmtId="263" fontId="105" fillId="0" borderId="23" xfId="136" applyNumberFormat="1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right"/>
    </xf>
    <xf numFmtId="43" fontId="4" fillId="0" borderId="0" xfId="0" applyNumberFormat="1" applyFont="1" applyFill="1" applyBorder="1"/>
    <xf numFmtId="43" fontId="0" fillId="0" borderId="1" xfId="0" applyNumberFormat="1" applyFill="1" applyBorder="1"/>
    <xf numFmtId="263" fontId="0" fillId="0" borderId="29" xfId="119" applyNumberFormat="1" applyFont="1" applyBorder="1" applyAlignment="1">
      <alignment horizontal="center"/>
    </xf>
    <xf numFmtId="263" fontId="0" fillId="0" borderId="19" xfId="119" applyNumberFormat="1" applyFont="1" applyBorder="1" applyAlignment="1">
      <alignment horizontal="center"/>
    </xf>
    <xf numFmtId="265" fontId="4" fillId="0" borderId="0" xfId="147" applyNumberFormat="1" applyFont="1" applyFill="1"/>
    <xf numFmtId="263" fontId="4" fillId="0" borderId="0" xfId="119" applyNumberFormat="1" applyFont="1" applyFill="1" applyAlignment="1"/>
    <xf numFmtId="265" fontId="4" fillId="0" borderId="1" xfId="147" applyNumberFormat="1" applyFont="1" applyFill="1" applyBorder="1"/>
    <xf numFmtId="265" fontId="4" fillId="0" borderId="0" xfId="147" applyNumberFormat="1" applyFont="1" applyFill="1" applyBorder="1" applyAlignment="1"/>
    <xf numFmtId="265" fontId="4" fillId="0" borderId="0" xfId="147" applyNumberFormat="1" applyFont="1" applyFill="1" applyAlignment="1"/>
    <xf numFmtId="263" fontId="0" fillId="0" borderId="26" xfId="119" applyNumberFormat="1" applyFont="1" applyBorder="1" applyAlignment="1">
      <alignment horizontal="center"/>
    </xf>
    <xf numFmtId="263" fontId="105" fillId="36" borderId="29" xfId="136" applyNumberFormat="1" applyFont="1" applyFill="1" applyBorder="1"/>
    <xf numFmtId="263" fontId="105" fillId="36" borderId="19" xfId="136" applyNumberFormat="1" applyFont="1" applyFill="1" applyBorder="1"/>
    <xf numFmtId="263" fontId="105" fillId="36" borderId="26" xfId="136" applyNumberFormat="1" applyFont="1" applyFill="1" applyBorder="1"/>
    <xf numFmtId="263" fontId="0" fillId="0" borderId="22" xfId="119" applyNumberFormat="1" applyFont="1" applyFill="1" applyBorder="1"/>
    <xf numFmtId="263" fontId="0" fillId="0" borderId="22" xfId="119" applyNumberFormat="1" applyFont="1" applyFill="1" applyBorder="1" applyAlignment="1">
      <alignment horizontal="center"/>
    </xf>
    <xf numFmtId="263" fontId="0" fillId="0" borderId="18" xfId="119" applyNumberFormat="1" applyFont="1" applyFill="1" applyBorder="1" applyAlignment="1">
      <alignment horizontal="center"/>
    </xf>
    <xf numFmtId="263" fontId="0" fillId="0" borderId="23" xfId="119" applyNumberFormat="1" applyFont="1" applyFill="1" applyBorder="1" applyAlignment="1">
      <alignment horizontal="center"/>
    </xf>
    <xf numFmtId="43" fontId="0" fillId="0" borderId="22" xfId="0" applyNumberFormat="1" applyFill="1" applyBorder="1"/>
    <xf numFmtId="43" fontId="0" fillId="0" borderId="18" xfId="0" applyNumberFormat="1" applyFill="1" applyBorder="1"/>
    <xf numFmtId="43" fontId="0" fillId="0" borderId="23" xfId="0" applyNumberFormat="1" applyFill="1" applyBorder="1"/>
    <xf numFmtId="263" fontId="4" fillId="0" borderId="14" xfId="119" applyNumberFormat="1" applyFont="1" applyFill="1" applyBorder="1" applyAlignment="1">
      <alignment horizontal="right" vertical="top"/>
    </xf>
    <xf numFmtId="263" fontId="4" fillId="0" borderId="14" xfId="119" applyNumberFormat="1" applyFont="1" applyFill="1" applyBorder="1" applyProtection="1">
      <protection locked="0"/>
    </xf>
    <xf numFmtId="2" fontId="4" fillId="0" borderId="18" xfId="277" applyNumberFormat="1" applyFont="1" applyFill="1" applyBorder="1" applyAlignment="1">
      <alignment horizontal="right" vertical="top"/>
    </xf>
    <xf numFmtId="263" fontId="4" fillId="0" borderId="18" xfId="119" applyNumberFormat="1" applyFont="1" applyFill="1" applyBorder="1" applyAlignment="1">
      <alignment horizontal="right" vertical="top"/>
    </xf>
    <xf numFmtId="263" fontId="4" fillId="0" borderId="19" xfId="119" applyNumberFormat="1" applyFont="1" applyFill="1" applyBorder="1" applyAlignment="1">
      <alignment horizontal="right" vertical="top"/>
    </xf>
    <xf numFmtId="263" fontId="4" fillId="0" borderId="24" xfId="119" applyNumberFormat="1" applyFont="1" applyFill="1" applyBorder="1" applyAlignment="1">
      <alignment horizontal="right" vertical="top"/>
    </xf>
    <xf numFmtId="263" fontId="4" fillId="0" borderId="22" xfId="119" applyNumberFormat="1" applyFont="1" applyFill="1" applyBorder="1" applyAlignment="1">
      <alignment horizontal="right" vertical="top"/>
    </xf>
    <xf numFmtId="2" fontId="4" fillId="0" borderId="22" xfId="277" applyNumberFormat="1" applyFont="1" applyFill="1" applyBorder="1" applyAlignment="1">
      <alignment horizontal="right" vertical="top"/>
    </xf>
    <xf numFmtId="263" fontId="2" fillId="0" borderId="18" xfId="119" applyNumberFormat="1" applyFont="1" applyFill="1" applyBorder="1" applyAlignment="1">
      <alignment horizontal="right" vertical="top"/>
    </xf>
    <xf numFmtId="176" fontId="4" fillId="0" borderId="22" xfId="147" applyNumberFormat="1" applyFont="1" applyFill="1" applyBorder="1" applyAlignment="1">
      <alignment horizontal="right" vertical="top"/>
    </xf>
    <xf numFmtId="176" fontId="4" fillId="0" borderId="18" xfId="147" applyNumberFormat="1" applyFont="1" applyFill="1" applyBorder="1" applyAlignment="1">
      <alignment horizontal="right" vertical="top"/>
    </xf>
    <xf numFmtId="176" fontId="4" fillId="0" borderId="23" xfId="147" applyNumberFormat="1" applyFont="1" applyFill="1" applyBorder="1" applyAlignment="1">
      <alignment horizontal="right" vertical="top"/>
    </xf>
    <xf numFmtId="263" fontId="4" fillId="0" borderId="3" xfId="119" applyNumberFormat="1" applyFont="1" applyFill="1" applyBorder="1" applyAlignment="1">
      <alignment horizontal="right" vertical="top"/>
    </xf>
    <xf numFmtId="176" fontId="4" fillId="0" borderId="22" xfId="277" applyNumberFormat="1" applyFont="1" applyFill="1" applyBorder="1" applyAlignment="1">
      <alignment horizontal="right" vertical="top"/>
    </xf>
    <xf numFmtId="263" fontId="4" fillId="0" borderId="26" xfId="119" applyNumberFormat="1" applyFont="1" applyFill="1" applyBorder="1" applyAlignment="1">
      <alignment horizontal="right" vertical="top"/>
    </xf>
    <xf numFmtId="2" fontId="4" fillId="0" borderId="23" xfId="277" applyNumberFormat="1" applyFont="1" applyFill="1" applyBorder="1" applyAlignment="1">
      <alignment horizontal="right" vertical="top"/>
    </xf>
    <xf numFmtId="0" fontId="1" fillId="0" borderId="0" xfId="523"/>
    <xf numFmtId="176" fontId="1" fillId="0" borderId="0" xfId="523" applyNumberFormat="1" applyFont="1" applyFill="1" applyAlignment="1"/>
    <xf numFmtId="265" fontId="1" fillId="0" borderId="0" xfId="524" applyNumberFormat="1" applyFont="1" applyAlignment="1"/>
    <xf numFmtId="176" fontId="1" fillId="0" borderId="0" xfId="523" quotePrefix="1" applyNumberFormat="1" applyFont="1" applyAlignment="1">
      <alignment horizontal="center"/>
    </xf>
    <xf numFmtId="216" fontId="1" fillId="0" borderId="0" xfId="523" quotePrefix="1" applyNumberFormat="1" applyFont="1" applyAlignment="1">
      <alignment horizontal="center"/>
    </xf>
    <xf numFmtId="176" fontId="109" fillId="0" borderId="0" xfId="523" quotePrefix="1" applyNumberFormat="1" applyFont="1" applyBorder="1" applyAlignment="1">
      <alignment horizontal="center"/>
    </xf>
    <xf numFmtId="176" fontId="110" fillId="0" borderId="0" xfId="523" applyNumberFormat="1" applyFont="1" applyBorder="1" applyAlignment="1">
      <alignment horizontal="left"/>
    </xf>
    <xf numFmtId="0" fontId="111" fillId="0" borderId="0" xfId="523" quotePrefix="1" applyNumberFormat="1" applyFont="1" applyAlignment="1">
      <alignment horizontal="center"/>
    </xf>
    <xf numFmtId="176" fontId="111" fillId="0" borderId="0" xfId="523" quotePrefix="1" applyNumberFormat="1" applyFont="1" applyAlignment="1">
      <alignment horizontal="center"/>
    </xf>
    <xf numFmtId="176" fontId="110" fillId="0" borderId="0" xfId="523" quotePrefix="1" applyNumberFormat="1" applyFont="1" applyBorder="1" applyAlignment="1">
      <alignment horizontal="center"/>
    </xf>
    <xf numFmtId="176" fontId="110" fillId="0" borderId="0" xfId="523" applyNumberFormat="1" applyFont="1" applyBorder="1" applyAlignment="1">
      <alignment horizontal="center"/>
    </xf>
    <xf numFmtId="176" fontId="110" fillId="0" borderId="0" xfId="523" applyNumberFormat="1" applyFont="1" applyFill="1" applyBorder="1" applyAlignment="1">
      <alignment horizontal="center"/>
    </xf>
    <xf numFmtId="176" fontId="111" fillId="0" borderId="1" xfId="523" applyNumberFormat="1" applyFont="1" applyBorder="1" applyAlignment="1"/>
    <xf numFmtId="176" fontId="110" fillId="0" borderId="1" xfId="523" applyNumberFormat="1" applyFont="1" applyBorder="1" applyAlignment="1">
      <alignment horizontal="center"/>
    </xf>
    <xf numFmtId="176" fontId="110" fillId="0" borderId="1" xfId="523" applyNumberFormat="1" applyFont="1" applyFill="1" applyBorder="1" applyAlignment="1">
      <alignment horizontal="center"/>
    </xf>
    <xf numFmtId="0" fontId="1" fillId="0" borderId="0" xfId="525" applyNumberFormat="1" applyFont="1" applyAlignment="1">
      <alignment horizontal="center"/>
    </xf>
    <xf numFmtId="176" fontId="109" fillId="0" borderId="0" xfId="526" applyFont="1" applyFill="1" applyBorder="1" applyAlignment="1"/>
    <xf numFmtId="3" fontId="109" fillId="0" borderId="0" xfId="526" applyNumberFormat="1" applyFont="1" applyFill="1" applyBorder="1" applyAlignment="1"/>
    <xf numFmtId="10" fontId="1" fillId="0" borderId="0" xfId="527" applyNumberFormat="1" applyFont="1" applyAlignment="1">
      <alignment horizontal="center"/>
    </xf>
    <xf numFmtId="265" fontId="1" fillId="0" borderId="0" xfId="147" applyNumberFormat="1" applyFont="1" applyBorder="1" applyAlignment="1">
      <alignment horizontal="center"/>
    </xf>
    <xf numFmtId="263" fontId="1" fillId="0" borderId="0" xfId="525" applyNumberFormat="1" applyFont="1" applyBorder="1" applyAlignment="1"/>
    <xf numFmtId="263" fontId="1" fillId="0" borderId="0" xfId="525" applyNumberFormat="1" applyFont="1" applyAlignment="1"/>
    <xf numFmtId="263" fontId="2" fillId="0" borderId="0" xfId="119" applyNumberFormat="1" applyFont="1" applyAlignment="1">
      <alignment horizontal="center"/>
    </xf>
    <xf numFmtId="263" fontId="2" fillId="0" borderId="0" xfId="119" applyNumberFormat="1" applyFont="1"/>
    <xf numFmtId="263" fontId="109" fillId="0" borderId="0" xfId="525" applyNumberFormat="1" applyFont="1" applyFill="1" applyBorder="1" applyAlignment="1"/>
    <xf numFmtId="263" fontId="2" fillId="0" borderId="0" xfId="119" applyNumberFormat="1" applyFont="1" applyAlignment="1">
      <alignment vertical="top"/>
    </xf>
    <xf numFmtId="263" fontId="109" fillId="0" borderId="1" xfId="525" applyNumberFormat="1" applyFont="1" applyFill="1" applyBorder="1" applyAlignment="1"/>
    <xf numFmtId="265" fontId="1" fillId="0" borderId="1" xfId="147" applyNumberFormat="1" applyFont="1" applyBorder="1" applyAlignment="1">
      <alignment horizontal="center"/>
    </xf>
    <xf numFmtId="263" fontId="1" fillId="0" borderId="1" xfId="525" applyNumberFormat="1" applyFont="1" applyBorder="1" applyAlignment="1"/>
    <xf numFmtId="263" fontId="1" fillId="37" borderId="0" xfId="525" applyNumberFormat="1" applyFont="1" applyFill="1" applyAlignment="1"/>
    <xf numFmtId="265" fontId="1" fillId="0" borderId="0" xfId="523" applyNumberFormat="1"/>
    <xf numFmtId="10" fontId="1" fillId="0" borderId="0" xfId="527" applyNumberFormat="1" applyFont="1"/>
    <xf numFmtId="176" fontId="1" fillId="0" borderId="0" xfId="523" quotePrefix="1" applyNumberFormat="1" applyAlignment="1"/>
    <xf numFmtId="263" fontId="1" fillId="0" borderId="1" xfId="525" applyNumberFormat="1" applyFont="1" applyFill="1" applyBorder="1" applyAlignment="1"/>
    <xf numFmtId="263" fontId="1" fillId="0" borderId="0" xfId="525" applyNumberFormat="1" applyFont="1" applyFill="1" applyBorder="1" applyAlignment="1"/>
    <xf numFmtId="176" fontId="1" fillId="0" borderId="0" xfId="523" applyNumberFormat="1" applyAlignment="1"/>
    <xf numFmtId="265" fontId="111" fillId="0" borderId="27" xfId="524" applyNumberFormat="1" applyFont="1" applyBorder="1" applyAlignment="1"/>
    <xf numFmtId="176" fontId="111" fillId="0" borderId="0" xfId="523" applyNumberFormat="1" applyFont="1" applyAlignment="1"/>
    <xf numFmtId="3" fontId="24" fillId="0" borderId="0" xfId="528" applyNumberFormat="1" applyFont="1" applyFill="1" applyBorder="1" applyAlignment="1"/>
    <xf numFmtId="176" fontId="1" fillId="0" borderId="0" xfId="523" applyNumberFormat="1" applyFont="1" applyBorder="1" applyAlignment="1"/>
  </cellXfs>
  <cellStyles count="529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=C:\WINNT35\SYSTEM32\COMMAND.COM 2" xfId="8"/>
    <cellStyle name="20% - Accent1" xfId="9" builtinId="30" customBuiltin="1"/>
    <cellStyle name="20% - Accent1 2" xfId="10"/>
    <cellStyle name="20% - Accent2" xfId="11" builtinId="34" customBuiltin="1"/>
    <cellStyle name="20% - Accent2 2" xfId="12"/>
    <cellStyle name="20% - Accent3" xfId="13" builtinId="38" customBuiltin="1"/>
    <cellStyle name="20% - Accent3 2" xfId="14"/>
    <cellStyle name="20% - Accent4" xfId="15" builtinId="42" customBuiltin="1"/>
    <cellStyle name="20% - Accent4 2" xfId="16"/>
    <cellStyle name="20% - Accent5" xfId="17" builtinId="46" customBuiltin="1"/>
    <cellStyle name="20% - Accent5 2" xfId="18"/>
    <cellStyle name="20% - Accent6" xfId="19" builtinId="50" customBuiltin="1"/>
    <cellStyle name="20% - Accent6 2" xfId="20"/>
    <cellStyle name="40% - Accent1" xfId="21" builtinId="31" customBuiltin="1"/>
    <cellStyle name="40% - Accent1 2" xfId="22"/>
    <cellStyle name="40% - Accent2" xfId="23" builtinId="35" customBuiltin="1"/>
    <cellStyle name="40% - Accent2 2" xfId="24"/>
    <cellStyle name="40% - Accent3" xfId="25" builtinId="39" customBuiltin="1"/>
    <cellStyle name="40% - Accent3 2" xfId="26"/>
    <cellStyle name="40% - Accent4" xfId="27" builtinId="43" customBuiltin="1"/>
    <cellStyle name="40% - Accent4 2" xfId="28"/>
    <cellStyle name="40% - Accent5" xfId="29" builtinId="47" customBuiltin="1"/>
    <cellStyle name="40% - Accent5 2" xfId="30"/>
    <cellStyle name="40% - Accent6" xfId="31" builtinId="51" customBuiltin="1"/>
    <cellStyle name="40% - Accent6 2" xfId="32"/>
    <cellStyle name="60% - Accent1" xfId="33" builtinId="32" customBuiltin="1"/>
    <cellStyle name="60% - Accent1 2" xfId="34"/>
    <cellStyle name="60% - Accent2" xfId="35" builtinId="36" customBuiltin="1"/>
    <cellStyle name="60% - Accent2 2" xfId="36"/>
    <cellStyle name="60% - Accent3" xfId="37" builtinId="40" customBuiltin="1"/>
    <cellStyle name="60% - Accent3 2" xfId="38"/>
    <cellStyle name="60% - Accent4" xfId="39" builtinId="44" customBuiltin="1"/>
    <cellStyle name="60% - Accent4 2" xfId="40"/>
    <cellStyle name="60% - Accent5" xfId="41" builtinId="48" customBuiltin="1"/>
    <cellStyle name="60% - Accent5 2" xfId="42"/>
    <cellStyle name="60% - Accent6" xfId="43" builtinId="52" customBuiltin="1"/>
    <cellStyle name="60% - Accent6 2" xfId="44"/>
    <cellStyle name="Accent1" xfId="45" builtinId="29" customBuiltin="1"/>
    <cellStyle name="Accent1 2" xfId="46"/>
    <cellStyle name="Accent2" xfId="47" builtinId="33" customBuiltin="1"/>
    <cellStyle name="Accent2 2" xfId="48"/>
    <cellStyle name="Accent3" xfId="49" builtinId="37" customBuiltin="1"/>
    <cellStyle name="Accent3 2" xfId="50"/>
    <cellStyle name="Accent4" xfId="51" builtinId="41" customBuiltin="1"/>
    <cellStyle name="Accent4 2" xfId="52"/>
    <cellStyle name="Accent5" xfId="53" builtinId="45" customBuiltin="1"/>
    <cellStyle name="Accent5 2" xfId="54"/>
    <cellStyle name="Accent6" xfId="55" builtinId="49" customBuiltin="1"/>
    <cellStyle name="Accent6 2" xfId="56"/>
    <cellStyle name="Bad" xfId="57" builtinId="27" customBuiltin="1"/>
    <cellStyle name="Bad 2" xfId="58"/>
    <cellStyle name="Basic" xfId="59"/>
    <cellStyle name="black" xfId="60"/>
    <cellStyle name="blu" xfId="61"/>
    <cellStyle name="bot" xfId="62"/>
    <cellStyle name="Bullet" xfId="63"/>
    <cellStyle name="Bullet [0]" xfId="64"/>
    <cellStyle name="Bullet [2]" xfId="65"/>
    <cellStyle name="Bullet [4]" xfId="66"/>
    <cellStyle name="c" xfId="67"/>
    <cellStyle name="c," xfId="68"/>
    <cellStyle name="c_HardInc " xfId="69"/>
    <cellStyle name="c_HardInc _ITC Great Plains Formula 1-12-09a" xfId="70"/>
    <cellStyle name="c_HardInc _ITC Great Plains Formula 1-12-09a 2" xfId="71"/>
    <cellStyle name="c_HardInc _ITC Great Plains Formula 1-12-09a_Adjmt to Gross &amp; Net Plant" xfId="72"/>
    <cellStyle name="C00A" xfId="73"/>
    <cellStyle name="C00B" xfId="74"/>
    <cellStyle name="C00L" xfId="75"/>
    <cellStyle name="C01A" xfId="76"/>
    <cellStyle name="C01B" xfId="77"/>
    <cellStyle name="C01B 2" xfId="78"/>
    <cellStyle name="C01H" xfId="79"/>
    <cellStyle name="C01L" xfId="80"/>
    <cellStyle name="C02A" xfId="81"/>
    <cellStyle name="C02B" xfId="82"/>
    <cellStyle name="C02B 2" xfId="83"/>
    <cellStyle name="C02H" xfId="84"/>
    <cellStyle name="C02L" xfId="85"/>
    <cellStyle name="C03A" xfId="86"/>
    <cellStyle name="C03B" xfId="87"/>
    <cellStyle name="C03H" xfId="88"/>
    <cellStyle name="C03L" xfId="89"/>
    <cellStyle name="C04A" xfId="90"/>
    <cellStyle name="C04A 2" xfId="91"/>
    <cellStyle name="C04B" xfId="92"/>
    <cellStyle name="C04H" xfId="93"/>
    <cellStyle name="C04L" xfId="94"/>
    <cellStyle name="C05A" xfId="95"/>
    <cellStyle name="C05A 2" xfId="96"/>
    <cellStyle name="C05B" xfId="97"/>
    <cellStyle name="C05H" xfId="98"/>
    <cellStyle name="C05L" xfId="99"/>
    <cellStyle name="C06A" xfId="100"/>
    <cellStyle name="C06B" xfId="101"/>
    <cellStyle name="C06H" xfId="102"/>
    <cellStyle name="C06L" xfId="103"/>
    <cellStyle name="C07A" xfId="104"/>
    <cellStyle name="C07B" xfId="105"/>
    <cellStyle name="C07H" xfId="106"/>
    <cellStyle name="C07L" xfId="107"/>
    <cellStyle name="c1" xfId="108"/>
    <cellStyle name="c1," xfId="109"/>
    <cellStyle name="c2" xfId="110"/>
    <cellStyle name="c2," xfId="111"/>
    <cellStyle name="c3" xfId="112"/>
    <cellStyle name="Calculation" xfId="113" builtinId="22" customBuiltin="1"/>
    <cellStyle name="Calculation 2" xfId="114"/>
    <cellStyle name="cas" xfId="115"/>
    <cellStyle name="Centered Heading" xfId="116"/>
    <cellStyle name="Check Cell" xfId="117" builtinId="23" customBuiltin="1"/>
    <cellStyle name="Check Cell 2" xfId="118"/>
    <cellStyle name="Comma" xfId="119" builtinId="3"/>
    <cellStyle name="Comma  - Style1" xfId="120"/>
    <cellStyle name="Comma  - Style1 2" xfId="121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1]" xfId="129"/>
    <cellStyle name="Comma [2]" xfId="130"/>
    <cellStyle name="Comma [3]" xfId="131"/>
    <cellStyle name="Comma 0.0" xfId="132"/>
    <cellStyle name="Comma 0.00" xfId="133"/>
    <cellStyle name="Comma 0.000" xfId="134"/>
    <cellStyle name="Comma 0.0000" xfId="135"/>
    <cellStyle name="Comma 2" xfId="136"/>
    <cellStyle name="Comma 2 2" xfId="137"/>
    <cellStyle name="Comma 2 3" xfId="517"/>
    <cellStyle name="Comma 3" xfId="138"/>
    <cellStyle name="Comma 3 2" xfId="139"/>
    <cellStyle name="Comma 4" xfId="140"/>
    <cellStyle name="Comma 5" xfId="141"/>
    <cellStyle name="Comma 6" xfId="142"/>
    <cellStyle name="Comma 65" xfId="525"/>
    <cellStyle name="Comma Input" xfId="143"/>
    <cellStyle name="Comma0" xfId="144"/>
    <cellStyle name="Comma0 2" xfId="145"/>
    <cellStyle name="Company Name" xfId="146"/>
    <cellStyle name="Currency" xfId="147" builtinId="4"/>
    <cellStyle name="Currency [1]" xfId="148"/>
    <cellStyle name="Currency [2]" xfId="149"/>
    <cellStyle name="Currency [3]" xfId="150"/>
    <cellStyle name="Currency 0.0" xfId="151"/>
    <cellStyle name="Currency 0.00" xfId="152"/>
    <cellStyle name="Currency 0.000" xfId="153"/>
    <cellStyle name="Currency 0.0000" xfId="154"/>
    <cellStyle name="Currency 2" xfId="155"/>
    <cellStyle name="Currency 2 2" xfId="156"/>
    <cellStyle name="Currency 3" xfId="157"/>
    <cellStyle name="Currency 3 2" xfId="158"/>
    <cellStyle name="Currency 4" xfId="159"/>
    <cellStyle name="Currency 4 2" xfId="160"/>
    <cellStyle name="Currency 5" xfId="161"/>
    <cellStyle name="Currency 6" xfId="162"/>
    <cellStyle name="Currency 7" xfId="163"/>
    <cellStyle name="Currency 8" xfId="524"/>
    <cellStyle name="Currency Input" xfId="164"/>
    <cellStyle name="Currency0" xfId="165"/>
    <cellStyle name="Currency0 2" xfId="166"/>
    <cellStyle name="d" xfId="167"/>
    <cellStyle name="d," xfId="168"/>
    <cellStyle name="d1" xfId="169"/>
    <cellStyle name="d1," xfId="170"/>
    <cellStyle name="d2" xfId="171"/>
    <cellStyle name="d2," xfId="172"/>
    <cellStyle name="d3" xfId="173"/>
    <cellStyle name="Dash" xfId="174"/>
    <cellStyle name="Date" xfId="175"/>
    <cellStyle name="Date [Abbreviated]" xfId="176"/>
    <cellStyle name="Date [Long Europe]" xfId="177"/>
    <cellStyle name="Date [Long U.S.]" xfId="178"/>
    <cellStyle name="Date [Short Europe]" xfId="179"/>
    <cellStyle name="Date [Short U.S.]" xfId="180"/>
    <cellStyle name="Date 2" xfId="181"/>
    <cellStyle name="Date 3" xfId="182"/>
    <cellStyle name="Date 4" xfId="183"/>
    <cellStyle name="Date_ITCM 2010 Template" xfId="184"/>
    <cellStyle name="Define$0" xfId="185"/>
    <cellStyle name="Define$1" xfId="186"/>
    <cellStyle name="Define$2" xfId="187"/>
    <cellStyle name="Define0" xfId="188"/>
    <cellStyle name="Define1" xfId="189"/>
    <cellStyle name="Define1x" xfId="190"/>
    <cellStyle name="Define2" xfId="191"/>
    <cellStyle name="Define2x" xfId="192"/>
    <cellStyle name="Dollar" xfId="193"/>
    <cellStyle name="Dollar 2" xfId="194"/>
    <cellStyle name="e" xfId="195"/>
    <cellStyle name="e1" xfId="196"/>
    <cellStyle name="e2" xfId="197"/>
    <cellStyle name="Euro" xfId="198"/>
    <cellStyle name="Euro 2" xfId="199"/>
    <cellStyle name="Explanatory Text" xfId="200" builtinId="53" customBuiltin="1"/>
    <cellStyle name="Explanatory Text 2" xfId="201"/>
    <cellStyle name="Fixed" xfId="202"/>
    <cellStyle name="Fixed 2" xfId="203"/>
    <cellStyle name="FOOTER - Style1" xfId="204"/>
    <cellStyle name="g" xfId="205"/>
    <cellStyle name="general" xfId="206"/>
    <cellStyle name="General [C]" xfId="207"/>
    <cellStyle name="General [R]" xfId="208"/>
    <cellStyle name="Good" xfId="209" builtinId="26" customBuiltin="1"/>
    <cellStyle name="Good 2" xfId="210"/>
    <cellStyle name="Green" xfId="211"/>
    <cellStyle name="grey" xfId="212"/>
    <cellStyle name="Header1" xfId="213"/>
    <cellStyle name="Header2" xfId="214"/>
    <cellStyle name="Heading" xfId="215"/>
    <cellStyle name="Heading 1" xfId="216" builtinId="16" customBuiltin="1"/>
    <cellStyle name="Heading 1 2" xfId="217"/>
    <cellStyle name="Heading 2" xfId="218" builtinId="17" customBuiltin="1"/>
    <cellStyle name="Heading 2 2" xfId="219"/>
    <cellStyle name="Heading 2 3" xfId="220"/>
    <cellStyle name="Heading 3" xfId="221" builtinId="18" customBuiltin="1"/>
    <cellStyle name="Heading 3 2" xfId="222"/>
    <cellStyle name="Heading 4" xfId="223" builtinId="19" customBuiltin="1"/>
    <cellStyle name="Heading 4 2" xfId="224"/>
    <cellStyle name="Heading No Underline" xfId="225"/>
    <cellStyle name="Heading With Underline" xfId="226"/>
    <cellStyle name="Heading1" xfId="227"/>
    <cellStyle name="Heading2" xfId="228"/>
    <cellStyle name="Headline" xfId="229"/>
    <cellStyle name="Highlight" xfId="230"/>
    <cellStyle name="in" xfId="231"/>
    <cellStyle name="Indented [0]" xfId="232"/>
    <cellStyle name="Indented [2]" xfId="233"/>
    <cellStyle name="Indented [4]" xfId="234"/>
    <cellStyle name="Indented [6]" xfId="235"/>
    <cellStyle name="Input" xfId="236" builtinId="20" customBuiltin="1"/>
    <cellStyle name="Input [yellow]" xfId="237"/>
    <cellStyle name="Input 2" xfId="238"/>
    <cellStyle name="Input$0" xfId="239"/>
    <cellStyle name="Input$1" xfId="240"/>
    <cellStyle name="Input$2" xfId="241"/>
    <cellStyle name="Input0" xfId="242"/>
    <cellStyle name="Input1" xfId="243"/>
    <cellStyle name="Input1x" xfId="244"/>
    <cellStyle name="Input2" xfId="245"/>
    <cellStyle name="Input2x" xfId="246"/>
    <cellStyle name="lborder" xfId="247"/>
    <cellStyle name="LeftSubtitle" xfId="248"/>
    <cellStyle name="Linked Cell" xfId="249" builtinId="24" customBuiltin="1"/>
    <cellStyle name="Linked Cell 2" xfId="250"/>
    <cellStyle name="m" xfId="251"/>
    <cellStyle name="m1" xfId="252"/>
    <cellStyle name="m2" xfId="253"/>
    <cellStyle name="m3" xfId="254"/>
    <cellStyle name="Multiple" xfId="255"/>
    <cellStyle name="Multiple 2" xfId="256"/>
    <cellStyle name="Negative" xfId="257"/>
    <cellStyle name="Neutral" xfId="258" builtinId="28" customBuiltin="1"/>
    <cellStyle name="Neutral 2" xfId="259"/>
    <cellStyle name="no dec" xfId="260"/>
    <cellStyle name="Normal" xfId="0" builtinId="0"/>
    <cellStyle name="Normal - Style1" xfId="261"/>
    <cellStyle name="Normal - Style1 2" xfId="262"/>
    <cellStyle name="Normal 2" xfId="263"/>
    <cellStyle name="Normal 2 2" xfId="264"/>
    <cellStyle name="Normal 2 3" xfId="518"/>
    <cellStyle name="Normal 2 54" xfId="526"/>
    <cellStyle name="Normal 2_2011 GG TrueUp Adjust to 2013 " xfId="265"/>
    <cellStyle name="Normal 202" xfId="523"/>
    <cellStyle name="Normal 3" xfId="266"/>
    <cellStyle name="Normal 3 2" xfId="267"/>
    <cellStyle name="Normal 3_2011 GG TrueUp Adjust to 2013 " xfId="268"/>
    <cellStyle name="Normal 4" xfId="269"/>
    <cellStyle name="Normal 4 2" xfId="270"/>
    <cellStyle name="Normal 4_2011 GG TrueUp Adjust to 2013 " xfId="271"/>
    <cellStyle name="Normal 5" xfId="516"/>
    <cellStyle name="Normal 6" xfId="521"/>
    <cellStyle name="Normal_Attachment GG (2)" xfId="272"/>
    <cellStyle name="Normal_Attachment O &amp; GG Final 11_11_09" xfId="528"/>
    <cellStyle name="Normal_qp_MTEP11_AppA_Status_public" xfId="273"/>
    <cellStyle name="Normal_RevisedFinal 5-15-09 2009 Attach O Sheets Form 1 Non-Levelized" xfId="274"/>
    <cellStyle name="Normal_Schedule O Info for Mike" xfId="275"/>
    <cellStyle name="Normal_Sheet1" xfId="276"/>
    <cellStyle name="Normal_Sheet3" xfId="277"/>
    <cellStyle name="Note" xfId="278" builtinId="10" customBuiltin="1"/>
    <cellStyle name="Note 2" xfId="279"/>
    <cellStyle name="Note 3" xfId="280"/>
    <cellStyle name="Note 4" xfId="519"/>
    <cellStyle name="Output" xfId="281" builtinId="21" customBuiltin="1"/>
    <cellStyle name="Output 2" xfId="282"/>
    <cellStyle name="Output1_Back" xfId="283"/>
    <cellStyle name="p" xfId="284"/>
    <cellStyle name="p_2010 Attachment O  GG_082709" xfId="285"/>
    <cellStyle name="p_2010 Attachment O Template Supporting Work Papers_ITC Midwest" xfId="286"/>
    <cellStyle name="p_2010 Attachment O Template Supporting Work Papers_ITCTransmission" xfId="287"/>
    <cellStyle name="p_2010 Attachment O Template Supporting Work Papers_METC" xfId="288"/>
    <cellStyle name="p_2Mod11" xfId="289"/>
    <cellStyle name="p_2Mod11 2" xfId="290"/>
    <cellStyle name="p_aavidmod11.xls Chart 1" xfId="291"/>
    <cellStyle name="p_aavidmod11.xls Chart 1 2" xfId="292"/>
    <cellStyle name="p_aavidmod11.xls Chart 1_Adjmt to Gross &amp; Net Plant" xfId="293"/>
    <cellStyle name="p_aavidmod11.xls Chart 2" xfId="294"/>
    <cellStyle name="p_aavidmod11.xls Chart 2 2" xfId="295"/>
    <cellStyle name="p_aavidmod11.xls Chart 2_Adjmt to Gross &amp; Net Plant" xfId="296"/>
    <cellStyle name="p_Attachment O &amp; GG" xfId="297"/>
    <cellStyle name="p_charts for capm" xfId="298"/>
    <cellStyle name="p_charts for capm 2" xfId="299"/>
    <cellStyle name="p_charts for capm_Adjmt to Gross &amp; Net Plant" xfId="300"/>
    <cellStyle name="p_DCF" xfId="301"/>
    <cellStyle name="p_DCF_2Mod11" xfId="302"/>
    <cellStyle name="p_DCF_2Mod11 2" xfId="303"/>
    <cellStyle name="p_DCF_aavidmod11.xls Chart 1" xfId="304"/>
    <cellStyle name="p_DCF_aavidmod11.xls Chart 1 2" xfId="305"/>
    <cellStyle name="p_DCF_aavidmod11.xls Chart 1_Adjmt to Gross &amp; Net Plant" xfId="306"/>
    <cellStyle name="p_DCF_aavidmod11.xls Chart 2" xfId="307"/>
    <cellStyle name="p_DCF_aavidmod11.xls Chart 2 2" xfId="308"/>
    <cellStyle name="p_DCF_aavidmod11.xls Chart 2_Adjmt to Gross &amp; Net Plant" xfId="309"/>
    <cellStyle name="p_DCF_charts for capm" xfId="310"/>
    <cellStyle name="p_DCF_charts for capm 2" xfId="311"/>
    <cellStyle name="p_DCF_charts for capm_Adjmt to Gross &amp; Net Plant" xfId="312"/>
    <cellStyle name="p_DCF_DCF5" xfId="313"/>
    <cellStyle name="p_DCF_DCF5 2" xfId="314"/>
    <cellStyle name="p_DCF_DCF5_Adjmt to Gross &amp; Net Plant" xfId="315"/>
    <cellStyle name="p_DCF_Template2" xfId="316"/>
    <cellStyle name="p_DCF_Template2 2" xfId="317"/>
    <cellStyle name="p_DCF_Template2_1" xfId="318"/>
    <cellStyle name="p_DCF_Template2_1 2" xfId="319"/>
    <cellStyle name="p_DCF_Template2_1_Adjmt to Gross &amp; Net Plant" xfId="320"/>
    <cellStyle name="p_DCF_Template2_Adjmt to Gross &amp; Net Plant" xfId="321"/>
    <cellStyle name="p_DCF_VERA" xfId="322"/>
    <cellStyle name="p_DCF_VERA 2" xfId="323"/>
    <cellStyle name="p_DCF_VERA_1" xfId="324"/>
    <cellStyle name="p_DCF_VERA_1 2" xfId="325"/>
    <cellStyle name="p_DCF_VERA_1_Adjmt to Gross &amp; Net Plant" xfId="326"/>
    <cellStyle name="p_DCF_VERA_1_Template2" xfId="327"/>
    <cellStyle name="p_DCF_VERA_1_Template2 2" xfId="328"/>
    <cellStyle name="p_DCF_VERA_1_Template2_Adjmt to Gross &amp; Net Plant" xfId="329"/>
    <cellStyle name="p_DCF_VERA_aavidmod11.xls Chart 2" xfId="330"/>
    <cellStyle name="p_DCF_VERA_aavidmod11.xls Chart 2 2" xfId="331"/>
    <cellStyle name="p_DCF_VERA_aavidmod11.xls Chart 2_Adjmt to Gross &amp; Net Plant" xfId="332"/>
    <cellStyle name="p_DCF_VERA_Adjmt to Gross &amp; Net Plant" xfId="333"/>
    <cellStyle name="p_DCF_VERA_Model02" xfId="334"/>
    <cellStyle name="p_DCF_VERA_Model02 2" xfId="335"/>
    <cellStyle name="p_DCF_VERA_Model02_Adjmt to Gross &amp; Net Plant" xfId="336"/>
    <cellStyle name="p_DCF_VERA_Template2" xfId="337"/>
    <cellStyle name="p_DCF_VERA_Template2 2" xfId="338"/>
    <cellStyle name="p_DCF_VERA_Template2_Adjmt to Gross &amp; Net Plant" xfId="339"/>
    <cellStyle name="p_DCF_VERA_VERA" xfId="340"/>
    <cellStyle name="p_DCF_VERA_VERA 2" xfId="341"/>
    <cellStyle name="p_DCF_VERA_VERA_1" xfId="342"/>
    <cellStyle name="p_DCF_VERA_VERA_1 2" xfId="343"/>
    <cellStyle name="p_DCF_VERA_VERA_1_Adjmt to Gross &amp; Net Plant" xfId="344"/>
    <cellStyle name="p_DCF_VERA_VERA_2" xfId="345"/>
    <cellStyle name="p_DCF_VERA_VERA_2 2" xfId="346"/>
    <cellStyle name="p_DCF_VERA_VERA_2_Adjmt to Gross &amp; Net Plant" xfId="347"/>
    <cellStyle name="p_DCF_VERA_VERA_Adjmt to Gross &amp; Net Plant" xfId="348"/>
    <cellStyle name="p_DCF_VERA_VERA_Template2" xfId="349"/>
    <cellStyle name="p_DCF_VERA_VERA_Template2 2" xfId="350"/>
    <cellStyle name="p_DCF_VERA_VERA_Template2_Adjmt to Gross &amp; Net Plant" xfId="351"/>
    <cellStyle name="p_DCF5" xfId="352"/>
    <cellStyle name="p_DCF5 2" xfId="353"/>
    <cellStyle name="p_DCF5_Adjmt to Gross &amp; Net Plant" xfId="354"/>
    <cellStyle name="p_ITC Great Plains Formula 1-12-09a" xfId="355"/>
    <cellStyle name="p_ITCM 2010 Template" xfId="356"/>
    <cellStyle name="p_ITCMW 2009 Rate" xfId="357"/>
    <cellStyle name="p_ITCMW 2010 Rate_083109" xfId="358"/>
    <cellStyle name="p_ITCOP 2010 Rate_083109" xfId="359"/>
    <cellStyle name="p_ITCT 2009 Rate" xfId="360"/>
    <cellStyle name="p_ITCT New 2010 Attachment O &amp; GG_111209NL" xfId="361"/>
    <cellStyle name="p_METC 2010 Rate_083109" xfId="362"/>
    <cellStyle name="p_Template2" xfId="363"/>
    <cellStyle name="p_Template2 2" xfId="364"/>
    <cellStyle name="p_Template2_1" xfId="365"/>
    <cellStyle name="p_Template2_1 2" xfId="366"/>
    <cellStyle name="p_Template2_1_Adjmt to Gross &amp; Net Plant" xfId="367"/>
    <cellStyle name="p_Template2_Adjmt to Gross &amp; Net Plant" xfId="368"/>
    <cellStyle name="p_VERA" xfId="369"/>
    <cellStyle name="p_VERA 2" xfId="370"/>
    <cellStyle name="p_VERA_1" xfId="371"/>
    <cellStyle name="p_VERA_1 2" xfId="372"/>
    <cellStyle name="p_VERA_1_Adjmt to Gross &amp; Net Plant" xfId="373"/>
    <cellStyle name="p_VERA_1_Template2" xfId="374"/>
    <cellStyle name="p_VERA_1_Template2 2" xfId="375"/>
    <cellStyle name="p_VERA_1_Template2_Adjmt to Gross &amp; Net Plant" xfId="376"/>
    <cellStyle name="p_VERA_aavidmod11.xls Chart 2" xfId="377"/>
    <cellStyle name="p_VERA_aavidmod11.xls Chart 2 2" xfId="378"/>
    <cellStyle name="p_VERA_aavidmod11.xls Chart 2_Adjmt to Gross &amp; Net Plant" xfId="379"/>
    <cellStyle name="p_VERA_Adjmt to Gross &amp; Net Plant" xfId="380"/>
    <cellStyle name="p_VERA_Model02" xfId="381"/>
    <cellStyle name="p_VERA_Model02 2" xfId="382"/>
    <cellStyle name="p_VERA_Model02_Adjmt to Gross &amp; Net Plant" xfId="383"/>
    <cellStyle name="p_VERA_Template2" xfId="384"/>
    <cellStyle name="p_VERA_Template2 2" xfId="385"/>
    <cellStyle name="p_VERA_Template2_Adjmt to Gross &amp; Net Plant" xfId="386"/>
    <cellStyle name="p_VERA_VERA" xfId="387"/>
    <cellStyle name="p_VERA_VERA 2" xfId="388"/>
    <cellStyle name="p_VERA_VERA_1" xfId="389"/>
    <cellStyle name="p_VERA_VERA_1 2" xfId="390"/>
    <cellStyle name="p_VERA_VERA_1_Adjmt to Gross &amp; Net Plant" xfId="391"/>
    <cellStyle name="p_VERA_VERA_2" xfId="392"/>
    <cellStyle name="p_VERA_VERA_2 2" xfId="393"/>
    <cellStyle name="p_VERA_VERA_2_Adjmt to Gross &amp; Net Plant" xfId="394"/>
    <cellStyle name="p_VERA_VERA_Adjmt to Gross &amp; Net Plant" xfId="395"/>
    <cellStyle name="p_VERA_VERA_Template2" xfId="396"/>
    <cellStyle name="p_VERA_VERA_Template2 2" xfId="397"/>
    <cellStyle name="p_VERA_VERA_Template2_Adjmt to Gross &amp; Net Plant" xfId="398"/>
    <cellStyle name="p1" xfId="399"/>
    <cellStyle name="p1 2" xfId="400"/>
    <cellStyle name="p2" xfId="401"/>
    <cellStyle name="p2 2" xfId="402"/>
    <cellStyle name="p3" xfId="403"/>
    <cellStyle name="Percent %" xfId="404"/>
    <cellStyle name="Percent % Long Underline" xfId="405"/>
    <cellStyle name="Percent (0)" xfId="406"/>
    <cellStyle name="Percent (0) 2" xfId="407"/>
    <cellStyle name="Percent [0]" xfId="408"/>
    <cellStyle name="Percent [1]" xfId="409"/>
    <cellStyle name="Percent [2]" xfId="410"/>
    <cellStyle name="Percent [3]" xfId="411"/>
    <cellStyle name="Percent 0.0%" xfId="412"/>
    <cellStyle name="Percent 0.0% Long Underline" xfId="413"/>
    <cellStyle name="Percent 0.00%" xfId="414"/>
    <cellStyle name="Percent 0.00% Long Underline" xfId="415"/>
    <cellStyle name="Percent 0.000%" xfId="416"/>
    <cellStyle name="Percent 0.000% Long Underline" xfId="417"/>
    <cellStyle name="Percent 0.0000%" xfId="418"/>
    <cellStyle name="Percent 0.0000% Long Underline" xfId="419"/>
    <cellStyle name="Percent 2" xfId="420"/>
    <cellStyle name="Percent 2 2" xfId="421"/>
    <cellStyle name="Percent 3" xfId="422"/>
    <cellStyle name="Percent 3 2" xfId="423"/>
    <cellStyle name="Percent 37" xfId="527"/>
    <cellStyle name="Percent 4" xfId="520"/>
    <cellStyle name="Percent 5" xfId="522"/>
    <cellStyle name="Percent Input" xfId="424"/>
    <cellStyle name="Percent0" xfId="425"/>
    <cellStyle name="Percent1" xfId="426"/>
    <cellStyle name="Percent2" xfId="427"/>
    <cellStyle name="PSChar" xfId="428"/>
    <cellStyle name="PSDate" xfId="429"/>
    <cellStyle name="PSDec" xfId="430"/>
    <cellStyle name="PSdesc" xfId="431"/>
    <cellStyle name="PSdesc 2" xfId="432"/>
    <cellStyle name="PSHeading" xfId="433"/>
    <cellStyle name="PSInt" xfId="434"/>
    <cellStyle name="PSSpacer" xfId="435"/>
    <cellStyle name="PStest" xfId="436"/>
    <cellStyle name="PStest 2" xfId="437"/>
    <cellStyle name="R00A" xfId="438"/>
    <cellStyle name="R00B" xfId="439"/>
    <cellStyle name="R00L" xfId="440"/>
    <cellStyle name="R01A" xfId="441"/>
    <cellStyle name="R01B" xfId="442"/>
    <cellStyle name="R01H" xfId="443"/>
    <cellStyle name="R01L" xfId="444"/>
    <cellStyle name="R02A" xfId="445"/>
    <cellStyle name="R02B" xfId="446"/>
    <cellStyle name="R02B 2" xfId="447"/>
    <cellStyle name="R02H" xfId="448"/>
    <cellStyle name="R02L" xfId="449"/>
    <cellStyle name="R03A" xfId="450"/>
    <cellStyle name="R03A 2" xfId="451"/>
    <cellStyle name="R03B" xfId="452"/>
    <cellStyle name="R03B 2" xfId="453"/>
    <cellStyle name="R03H" xfId="454"/>
    <cellStyle name="R03L" xfId="455"/>
    <cellStyle name="R04A" xfId="456"/>
    <cellStyle name="R04A 2" xfId="457"/>
    <cellStyle name="R04B" xfId="458"/>
    <cellStyle name="R04B 2" xfId="459"/>
    <cellStyle name="R04H" xfId="460"/>
    <cellStyle name="R04L" xfId="461"/>
    <cellStyle name="R05A" xfId="462"/>
    <cellStyle name="R05A 2" xfId="463"/>
    <cellStyle name="R05B" xfId="464"/>
    <cellStyle name="R05B 2" xfId="465"/>
    <cellStyle name="R05H" xfId="466"/>
    <cellStyle name="R05L" xfId="467"/>
    <cellStyle name="R06A" xfId="468"/>
    <cellStyle name="R06B" xfId="469"/>
    <cellStyle name="R06B 2" xfId="470"/>
    <cellStyle name="R06H" xfId="471"/>
    <cellStyle name="R06L" xfId="472"/>
    <cellStyle name="R07A" xfId="473"/>
    <cellStyle name="R07B" xfId="474"/>
    <cellStyle name="R07B 2" xfId="475"/>
    <cellStyle name="R07H" xfId="476"/>
    <cellStyle name="R07L" xfId="477"/>
    <cellStyle name="rborder" xfId="478"/>
    <cellStyle name="red" xfId="479"/>
    <cellStyle name="s_HardInc " xfId="480"/>
    <cellStyle name="s_HardInc _ITC Great Plains Formula 1-12-09a" xfId="481"/>
    <cellStyle name="s_HardInc _ITC Great Plains Formula 1-12-09a 2" xfId="482"/>
    <cellStyle name="s_HardInc _ITC Great Plains Formula 1-12-09a_Adjmt to Gross &amp; Net Plant" xfId="483"/>
    <cellStyle name="scenario" xfId="484"/>
    <cellStyle name="Sheetmult" xfId="485"/>
    <cellStyle name="Shtmultx" xfId="486"/>
    <cellStyle name="Style 1" xfId="487"/>
    <cellStyle name="STYLE1" xfId="488"/>
    <cellStyle name="STYLE1 2" xfId="489"/>
    <cellStyle name="STYLE2" xfId="490"/>
    <cellStyle name="TableHeading" xfId="491"/>
    <cellStyle name="tb" xfId="492"/>
    <cellStyle name="Tickmark" xfId="493"/>
    <cellStyle name="Title" xfId="494" builtinId="15" customBuiltin="1"/>
    <cellStyle name="Title 2" xfId="495"/>
    <cellStyle name="Title1" xfId="496"/>
    <cellStyle name="top" xfId="497"/>
    <cellStyle name="Total" xfId="498" builtinId="25" customBuiltin="1"/>
    <cellStyle name="Total 2" xfId="499"/>
    <cellStyle name="Total 3" xfId="500"/>
    <cellStyle name="w" xfId="501"/>
    <cellStyle name="Warning Text" xfId="502" builtinId="11" customBuiltin="1"/>
    <cellStyle name="Warning Text 2" xfId="503"/>
    <cellStyle name="XComma" xfId="504"/>
    <cellStyle name="XComma 0.0" xfId="505"/>
    <cellStyle name="XComma 0.00" xfId="506"/>
    <cellStyle name="XComma 0.000" xfId="507"/>
    <cellStyle name="XCurrency" xfId="508"/>
    <cellStyle name="XCurrency 0.0" xfId="509"/>
    <cellStyle name="XCurrency 0.00" xfId="510"/>
    <cellStyle name="XCurrency 0.000" xfId="511"/>
    <cellStyle name="yra" xfId="512"/>
    <cellStyle name="yrActual" xfId="513"/>
    <cellStyle name="yre" xfId="514"/>
    <cellStyle name="yrExpect" xfId="5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67"/>
  <sheetViews>
    <sheetView zoomScaleNormal="100" workbookViewId="0">
      <selection activeCell="M44" sqref="M44"/>
    </sheetView>
  </sheetViews>
  <sheetFormatPr defaultRowHeight="12.75"/>
  <cols>
    <col min="1" max="1" width="21.28515625" customWidth="1"/>
    <col min="2" max="2" width="32.85546875" customWidth="1"/>
    <col min="3" max="3" width="15.42578125" customWidth="1"/>
    <col min="4" max="4" width="13.5703125" style="39" customWidth="1"/>
    <col min="5" max="5" width="13.140625" style="39" customWidth="1"/>
    <col min="6" max="7" width="14.140625" style="39" customWidth="1"/>
    <col min="8" max="8" width="11" customWidth="1"/>
    <col min="9" max="9" width="9.140625" hidden="1" customWidth="1"/>
    <col min="10" max="10" width="11.28515625" bestFit="1" customWidth="1"/>
    <col min="11" max="11" width="14" bestFit="1" customWidth="1"/>
    <col min="13" max="16" width="11.28515625" bestFit="1" customWidth="1"/>
    <col min="17" max="17" width="10.140625" bestFit="1" customWidth="1"/>
  </cols>
  <sheetData>
    <row r="1" spans="1:18">
      <c r="A1" s="68" t="s">
        <v>41</v>
      </c>
      <c r="H1" s="39"/>
      <c r="I1" s="39"/>
      <c r="J1" s="39"/>
    </row>
    <row r="2" spans="1:18">
      <c r="A2" s="46" t="s">
        <v>109</v>
      </c>
      <c r="H2" s="39"/>
      <c r="I2" s="39"/>
      <c r="J2" s="39"/>
    </row>
    <row r="3" spans="1:18" s="19" customFormat="1" ht="12.75" customHeight="1">
      <c r="A3" s="46" t="s">
        <v>107</v>
      </c>
      <c r="D3" s="38"/>
      <c r="E3" s="38"/>
      <c r="F3" s="38"/>
      <c r="G3" s="38"/>
      <c r="H3" s="38"/>
      <c r="I3" s="38"/>
      <c r="J3" s="38"/>
    </row>
    <row r="4" spans="1:18" s="19" customFormat="1" ht="12.75" customHeight="1">
      <c r="A4" s="46"/>
      <c r="D4" s="38"/>
      <c r="E4" s="38"/>
      <c r="F4" s="38"/>
      <c r="G4" s="38"/>
      <c r="H4" s="38"/>
      <c r="I4" s="38"/>
      <c r="J4" s="38"/>
    </row>
    <row r="6" spans="1:18" s="6" customFormat="1">
      <c r="A6" s="3" t="s">
        <v>26</v>
      </c>
      <c r="D6" s="49"/>
      <c r="E6" s="49"/>
      <c r="F6" s="49"/>
      <c r="G6" s="49"/>
    </row>
    <row r="7" spans="1:18">
      <c r="A7" s="2"/>
    </row>
    <row r="8" spans="1:18">
      <c r="A8" s="1" t="s">
        <v>19</v>
      </c>
      <c r="B8" s="123">
        <v>2012</v>
      </c>
      <c r="C8" s="3"/>
      <c r="D8" s="40"/>
      <c r="E8" s="40"/>
    </row>
    <row r="9" spans="1:18">
      <c r="A9" s="2"/>
      <c r="B9" s="3"/>
      <c r="C9" s="3"/>
      <c r="D9" s="40"/>
      <c r="E9" s="40"/>
    </row>
    <row r="10" spans="1:18">
      <c r="A10" s="1" t="s">
        <v>20</v>
      </c>
      <c r="B10" s="5" t="s">
        <v>40</v>
      </c>
      <c r="C10" s="3"/>
      <c r="D10" s="40"/>
      <c r="E10" s="40"/>
    </row>
    <row r="11" spans="1:18">
      <c r="A11" s="2"/>
      <c r="B11" s="3"/>
      <c r="C11" s="3"/>
      <c r="D11" s="40"/>
      <c r="E11" s="40"/>
      <c r="I11" s="6" t="s">
        <v>25</v>
      </c>
    </row>
    <row r="12" spans="1:18">
      <c r="A12" s="4"/>
      <c r="B12" s="25" t="s">
        <v>22</v>
      </c>
      <c r="C12" s="33">
        <v>277</v>
      </c>
      <c r="D12" s="41">
        <v>279</v>
      </c>
      <c r="E12" s="41" t="s">
        <v>33</v>
      </c>
      <c r="F12" s="41" t="s">
        <v>34</v>
      </c>
      <c r="G12" s="41" t="s">
        <v>72</v>
      </c>
      <c r="H12" s="34">
        <v>1025</v>
      </c>
      <c r="I12" s="21" t="s">
        <v>17</v>
      </c>
    </row>
    <row r="13" spans="1:18">
      <c r="A13" s="4"/>
      <c r="B13" s="25" t="s">
        <v>14</v>
      </c>
      <c r="C13" s="26" t="s">
        <v>32</v>
      </c>
      <c r="D13" s="41" t="s">
        <v>32</v>
      </c>
      <c r="E13" s="41" t="s">
        <v>32</v>
      </c>
      <c r="F13" s="41" t="s">
        <v>32</v>
      </c>
      <c r="G13" s="41" t="s">
        <v>32</v>
      </c>
      <c r="H13" s="26" t="s">
        <v>32</v>
      </c>
    </row>
    <row r="14" spans="1:18" ht="15" customHeight="1">
      <c r="A14" s="4"/>
      <c r="B14" s="25" t="s">
        <v>27</v>
      </c>
      <c r="C14" s="26" t="s">
        <v>25</v>
      </c>
      <c r="D14" s="41" t="s">
        <v>25</v>
      </c>
      <c r="E14" s="41" t="s">
        <v>25</v>
      </c>
      <c r="F14" s="41" t="s">
        <v>25</v>
      </c>
      <c r="G14" s="41" t="s">
        <v>25</v>
      </c>
      <c r="H14" s="26" t="s">
        <v>17</v>
      </c>
      <c r="O14" s="81"/>
      <c r="P14" s="81"/>
      <c r="Q14" s="81"/>
      <c r="R14" s="81"/>
    </row>
    <row r="15" spans="1:18">
      <c r="A15" s="16" t="s">
        <v>16</v>
      </c>
      <c r="B15" s="35" t="str">
        <f xml:space="preserve"> "December " &amp; B8-1</f>
        <v>December 2011</v>
      </c>
      <c r="C15" s="284">
        <v>20869491</v>
      </c>
      <c r="D15" s="285">
        <v>7334182.4000000004</v>
      </c>
      <c r="E15" s="285">
        <v>11860629.960000001</v>
      </c>
      <c r="F15" s="285">
        <v>6940312.9399999995</v>
      </c>
      <c r="G15" s="285">
        <v>1548100.1399999994</v>
      </c>
      <c r="H15" s="286">
        <v>0</v>
      </c>
      <c r="O15" s="149"/>
      <c r="P15" s="81"/>
      <c r="Q15" s="81"/>
      <c r="R15" s="81"/>
    </row>
    <row r="16" spans="1:18">
      <c r="A16" s="128" t="s">
        <v>11</v>
      </c>
      <c r="B16" s="12" t="str">
        <f xml:space="preserve"> "January " &amp; B8</f>
        <v>January 2012</v>
      </c>
      <c r="C16" s="287">
        <f>C15+1187.67</f>
        <v>20870678.670000002</v>
      </c>
      <c r="D16" s="288">
        <f>D15+765199.77-25618.13</f>
        <v>8073764.04</v>
      </c>
      <c r="E16" s="288">
        <v>11860629.960000001</v>
      </c>
      <c r="F16" s="288">
        <f>F15</f>
        <v>6940312.9399999995</v>
      </c>
      <c r="G16" s="288">
        <f>G15+57155.68</f>
        <v>1605255.8199999994</v>
      </c>
      <c r="H16" s="288">
        <v>0</v>
      </c>
      <c r="M16" s="175" t="s">
        <v>131</v>
      </c>
      <c r="O16" s="81"/>
      <c r="P16" s="81"/>
      <c r="Q16" s="81"/>
      <c r="R16" s="81"/>
    </row>
    <row r="17" spans="1:19">
      <c r="A17" s="17"/>
      <c r="B17" s="36" t="s">
        <v>1</v>
      </c>
      <c r="C17" s="287">
        <f>C16+94.74</f>
        <v>20870773.41</v>
      </c>
      <c r="D17" s="287">
        <f>D16+741763.82+43656.49</f>
        <v>8859184.3499999996</v>
      </c>
      <c r="E17" s="288">
        <v>11860629.960000001</v>
      </c>
      <c r="F17" s="287">
        <f>F16+1604321.77</f>
        <v>8544634.709999999</v>
      </c>
      <c r="G17" s="287">
        <f>G16+99913.57</f>
        <v>1705169.3899999994</v>
      </c>
      <c r="H17" s="287">
        <v>0</v>
      </c>
      <c r="M17" s="176" t="s">
        <v>131</v>
      </c>
      <c r="O17" s="81"/>
      <c r="P17" s="81"/>
      <c r="Q17" s="81"/>
      <c r="R17" s="81"/>
    </row>
    <row r="18" spans="1:19">
      <c r="A18" s="17"/>
      <c r="B18" s="36" t="s">
        <v>2</v>
      </c>
      <c r="C18" s="287">
        <f t="shared" ref="C18:C25" si="0">C17</f>
        <v>20870773.41</v>
      </c>
      <c r="D18" s="287">
        <f>D17+275103.92+37810.67</f>
        <v>9172098.9399999995</v>
      </c>
      <c r="E18" s="288">
        <v>11860629.960000001</v>
      </c>
      <c r="F18" s="287">
        <f>F17</f>
        <v>8544634.709999999</v>
      </c>
      <c r="G18" s="287">
        <f>G17+195141.23</f>
        <v>1900310.6199999994</v>
      </c>
      <c r="H18" s="287">
        <v>0</v>
      </c>
      <c r="M18" s="175" t="s">
        <v>131</v>
      </c>
      <c r="O18" s="81"/>
      <c r="P18" s="81"/>
      <c r="Q18" s="81"/>
      <c r="R18" s="81"/>
    </row>
    <row r="19" spans="1:19">
      <c r="A19" s="17"/>
      <c r="B19" s="36" t="s">
        <v>3</v>
      </c>
      <c r="C19" s="287">
        <f t="shared" si="0"/>
        <v>20870773.41</v>
      </c>
      <c r="D19" s="287">
        <f>D18+122846.85+468813.81</f>
        <v>9763759.5999999996</v>
      </c>
      <c r="E19" s="288">
        <v>11860629.960000001</v>
      </c>
      <c r="F19" s="287">
        <f>F18+1045577.25</f>
        <v>9590211.959999999</v>
      </c>
      <c r="G19" s="287">
        <f>G18+371.26</f>
        <v>1900681.8799999994</v>
      </c>
      <c r="H19" s="287">
        <v>0</v>
      </c>
      <c r="O19" s="81"/>
      <c r="P19" s="81"/>
      <c r="Q19" s="81"/>
      <c r="R19" s="81"/>
    </row>
    <row r="20" spans="1:19">
      <c r="A20" s="17"/>
      <c r="B20" s="36" t="s">
        <v>4</v>
      </c>
      <c r="C20" s="287">
        <f t="shared" si="0"/>
        <v>20870773.41</v>
      </c>
      <c r="D20" s="287">
        <f>D19+164329.03-48079.19</f>
        <v>9880009.4399999995</v>
      </c>
      <c r="E20" s="288">
        <v>11860629.960000001</v>
      </c>
      <c r="F20" s="287">
        <f>F19+905206.51</f>
        <v>10495418.469999999</v>
      </c>
      <c r="G20" s="287">
        <f>G19+371.3</f>
        <v>1901053.1799999995</v>
      </c>
      <c r="H20" s="287">
        <v>0</v>
      </c>
      <c r="O20" s="81"/>
      <c r="P20" s="81"/>
      <c r="Q20" s="81"/>
      <c r="R20" s="81"/>
    </row>
    <row r="21" spans="1:19">
      <c r="A21" s="17"/>
      <c r="B21" s="36" t="s">
        <v>5</v>
      </c>
      <c r="C21" s="287">
        <f t="shared" si="0"/>
        <v>20870773.41</v>
      </c>
      <c r="D21" s="287">
        <f>D20+212710.47+271788.53</f>
        <v>10364508.439999999</v>
      </c>
      <c r="E21" s="288">
        <v>11860629.960000001</v>
      </c>
      <c r="F21" s="287">
        <f>F20+1833086.69</f>
        <v>12328505.159999998</v>
      </c>
      <c r="G21" s="287">
        <f>G20+927714.13</f>
        <v>2828767.3099999996</v>
      </c>
      <c r="H21" s="287">
        <v>0</v>
      </c>
    </row>
    <row r="22" spans="1:19">
      <c r="A22" s="17"/>
      <c r="B22" s="36" t="s">
        <v>6</v>
      </c>
      <c r="C22" s="287">
        <f t="shared" si="0"/>
        <v>20870773.41</v>
      </c>
      <c r="D22" s="287">
        <f>D21+149102.15+29186.19-271876.5</f>
        <v>10270920.279999999</v>
      </c>
      <c r="E22" s="288">
        <v>11860629.960000001</v>
      </c>
      <c r="F22" s="287">
        <f>F21</f>
        <v>12328505.159999998</v>
      </c>
      <c r="G22" s="287">
        <f>G21</f>
        <v>2828767.3099999996</v>
      </c>
      <c r="H22" s="287">
        <v>0</v>
      </c>
    </row>
    <row r="23" spans="1:19">
      <c r="A23" s="17"/>
      <c r="B23" s="36" t="s">
        <v>7</v>
      </c>
      <c r="C23" s="287">
        <f t="shared" si="0"/>
        <v>20870773.41</v>
      </c>
      <c r="D23" s="287">
        <f>D22+573536.1+46457.14</f>
        <v>10890913.52</v>
      </c>
      <c r="E23" s="288">
        <v>11860629.960000001</v>
      </c>
      <c r="F23" s="287">
        <f>F22+2719387.08</f>
        <v>15047892.239999998</v>
      </c>
      <c r="G23" s="287">
        <f>G22+1783594.81</f>
        <v>4612362.1199999992</v>
      </c>
      <c r="H23" s="287">
        <v>0</v>
      </c>
    </row>
    <row r="24" spans="1:19">
      <c r="A24" s="17"/>
      <c r="B24" s="36" t="s">
        <v>8</v>
      </c>
      <c r="C24" s="287">
        <f t="shared" si="0"/>
        <v>20870773.41</v>
      </c>
      <c r="D24" s="287">
        <f>D23+1023.36+257166.66-5504.28</f>
        <v>11143599.26</v>
      </c>
      <c r="E24" s="288">
        <v>11860629.960000001</v>
      </c>
      <c r="F24" s="287">
        <f>F23</f>
        <v>15047892.239999998</v>
      </c>
      <c r="G24" s="287">
        <f>G23+97003.85</f>
        <v>4709365.9699999988</v>
      </c>
      <c r="H24" s="287">
        <v>0</v>
      </c>
    </row>
    <row r="25" spans="1:19">
      <c r="A25" s="17"/>
      <c r="B25" s="36" t="s">
        <v>9</v>
      </c>
      <c r="C25" s="287">
        <f t="shared" si="0"/>
        <v>20870773.41</v>
      </c>
      <c r="D25" s="287">
        <f>D24+5594.17+15769.74</f>
        <v>11164963.17</v>
      </c>
      <c r="E25" s="288">
        <v>11860629.960000001</v>
      </c>
      <c r="F25" s="287">
        <f>F24+2245776.13</f>
        <v>17293668.369999997</v>
      </c>
      <c r="G25" s="287">
        <f>G24+838084.85+117838.94</f>
        <v>5665289.7599999988</v>
      </c>
      <c r="H25" s="287">
        <v>0</v>
      </c>
    </row>
    <row r="26" spans="1:19">
      <c r="A26" s="17"/>
      <c r="B26" s="36" t="s">
        <v>10</v>
      </c>
      <c r="C26" s="287">
        <f>C25-2934.43</f>
        <v>20867838.98</v>
      </c>
      <c r="D26" s="287">
        <f>D25-419180.21+67097.38</f>
        <v>10812880.34</v>
      </c>
      <c r="E26" s="288">
        <v>11860629.960000001</v>
      </c>
      <c r="F26" s="287">
        <f>F25+251576.37</f>
        <v>17545244.739999998</v>
      </c>
      <c r="G26" s="287">
        <f>G25-4876023.47+5043154.3</f>
        <v>5832420.5899999989</v>
      </c>
      <c r="H26" s="287">
        <v>0</v>
      </c>
    </row>
    <row r="27" spans="1:19">
      <c r="A27" s="18"/>
      <c r="B27" s="37" t="str">
        <f xml:space="preserve"> "December " &amp; B8</f>
        <v>December 2012</v>
      </c>
      <c r="C27" s="287">
        <f>C26</f>
        <v>20867838.98</v>
      </c>
      <c r="D27" s="287">
        <f>D26+17917.85+13594.79</f>
        <v>10844392.979999999</v>
      </c>
      <c r="E27" s="288">
        <v>11860629.960000001</v>
      </c>
      <c r="F27" s="287">
        <f>F26+1183905.49</f>
        <v>18729150.229999997</v>
      </c>
      <c r="G27" s="287">
        <f>G26+461447.96+335102.54</f>
        <v>6628971.0899999989</v>
      </c>
      <c r="H27" s="287">
        <v>0</v>
      </c>
    </row>
    <row r="28" spans="1:19">
      <c r="A28" s="10"/>
      <c r="B28" s="20" t="s">
        <v>21</v>
      </c>
      <c r="C28" s="127">
        <f t="shared" ref="C28:H28" si="1">AVERAGE(C15:C27)</f>
        <v>20870216.024615385</v>
      </c>
      <c r="D28" s="124">
        <f t="shared" si="1"/>
        <v>9890398.2123076934</v>
      </c>
      <c r="E28" s="124">
        <v>11860629.960000005</v>
      </c>
      <c r="F28" s="124">
        <f t="shared" si="1"/>
        <v>12259721.836153844</v>
      </c>
      <c r="G28" s="124">
        <f t="shared" si="1"/>
        <v>3358962.7061538449</v>
      </c>
      <c r="H28" s="126">
        <f t="shared" si="1"/>
        <v>0</v>
      </c>
      <c r="K28" s="70"/>
    </row>
    <row r="29" spans="1:19">
      <c r="A29" s="10"/>
      <c r="B29" s="20"/>
      <c r="C29" s="42"/>
      <c r="D29" s="42"/>
      <c r="E29" s="42"/>
      <c r="F29" s="42"/>
      <c r="G29" s="42"/>
      <c r="H29" s="32"/>
      <c r="J29" s="24"/>
      <c r="K29" s="121"/>
      <c r="L29" s="24"/>
      <c r="M29" s="24"/>
      <c r="N29" s="24"/>
      <c r="O29" s="24"/>
      <c r="P29" s="24"/>
      <c r="Q29" s="24"/>
      <c r="R29" s="24"/>
      <c r="S29" s="24"/>
    </row>
    <row r="30" spans="1:19" ht="25.5">
      <c r="A30" s="10"/>
      <c r="B30" s="20"/>
      <c r="C30" s="42"/>
      <c r="D30" s="42"/>
      <c r="E30" s="163" t="s">
        <v>130</v>
      </c>
      <c r="F30" s="42" t="s">
        <v>129</v>
      </c>
      <c r="G30" s="42" t="s">
        <v>129</v>
      </c>
      <c r="H30" s="32"/>
      <c r="J30" s="24"/>
      <c r="K30" s="222"/>
      <c r="L30" s="213"/>
      <c r="M30" s="213"/>
      <c r="N30" s="222"/>
      <c r="O30" s="223"/>
      <c r="P30" s="222"/>
      <c r="Q30" s="222"/>
      <c r="R30" s="24"/>
      <c r="S30" s="24"/>
    </row>
    <row r="31" spans="1:19">
      <c r="A31" s="16" t="s">
        <v>28</v>
      </c>
      <c r="B31" s="11" t="str">
        <f>B15</f>
        <v>December 2011</v>
      </c>
      <c r="C31" s="289">
        <f>1145109</f>
        <v>1145109</v>
      </c>
      <c r="D31" s="290">
        <v>0</v>
      </c>
      <c r="E31" s="289">
        <v>149109</v>
      </c>
      <c r="F31" s="289">
        <v>0</v>
      </c>
      <c r="G31" s="290">
        <v>0</v>
      </c>
      <c r="H31" s="291">
        <v>0</v>
      </c>
      <c r="J31" s="164"/>
      <c r="K31" s="215"/>
      <c r="L31" s="224"/>
      <c r="M31" s="209"/>
      <c r="N31" s="216"/>
      <c r="O31" s="216"/>
      <c r="P31" s="216"/>
      <c r="Q31" s="225"/>
      <c r="R31" s="24"/>
      <c r="S31" s="24"/>
    </row>
    <row r="32" spans="1:19">
      <c r="A32" s="17" t="s">
        <v>29</v>
      </c>
      <c r="B32" s="12" t="str">
        <f>B16</f>
        <v>January 2012</v>
      </c>
      <c r="C32" s="288">
        <f>C31+43855</f>
        <v>1188964</v>
      </c>
      <c r="D32" s="288"/>
      <c r="E32" s="288">
        <v>172929.09850299999</v>
      </c>
      <c r="F32" s="288">
        <v>0</v>
      </c>
      <c r="G32" s="288">
        <v>0</v>
      </c>
      <c r="H32" s="288">
        <v>0</v>
      </c>
      <c r="J32" s="165"/>
      <c r="K32" s="215"/>
      <c r="L32" s="224"/>
      <c r="M32" s="209"/>
      <c r="N32" s="216"/>
      <c r="O32" s="216"/>
      <c r="P32" s="216"/>
      <c r="Q32" s="225"/>
      <c r="R32" s="24"/>
      <c r="S32" s="24"/>
    </row>
    <row r="33" spans="1:19">
      <c r="A33" s="17"/>
      <c r="B33" s="14" t="s">
        <v>1</v>
      </c>
      <c r="C33" s="288">
        <f t="shared" ref="C33:C43" si="2">C32+43855</f>
        <v>1232819</v>
      </c>
      <c r="D33" s="287"/>
      <c r="E33" s="288">
        <v>196749.19700599997</v>
      </c>
      <c r="F33" s="287"/>
      <c r="G33" s="287">
        <v>0</v>
      </c>
      <c r="H33" s="287">
        <v>0</v>
      </c>
      <c r="J33" s="165"/>
      <c r="K33" s="215"/>
      <c r="L33" s="224"/>
      <c r="M33" s="209"/>
      <c r="N33" s="216"/>
      <c r="O33" s="216"/>
      <c r="P33" s="216"/>
      <c r="Q33" s="225"/>
      <c r="R33" s="24"/>
      <c r="S33" s="24"/>
    </row>
    <row r="34" spans="1:19">
      <c r="A34" s="17"/>
      <c r="B34" s="14" t="s">
        <v>2</v>
      </c>
      <c r="C34" s="288">
        <f t="shared" si="2"/>
        <v>1276674</v>
      </c>
      <c r="D34" s="287"/>
      <c r="E34" s="288">
        <v>220569.29550899996</v>
      </c>
      <c r="F34" s="287"/>
      <c r="G34" s="287">
        <v>0</v>
      </c>
      <c r="H34" s="287">
        <v>0</v>
      </c>
      <c r="J34" s="165"/>
      <c r="K34" s="215"/>
      <c r="L34" s="224"/>
      <c r="M34" s="209"/>
      <c r="N34" s="216"/>
      <c r="O34" s="216"/>
      <c r="P34" s="216"/>
      <c r="Q34" s="225"/>
      <c r="R34" s="24"/>
      <c r="S34" s="24"/>
    </row>
    <row r="35" spans="1:19">
      <c r="A35" s="17"/>
      <c r="B35" s="14" t="s">
        <v>3</v>
      </c>
      <c r="C35" s="288">
        <f t="shared" si="2"/>
        <v>1320529</v>
      </c>
      <c r="D35" s="287"/>
      <c r="E35" s="288">
        <v>244389.39401199995</v>
      </c>
      <c r="F35" s="287"/>
      <c r="G35" s="287">
        <v>0</v>
      </c>
      <c r="H35" s="287">
        <v>0</v>
      </c>
      <c r="J35" s="165"/>
      <c r="K35" s="215"/>
      <c r="L35" s="224"/>
      <c r="M35" s="209"/>
      <c r="N35" s="216"/>
      <c r="O35" s="216"/>
      <c r="P35" s="216"/>
      <c r="Q35" s="225"/>
      <c r="R35" s="24"/>
      <c r="S35" s="24"/>
    </row>
    <row r="36" spans="1:19">
      <c r="A36" s="17"/>
      <c r="B36" s="14" t="s">
        <v>4</v>
      </c>
      <c r="C36" s="288">
        <f t="shared" si="2"/>
        <v>1364384</v>
      </c>
      <c r="D36" s="292">
        <v>0</v>
      </c>
      <c r="E36" s="288">
        <v>268209.49251499993</v>
      </c>
      <c r="F36" s="287">
        <v>0</v>
      </c>
      <c r="G36" s="287">
        <v>0</v>
      </c>
      <c r="H36" s="287">
        <v>0</v>
      </c>
      <c r="J36" s="165"/>
      <c r="K36" s="215"/>
      <c r="L36" s="224"/>
      <c r="M36" s="209"/>
      <c r="N36" s="216"/>
      <c r="O36" s="216"/>
      <c r="P36" s="216"/>
      <c r="Q36" s="225"/>
      <c r="R36" s="24"/>
      <c r="S36" s="24"/>
    </row>
    <row r="37" spans="1:19">
      <c r="A37" s="17"/>
      <c r="B37" s="14" t="s">
        <v>5</v>
      </c>
      <c r="C37" s="288">
        <f t="shared" si="2"/>
        <v>1408239</v>
      </c>
      <c r="D37" s="287">
        <v>272.92098220833333</v>
      </c>
      <c r="E37" s="288">
        <v>292029.59101799992</v>
      </c>
      <c r="F37" s="287">
        <v>0</v>
      </c>
      <c r="G37" s="287">
        <v>0</v>
      </c>
      <c r="H37" s="287">
        <v>0</v>
      </c>
      <c r="J37" s="165"/>
      <c r="K37" s="42"/>
      <c r="L37" s="167"/>
      <c r="M37" s="24"/>
      <c r="N37" s="216"/>
      <c r="O37" s="216"/>
      <c r="P37" s="216"/>
      <c r="Q37" s="225"/>
      <c r="R37" s="24"/>
      <c r="S37" s="24"/>
    </row>
    <row r="38" spans="1:19">
      <c r="A38" s="17"/>
      <c r="B38" s="14" t="s">
        <v>6</v>
      </c>
      <c r="C38" s="288">
        <f t="shared" si="2"/>
        <v>1452094</v>
      </c>
      <c r="D38" s="287">
        <v>272.74430912499997</v>
      </c>
      <c r="E38" s="288">
        <v>315849.68952099991</v>
      </c>
      <c r="F38" s="287">
        <v>0</v>
      </c>
      <c r="G38" s="287">
        <v>0</v>
      </c>
      <c r="H38" s="287">
        <v>0</v>
      </c>
      <c r="J38" s="165"/>
      <c r="K38" s="42"/>
      <c r="L38" s="167"/>
      <c r="M38" s="24"/>
      <c r="N38" s="216"/>
      <c r="O38" s="216"/>
      <c r="P38" s="216"/>
      <c r="Q38" s="225"/>
      <c r="R38" s="24"/>
      <c r="S38" s="24"/>
    </row>
    <row r="39" spans="1:19">
      <c r="A39" s="17"/>
      <c r="B39" s="14" t="s">
        <v>7</v>
      </c>
      <c r="C39" s="288">
        <f t="shared" si="2"/>
        <v>1495949</v>
      </c>
      <c r="D39" s="287">
        <v>809.7112477083333</v>
      </c>
      <c r="E39" s="288">
        <v>339669.78802399989</v>
      </c>
      <c r="F39" s="287">
        <v>0</v>
      </c>
      <c r="G39" s="287">
        <v>0</v>
      </c>
      <c r="H39" s="287">
        <v>0</v>
      </c>
      <c r="J39" s="165"/>
      <c r="K39" s="42"/>
      <c r="L39" s="167"/>
      <c r="M39" s="24"/>
      <c r="N39" s="216"/>
      <c r="O39" s="216"/>
      <c r="P39" s="216"/>
      <c r="Q39" s="225"/>
      <c r="R39" s="24"/>
      <c r="S39" s="24"/>
    </row>
    <row r="40" spans="1:19">
      <c r="A40" s="17"/>
      <c r="B40" s="14" t="s">
        <v>8</v>
      </c>
      <c r="C40" s="288">
        <f t="shared" si="2"/>
        <v>1539804</v>
      </c>
      <c r="D40" s="287">
        <v>12284.086473166668</v>
      </c>
      <c r="E40" s="288">
        <v>363489.88652699988</v>
      </c>
      <c r="F40" s="287">
        <v>0</v>
      </c>
      <c r="G40" s="287">
        <v>0</v>
      </c>
      <c r="H40" s="287">
        <v>0</v>
      </c>
      <c r="J40" s="165"/>
      <c r="K40" s="42"/>
      <c r="L40" s="167"/>
      <c r="M40" s="24"/>
      <c r="N40" s="216"/>
      <c r="O40" s="216"/>
      <c r="P40" s="216"/>
      <c r="Q40" s="225"/>
      <c r="R40" s="24"/>
      <c r="S40" s="24"/>
    </row>
    <row r="41" spans="1:19">
      <c r="A41" s="17"/>
      <c r="B41" s="14" t="s">
        <v>9</v>
      </c>
      <c r="C41" s="288">
        <f t="shared" si="2"/>
        <v>1583659</v>
      </c>
      <c r="D41" s="287">
        <v>34707.10695191667</v>
      </c>
      <c r="E41" s="288">
        <v>387309.98502999987</v>
      </c>
      <c r="F41" s="287">
        <v>0</v>
      </c>
      <c r="G41" s="287">
        <v>0</v>
      </c>
      <c r="H41" s="287">
        <v>0</v>
      </c>
      <c r="J41" s="165"/>
      <c r="K41" s="42"/>
      <c r="L41" s="167"/>
      <c r="M41" s="24"/>
      <c r="N41" s="216"/>
      <c r="O41" s="216"/>
      <c r="P41" s="216"/>
      <c r="Q41" s="225"/>
      <c r="R41" s="24"/>
      <c r="S41" s="24"/>
    </row>
    <row r="42" spans="1:19">
      <c r="A42" s="17"/>
      <c r="B42" s="14" t="s">
        <v>10</v>
      </c>
      <c r="C42" s="288">
        <f t="shared" si="2"/>
        <v>1627514</v>
      </c>
      <c r="D42" s="287">
        <v>56423.029755416668</v>
      </c>
      <c r="E42" s="288">
        <v>411130.08353299985</v>
      </c>
      <c r="F42" s="287">
        <v>0</v>
      </c>
      <c r="G42" s="287">
        <v>0</v>
      </c>
      <c r="H42" s="287">
        <v>0</v>
      </c>
      <c r="J42" s="165"/>
      <c r="K42" s="42"/>
      <c r="L42" s="167"/>
      <c r="M42" s="24"/>
      <c r="N42" s="216"/>
      <c r="O42" s="216"/>
      <c r="P42" s="216"/>
      <c r="Q42" s="225"/>
      <c r="R42" s="24"/>
      <c r="S42" s="24"/>
    </row>
    <row r="43" spans="1:19">
      <c r="A43" s="18"/>
      <c r="B43" s="13" t="str">
        <f>+B27</f>
        <v>December 2012</v>
      </c>
      <c r="C43" s="288">
        <f t="shared" si="2"/>
        <v>1671369</v>
      </c>
      <c r="D43" s="287">
        <v>78202.242452583334</v>
      </c>
      <c r="E43" s="288">
        <v>434950.18203599984</v>
      </c>
      <c r="F43" s="287">
        <v>0</v>
      </c>
      <c r="G43" s="287">
        <v>0</v>
      </c>
      <c r="H43" s="287">
        <v>0</v>
      </c>
      <c r="J43" s="24"/>
      <c r="K43" s="42"/>
      <c r="L43" s="167"/>
      <c r="M43" s="24"/>
      <c r="N43" s="216"/>
      <c r="O43" s="216"/>
      <c r="P43" s="226"/>
      <c r="Q43" s="225"/>
      <c r="R43" s="24"/>
      <c r="S43" s="24"/>
    </row>
    <row r="44" spans="1:19">
      <c r="A44" s="10"/>
      <c r="B44" s="20" t="s">
        <v>21</v>
      </c>
      <c r="C44" s="124">
        <f t="shared" ref="C44:H44" si="3">AVERAGE(C31:C43)</f>
        <v>1408239</v>
      </c>
      <c r="D44" s="127">
        <v>20330.204685791668</v>
      </c>
      <c r="E44" s="124">
        <v>292029.59101799992</v>
      </c>
      <c r="F44" s="127">
        <f t="shared" si="3"/>
        <v>0</v>
      </c>
      <c r="G44" s="127">
        <f t="shared" si="3"/>
        <v>0</v>
      </c>
      <c r="H44" s="126">
        <f t="shared" si="3"/>
        <v>0</v>
      </c>
      <c r="J44" s="24"/>
      <c r="K44" s="216"/>
      <c r="L44" s="167"/>
      <c r="M44" s="24"/>
      <c r="N44" s="216"/>
      <c r="O44" s="216"/>
      <c r="P44" s="226"/>
      <c r="Q44" s="24"/>
      <c r="R44" s="24"/>
      <c r="S44" s="24"/>
    </row>
    <row r="45" spans="1:19" s="24" customFormat="1">
      <c r="A45" s="27"/>
      <c r="B45" s="28"/>
      <c r="C45" s="42"/>
      <c r="D45" s="42"/>
      <c r="E45" s="42"/>
      <c r="F45" s="42"/>
      <c r="G45" s="42"/>
      <c r="H45" s="32"/>
      <c r="K45" s="216"/>
      <c r="L45" s="167"/>
      <c r="N45" s="216"/>
      <c r="O45" s="216"/>
      <c r="P45" s="226"/>
    </row>
    <row r="46" spans="1:19">
      <c r="A46" s="10"/>
      <c r="B46" s="7"/>
      <c r="C46" s="43"/>
      <c r="D46" s="43"/>
      <c r="E46" s="43"/>
      <c r="F46" s="43"/>
      <c r="G46" s="43"/>
      <c r="H46" s="30"/>
      <c r="J46" s="24"/>
      <c r="K46" s="216"/>
      <c r="L46" s="167"/>
      <c r="M46" s="24"/>
      <c r="N46" s="216"/>
      <c r="O46" s="216"/>
      <c r="P46" s="226"/>
      <c r="Q46" s="24"/>
      <c r="R46" s="24"/>
      <c r="S46" s="24"/>
    </row>
    <row r="47" spans="1:19">
      <c r="A47" s="10"/>
      <c r="B47" s="9"/>
      <c r="C47" s="43"/>
      <c r="D47" s="43"/>
      <c r="E47" s="43"/>
      <c r="F47" s="43"/>
      <c r="G47" s="43"/>
      <c r="H47" s="130"/>
      <c r="J47" s="24"/>
      <c r="K47" s="216"/>
      <c r="L47" s="167"/>
      <c r="M47" s="24"/>
      <c r="N47" s="216"/>
      <c r="O47" s="216"/>
      <c r="P47" s="226"/>
      <c r="Q47" s="24"/>
      <c r="R47" s="24"/>
      <c r="S47" s="24"/>
    </row>
    <row r="48" spans="1:19">
      <c r="A48" s="16" t="s">
        <v>15</v>
      </c>
      <c r="B48" s="129" t="str">
        <f>B15</f>
        <v>December 2011</v>
      </c>
      <c r="C48" s="290">
        <f>+C15-C31</f>
        <v>19724382</v>
      </c>
      <c r="D48" s="289">
        <f t="shared" ref="D48:H48" si="4">+D15-D31</f>
        <v>7334182.4000000004</v>
      </c>
      <c r="E48" s="290">
        <v>11711520.960000001</v>
      </c>
      <c r="F48" s="290">
        <f t="shared" si="4"/>
        <v>6940312.9399999995</v>
      </c>
      <c r="G48" s="290">
        <f t="shared" si="4"/>
        <v>1548100.1399999994</v>
      </c>
      <c r="H48" s="293">
        <f t="shared" si="4"/>
        <v>0</v>
      </c>
      <c r="J48" s="24"/>
      <c r="K48" s="216"/>
      <c r="L48" s="167"/>
      <c r="M48" s="24"/>
      <c r="N48" s="216"/>
      <c r="O48" s="216"/>
      <c r="P48" s="226"/>
      <c r="Q48" s="24"/>
      <c r="R48" s="24"/>
      <c r="S48" s="24"/>
    </row>
    <row r="49" spans="1:19">
      <c r="A49" s="17" t="s">
        <v>12</v>
      </c>
      <c r="B49" s="131" t="str">
        <f>B16</f>
        <v>January 2012</v>
      </c>
      <c r="C49" s="287">
        <f t="shared" ref="C49:H49" si="5">+C16-C32</f>
        <v>19681714.670000002</v>
      </c>
      <c r="D49" s="284">
        <f t="shared" si="5"/>
        <v>8073764.04</v>
      </c>
      <c r="E49" s="287">
        <v>11687700.861497002</v>
      </c>
      <c r="F49" s="287">
        <f t="shared" si="5"/>
        <v>6940312.9399999995</v>
      </c>
      <c r="G49" s="287">
        <f t="shared" si="5"/>
        <v>1605255.8199999994</v>
      </c>
      <c r="H49" s="294">
        <f t="shared" si="5"/>
        <v>0</v>
      </c>
      <c r="J49" s="24"/>
      <c r="K49" s="216"/>
      <c r="L49" s="167"/>
      <c r="M49" s="24"/>
      <c r="N49" s="216"/>
      <c r="O49" s="216"/>
      <c r="P49" s="226"/>
      <c r="Q49" s="24"/>
      <c r="R49" s="24"/>
      <c r="S49" s="24"/>
    </row>
    <row r="50" spans="1:19">
      <c r="A50" s="17"/>
      <c r="B50" s="132" t="s">
        <v>1</v>
      </c>
      <c r="C50" s="287">
        <f t="shared" ref="C50:H50" si="6">+C17-C33</f>
        <v>19637954.41</v>
      </c>
      <c r="D50" s="284">
        <f t="shared" si="6"/>
        <v>8859184.3499999996</v>
      </c>
      <c r="E50" s="287">
        <v>11663880.762994001</v>
      </c>
      <c r="F50" s="287">
        <f t="shared" si="6"/>
        <v>8544634.709999999</v>
      </c>
      <c r="G50" s="287">
        <f t="shared" si="6"/>
        <v>1705169.3899999994</v>
      </c>
      <c r="H50" s="294">
        <f t="shared" si="6"/>
        <v>0</v>
      </c>
      <c r="J50" s="227"/>
      <c r="K50" s="42"/>
      <c r="L50" s="42"/>
      <c r="M50" s="174"/>
      <c r="N50" s="216"/>
      <c r="O50" s="216"/>
      <c r="P50" s="216"/>
      <c r="Q50" s="24"/>
      <c r="R50" s="24"/>
      <c r="S50" s="24"/>
    </row>
    <row r="51" spans="1:19">
      <c r="A51" s="17"/>
      <c r="B51" s="132" t="s">
        <v>2</v>
      </c>
      <c r="C51" s="287">
        <f t="shared" ref="C51:H51" si="7">+C18-C34</f>
        <v>19594099.41</v>
      </c>
      <c r="D51" s="284">
        <f t="shared" si="7"/>
        <v>9172098.9399999995</v>
      </c>
      <c r="E51" s="287">
        <v>11640060.664491002</v>
      </c>
      <c r="F51" s="287">
        <f t="shared" si="7"/>
        <v>8544634.709999999</v>
      </c>
      <c r="G51" s="287">
        <f t="shared" si="7"/>
        <v>1900310.6199999994</v>
      </c>
      <c r="H51" s="294">
        <f t="shared" si="7"/>
        <v>0</v>
      </c>
      <c r="J51" s="24"/>
      <c r="K51" s="42"/>
      <c r="L51" s="42"/>
      <c r="M51" s="174"/>
      <c r="N51" s="216"/>
      <c r="O51" s="216"/>
      <c r="P51" s="226"/>
      <c r="Q51" s="217"/>
      <c r="R51" s="24"/>
      <c r="S51" s="24"/>
    </row>
    <row r="52" spans="1:19">
      <c r="A52" s="17"/>
      <c r="B52" s="132" t="s">
        <v>3</v>
      </c>
      <c r="C52" s="287">
        <f t="shared" ref="C52:H52" si="8">+C19-C35</f>
        <v>19550244.41</v>
      </c>
      <c r="D52" s="284">
        <f t="shared" si="8"/>
        <v>9763759.5999999996</v>
      </c>
      <c r="E52" s="287">
        <v>11616240.565988</v>
      </c>
      <c r="F52" s="287">
        <f t="shared" si="8"/>
        <v>9590211.959999999</v>
      </c>
      <c r="G52" s="287">
        <f t="shared" si="8"/>
        <v>1900681.8799999994</v>
      </c>
      <c r="H52" s="294">
        <f t="shared" si="8"/>
        <v>0</v>
      </c>
      <c r="J52" s="24"/>
      <c r="K52" s="24"/>
      <c r="L52" s="24"/>
      <c r="M52" s="24"/>
      <c r="N52" s="216"/>
      <c r="O52" s="216"/>
      <c r="P52" s="24"/>
      <c r="Q52" s="24"/>
      <c r="R52" s="24"/>
      <c r="S52" s="24"/>
    </row>
    <row r="53" spans="1:19">
      <c r="A53" s="17"/>
      <c r="B53" s="132" t="s">
        <v>4</v>
      </c>
      <c r="C53" s="287">
        <f t="shared" ref="C53:H53" si="9">+C20-C36</f>
        <v>19506389.41</v>
      </c>
      <c r="D53" s="284">
        <f t="shared" si="9"/>
        <v>9880009.4399999995</v>
      </c>
      <c r="E53" s="287">
        <v>11592420.467485001</v>
      </c>
      <c r="F53" s="287">
        <f t="shared" si="9"/>
        <v>10495418.469999999</v>
      </c>
      <c r="G53" s="287">
        <f t="shared" si="9"/>
        <v>1901053.1799999995</v>
      </c>
      <c r="H53" s="294">
        <f t="shared" si="9"/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1:19">
      <c r="A54" s="17"/>
      <c r="B54" s="132" t="s">
        <v>5</v>
      </c>
      <c r="C54" s="287">
        <f t="shared" ref="C54:H54" si="10">+C21-C37</f>
        <v>19462534.41</v>
      </c>
      <c r="D54" s="284">
        <f t="shared" si="10"/>
        <v>10364235.519017791</v>
      </c>
      <c r="E54" s="287">
        <v>11568600.368982</v>
      </c>
      <c r="F54" s="287">
        <f t="shared" si="10"/>
        <v>12328505.159999998</v>
      </c>
      <c r="G54" s="287">
        <f t="shared" si="10"/>
        <v>2828767.3099999996</v>
      </c>
      <c r="H54" s="294">
        <f t="shared" si="10"/>
        <v>0</v>
      </c>
      <c r="J54" s="24"/>
      <c r="K54" s="228"/>
      <c r="L54" s="24"/>
      <c r="M54" s="24"/>
      <c r="N54" s="24"/>
      <c r="O54" s="24"/>
      <c r="P54" s="24"/>
      <c r="Q54" s="24"/>
      <c r="R54" s="24"/>
      <c r="S54" s="24"/>
    </row>
    <row r="55" spans="1:19">
      <c r="A55" s="17"/>
      <c r="B55" s="132" t="s">
        <v>6</v>
      </c>
      <c r="C55" s="287">
        <f t="shared" ref="C55:H55" si="11">+C22-C38</f>
        <v>19418679.41</v>
      </c>
      <c r="D55" s="284">
        <f t="shared" si="11"/>
        <v>10270647.535690874</v>
      </c>
      <c r="E55" s="287">
        <v>11544780.270479001</v>
      </c>
      <c r="F55" s="287">
        <f t="shared" si="11"/>
        <v>12328505.159999998</v>
      </c>
      <c r="G55" s="287">
        <f t="shared" si="11"/>
        <v>2828767.3099999996</v>
      </c>
      <c r="H55" s="294">
        <f t="shared" si="11"/>
        <v>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>
      <c r="A56" s="17"/>
      <c r="B56" s="132" t="s">
        <v>7</v>
      </c>
      <c r="C56" s="287">
        <f t="shared" ref="C56:H56" si="12">+C23-C39</f>
        <v>19374824.41</v>
      </c>
      <c r="D56" s="284">
        <f t="shared" si="12"/>
        <v>10890103.808752291</v>
      </c>
      <c r="E56" s="287">
        <v>11520960.171976</v>
      </c>
      <c r="F56" s="287">
        <f t="shared" si="12"/>
        <v>15047892.239999998</v>
      </c>
      <c r="G56" s="287">
        <f t="shared" si="12"/>
        <v>4612362.1199999992</v>
      </c>
      <c r="H56" s="294">
        <f t="shared" si="12"/>
        <v>0</v>
      </c>
    </row>
    <row r="57" spans="1:19">
      <c r="A57" s="17"/>
      <c r="B57" s="132" t="s">
        <v>8</v>
      </c>
      <c r="C57" s="287">
        <f t="shared" ref="C57:H57" si="13">+C24-C40</f>
        <v>19330969.41</v>
      </c>
      <c r="D57" s="284">
        <f t="shared" si="13"/>
        <v>11131315.173526833</v>
      </c>
      <c r="E57" s="287">
        <v>11497140.073473001</v>
      </c>
      <c r="F57" s="287">
        <f t="shared" si="13"/>
        <v>15047892.239999998</v>
      </c>
      <c r="G57" s="287">
        <f t="shared" si="13"/>
        <v>4709365.9699999988</v>
      </c>
      <c r="H57" s="294">
        <f t="shared" si="13"/>
        <v>0</v>
      </c>
    </row>
    <row r="58" spans="1:19">
      <c r="A58" s="17"/>
      <c r="B58" s="132" t="s">
        <v>9</v>
      </c>
      <c r="C58" s="287">
        <f t="shared" ref="C58:H58" si="14">+C25-C41</f>
        <v>19287114.41</v>
      </c>
      <c r="D58" s="284">
        <f t="shared" si="14"/>
        <v>11130256.063048083</v>
      </c>
      <c r="E58" s="287">
        <v>11473319.974970002</v>
      </c>
      <c r="F58" s="287">
        <f t="shared" si="14"/>
        <v>17293668.369999997</v>
      </c>
      <c r="G58" s="287">
        <f t="shared" si="14"/>
        <v>5665289.7599999988</v>
      </c>
      <c r="H58" s="294">
        <f t="shared" si="14"/>
        <v>0</v>
      </c>
    </row>
    <row r="59" spans="1:19">
      <c r="A59" s="17"/>
      <c r="B59" s="132" t="s">
        <v>10</v>
      </c>
      <c r="C59" s="287">
        <f t="shared" ref="C59:H59" si="15">+C26-C42</f>
        <v>19240324.98</v>
      </c>
      <c r="D59" s="284">
        <f t="shared" si="15"/>
        <v>10756457.310244583</v>
      </c>
      <c r="E59" s="287">
        <v>11449499.876467001</v>
      </c>
      <c r="F59" s="287">
        <f t="shared" si="15"/>
        <v>17545244.739999998</v>
      </c>
      <c r="G59" s="287">
        <f t="shared" si="15"/>
        <v>5832420.5899999989</v>
      </c>
      <c r="H59" s="294">
        <f t="shared" si="15"/>
        <v>0</v>
      </c>
      <c r="J59" s="24"/>
      <c r="K59" s="24"/>
      <c r="M59" s="24"/>
      <c r="N59" s="24"/>
      <c r="O59" s="24"/>
      <c r="P59" s="24"/>
      <c r="Q59" s="24"/>
    </row>
    <row r="60" spans="1:19">
      <c r="A60" s="18"/>
      <c r="B60" s="133" t="str">
        <f>+B43</f>
        <v>December 2012</v>
      </c>
      <c r="C60" s="135">
        <f t="shared" ref="C60:H60" si="16">+C27-C43</f>
        <v>19196469.98</v>
      </c>
      <c r="D60" s="134">
        <f t="shared" si="16"/>
        <v>10766190.737547414</v>
      </c>
      <c r="E60" s="135">
        <v>11425679.777964002</v>
      </c>
      <c r="F60" s="135">
        <f t="shared" si="16"/>
        <v>18729150.229999997</v>
      </c>
      <c r="G60" s="135">
        <f t="shared" si="16"/>
        <v>6628971.0899999989</v>
      </c>
      <c r="H60" s="295">
        <f t="shared" si="16"/>
        <v>0</v>
      </c>
      <c r="L60" s="24"/>
    </row>
    <row r="61" spans="1:19">
      <c r="A61" s="10"/>
      <c r="B61" s="20" t="s">
        <v>21</v>
      </c>
      <c r="C61" s="134">
        <f t="shared" ref="C61:H61" si="17">AVERAGE(C48:C60)</f>
        <v>19461977.024615381</v>
      </c>
      <c r="D61" s="135">
        <f t="shared" si="17"/>
        <v>9876323.4552175291</v>
      </c>
      <c r="E61" s="134">
        <v>11568600.368982</v>
      </c>
      <c r="F61" s="135">
        <f t="shared" si="17"/>
        <v>12259721.836153844</v>
      </c>
      <c r="G61" s="136">
        <f t="shared" si="17"/>
        <v>3358962.7061538449</v>
      </c>
      <c r="H61" s="200">
        <f t="shared" si="17"/>
        <v>0</v>
      </c>
    </row>
    <row r="62" spans="1:19">
      <c r="A62" s="10"/>
      <c r="B62" s="7"/>
      <c r="C62" s="42"/>
      <c r="D62" s="42"/>
      <c r="E62" s="42"/>
      <c r="F62" s="42"/>
      <c r="G62" s="42"/>
      <c r="H62" s="32"/>
      <c r="I62" s="32"/>
      <c r="J62" s="81"/>
    </row>
    <row r="63" spans="1:19">
      <c r="A63" s="10"/>
      <c r="B63" s="8"/>
      <c r="C63" s="44"/>
      <c r="D63" s="44"/>
      <c r="E63" s="44"/>
      <c r="F63" s="44"/>
      <c r="G63" s="44"/>
      <c r="H63" s="31"/>
    </row>
    <row r="64" spans="1:19">
      <c r="A64" s="22" t="s">
        <v>24</v>
      </c>
      <c r="B64" s="23" t="s">
        <v>0</v>
      </c>
      <c r="C64" s="289">
        <f>C43-C31</f>
        <v>526260</v>
      </c>
      <c r="D64" s="290">
        <f>D43-D31</f>
        <v>78202.242452583334</v>
      </c>
      <c r="E64" s="290">
        <v>285841.18203599984</v>
      </c>
      <c r="F64" s="290">
        <f>F43-F31</f>
        <v>0</v>
      </c>
      <c r="G64" s="296">
        <f>G43-G31</f>
        <v>0</v>
      </c>
      <c r="H64" s="297">
        <v>0</v>
      </c>
    </row>
    <row r="65" spans="1:8">
      <c r="A65" s="18" t="s">
        <v>13</v>
      </c>
      <c r="B65" s="15" t="s">
        <v>18</v>
      </c>
      <c r="C65" s="284">
        <v>0</v>
      </c>
      <c r="D65" s="287">
        <v>0</v>
      </c>
      <c r="E65" s="135">
        <v>0</v>
      </c>
      <c r="F65" s="298">
        <v>0</v>
      </c>
      <c r="G65" s="136">
        <v>0</v>
      </c>
      <c r="H65" s="299">
        <v>0</v>
      </c>
    </row>
    <row r="66" spans="1:8">
      <c r="A66" s="2"/>
      <c r="B66" s="20" t="s">
        <v>23</v>
      </c>
      <c r="C66" s="124">
        <f>+C64+C65</f>
        <v>526260</v>
      </c>
      <c r="D66" s="127">
        <f>+D64+D65</f>
        <v>78202.242452583334</v>
      </c>
      <c r="E66" s="125">
        <v>285841.18203599984</v>
      </c>
      <c r="F66" s="127">
        <f>+F64+F65</f>
        <v>0</v>
      </c>
      <c r="G66" s="125"/>
      <c r="H66" s="126">
        <f>+H64+H65</f>
        <v>0</v>
      </c>
    </row>
    <row r="67" spans="1:8">
      <c r="E67" s="45"/>
      <c r="H67" s="24"/>
    </row>
  </sheetData>
  <phoneticPr fontId="47" type="noConversion"/>
  <dataValidations disablePrompts="1" count="1">
    <dataValidation type="list" allowBlank="1" showInputMessage="1" showErrorMessage="1" sqref="C14:H14">
      <formula1>$I$11:$I$12</formula1>
    </dataValidation>
  </dataValidations>
  <pageMargins left="0.5" right="0.5" top="0.25" bottom="0.25" header="0" footer="0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98"/>
  <sheetViews>
    <sheetView topLeftCell="A186" zoomScaleNormal="100" workbookViewId="0">
      <selection activeCell="G109" sqref="G109"/>
    </sheetView>
  </sheetViews>
  <sheetFormatPr defaultRowHeight="12.75"/>
  <cols>
    <col min="1" max="1" width="26.42578125" customWidth="1"/>
    <col min="2" max="2" width="17.42578125" customWidth="1"/>
    <col min="3" max="3" width="12.42578125" customWidth="1"/>
    <col min="4" max="4" width="12.28515625" customWidth="1"/>
    <col min="5" max="5" width="14.5703125" customWidth="1"/>
    <col min="6" max="6" width="12.28515625" customWidth="1"/>
    <col min="7" max="7" width="14" bestFit="1" customWidth="1"/>
    <col min="8" max="8" width="10.28515625" bestFit="1" customWidth="1"/>
    <col min="9" max="9" width="13.140625" customWidth="1"/>
    <col min="10" max="12" width="11.28515625" bestFit="1" customWidth="1"/>
    <col min="13" max="13" width="10.140625" bestFit="1" customWidth="1"/>
    <col min="15" max="15" width="12.28515625" customWidth="1"/>
  </cols>
  <sheetData>
    <row r="1" spans="1:22" ht="18">
      <c r="A1" s="46" t="s">
        <v>41</v>
      </c>
      <c r="B1" s="91"/>
      <c r="C1" s="91"/>
      <c r="D1" s="92"/>
      <c r="E1" s="48"/>
      <c r="F1" s="48"/>
    </row>
    <row r="2" spans="1:22">
      <c r="A2" s="46" t="s">
        <v>114</v>
      </c>
      <c r="B2" s="91"/>
      <c r="C2" s="91"/>
      <c r="D2" s="93"/>
      <c r="E2" s="50"/>
      <c r="F2" s="50"/>
    </row>
    <row r="3" spans="1:22">
      <c r="A3" s="46" t="s">
        <v>107</v>
      </c>
      <c r="B3" s="91"/>
      <c r="C3" s="91"/>
      <c r="D3" s="94"/>
      <c r="E3" s="51"/>
      <c r="F3" s="51"/>
    </row>
    <row r="4" spans="1:22">
      <c r="A4" s="46"/>
      <c r="B4" s="91"/>
      <c r="C4" s="91"/>
      <c r="D4" s="94"/>
      <c r="E4" s="51"/>
      <c r="F4" s="51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>
      <c r="B5" s="95"/>
      <c r="C5" s="95"/>
      <c r="D5" s="96"/>
      <c r="E5" s="52"/>
      <c r="F5" s="5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>
      <c r="A6" s="69" t="s">
        <v>46</v>
      </c>
      <c r="B6" s="97"/>
      <c r="C6" s="97"/>
      <c r="D6" s="97"/>
      <c r="E6" s="82"/>
      <c r="F6" s="82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25.5">
      <c r="A7" s="83" t="s">
        <v>127</v>
      </c>
      <c r="B7" s="97" t="s">
        <v>42</v>
      </c>
      <c r="C7" s="97" t="s">
        <v>43</v>
      </c>
      <c r="D7" s="97" t="s">
        <v>44</v>
      </c>
      <c r="E7" s="84" t="s">
        <v>103</v>
      </c>
      <c r="F7" s="84" t="s">
        <v>104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>
      <c r="A8" s="69" t="s">
        <v>45</v>
      </c>
      <c r="B8" s="97"/>
      <c r="C8" s="97"/>
      <c r="D8" s="97"/>
      <c r="E8" s="82"/>
      <c r="F8" s="82"/>
      <c r="H8" s="24"/>
      <c r="I8" s="24"/>
      <c r="J8" s="24"/>
      <c r="K8" s="24"/>
      <c r="L8" s="207"/>
      <c r="M8" s="208"/>
      <c r="N8" s="208"/>
      <c r="O8" s="208"/>
      <c r="P8" s="208"/>
      <c r="Q8" s="208"/>
      <c r="R8" s="208"/>
      <c r="S8" s="24"/>
      <c r="T8" s="24"/>
      <c r="U8" s="24"/>
      <c r="V8" s="24"/>
    </row>
    <row r="9" spans="1:22">
      <c r="A9" s="35" t="str">
        <f xml:space="preserve"> "December  2011"</f>
        <v>December  2011</v>
      </c>
      <c r="B9" s="232">
        <v>7334182.4000000004</v>
      </c>
      <c r="C9" s="233">
        <v>403736.64</v>
      </c>
      <c r="D9" s="233">
        <f>B9+C9</f>
        <v>7737919.04</v>
      </c>
      <c r="E9" s="234">
        <v>0</v>
      </c>
      <c r="F9" s="235">
        <f t="shared" ref="F9" si="0">D9-E9</f>
        <v>7737919.04</v>
      </c>
      <c r="H9" s="209"/>
      <c r="I9" s="24"/>
      <c r="J9" s="24"/>
      <c r="K9" s="24"/>
      <c r="L9" s="208"/>
      <c r="M9" s="210"/>
      <c r="N9" s="208"/>
      <c r="O9" s="208"/>
      <c r="P9" s="208"/>
      <c r="Q9" s="208"/>
      <c r="R9" s="208"/>
      <c r="S9" s="24"/>
      <c r="T9" s="24"/>
      <c r="U9" s="24"/>
      <c r="V9" s="24"/>
    </row>
    <row r="10" spans="1:22">
      <c r="A10" s="192" t="s">
        <v>47</v>
      </c>
      <c r="B10" s="236">
        <f>B9+765199.77-25618.13</f>
        <v>8073764.04</v>
      </c>
      <c r="C10" s="237">
        <f>C9+279.72+38953.82+770.61+14139.9+2299.42+834.67</f>
        <v>461014.77999999997</v>
      </c>
      <c r="D10" s="238">
        <f t="shared" ref="D10:D21" si="1">B10+C10</f>
        <v>8534778.8200000003</v>
      </c>
      <c r="E10" s="234">
        <v>0</v>
      </c>
      <c r="F10" s="239">
        <f t="shared" ref="F10:F21" si="2">D10-E10</f>
        <v>8534778.8200000003</v>
      </c>
      <c r="H10" s="209"/>
      <c r="I10" s="24"/>
      <c r="J10" s="24"/>
      <c r="K10" s="24"/>
      <c r="L10" s="208"/>
      <c r="M10" s="208"/>
      <c r="N10" s="208"/>
      <c r="O10" s="208"/>
      <c r="P10" s="208"/>
      <c r="Q10" s="208"/>
      <c r="R10" s="208"/>
      <c r="S10" s="24"/>
      <c r="T10" s="24"/>
      <c r="U10" s="24"/>
      <c r="V10" s="24"/>
    </row>
    <row r="11" spans="1:22">
      <c r="A11" s="86" t="s">
        <v>1</v>
      </c>
      <c r="B11" s="233">
        <f>B10+741763.82+43656.49</f>
        <v>8859184.3499999996</v>
      </c>
      <c r="C11" s="237">
        <f>C10+15566.24+42883.23+279.72+770.61+2346.45+851.74</f>
        <v>523712.7699999999</v>
      </c>
      <c r="D11" s="238">
        <f t="shared" si="1"/>
        <v>9382897.1199999992</v>
      </c>
      <c r="E11" s="234">
        <v>0</v>
      </c>
      <c r="F11" s="239">
        <f t="shared" si="2"/>
        <v>9382897.1199999992</v>
      </c>
      <c r="H11" s="24"/>
      <c r="I11" s="24"/>
      <c r="J11" s="24"/>
      <c r="K11" s="24"/>
      <c r="L11" s="208"/>
      <c r="M11" s="208"/>
      <c r="N11" s="208"/>
      <c r="O11" s="208"/>
      <c r="P11" s="208"/>
      <c r="Q11" s="208"/>
      <c r="R11" s="208"/>
      <c r="S11" s="24"/>
      <c r="T11" s="24"/>
      <c r="U11" s="24"/>
      <c r="V11" s="24"/>
    </row>
    <row r="12" spans="1:22">
      <c r="A12" s="86" t="s">
        <v>2</v>
      </c>
      <c r="B12" s="233">
        <f>B11+275103.92+37810.67</f>
        <v>9172098.9399999995</v>
      </c>
      <c r="C12" s="237">
        <f>C11+279.72+770.61+16528.71+2558.88+45534.71+928.85</f>
        <v>590314.24999999977</v>
      </c>
      <c r="D12" s="238">
        <f>B12+C12</f>
        <v>9762413.1899999995</v>
      </c>
      <c r="E12" s="234">
        <v>0</v>
      </c>
      <c r="F12" s="239">
        <f t="shared" si="2"/>
        <v>9762413.1899999995</v>
      </c>
      <c r="H12" s="24"/>
      <c r="I12" s="24"/>
      <c r="J12" s="24"/>
      <c r="K12" s="24"/>
      <c r="L12" s="208"/>
      <c r="M12" s="208"/>
      <c r="N12" s="208"/>
      <c r="O12" s="208"/>
      <c r="P12" s="208"/>
      <c r="Q12" s="208"/>
      <c r="R12" s="208"/>
      <c r="S12" s="24"/>
      <c r="T12" s="24"/>
      <c r="U12" s="24"/>
      <c r="V12" s="24"/>
    </row>
    <row r="13" spans="1:22">
      <c r="A13" s="86" t="s">
        <v>3</v>
      </c>
      <c r="B13" s="233">
        <f>B12+122846.85+468813.81</f>
        <v>9763759.5999999996</v>
      </c>
      <c r="C13" s="237">
        <f>C12+46572.37+279.72+770.61+16905.37+3879.9+1408.37</f>
        <v>660130.58999999973</v>
      </c>
      <c r="D13" s="238">
        <f t="shared" si="1"/>
        <v>10423890.189999999</v>
      </c>
      <c r="E13" s="234">
        <v>0</v>
      </c>
      <c r="F13" s="239">
        <f t="shared" si="2"/>
        <v>10423890.189999999</v>
      </c>
      <c r="H13" s="24"/>
      <c r="I13" s="24"/>
      <c r="J13" s="24"/>
      <c r="K13" s="24"/>
      <c r="L13" s="208"/>
      <c r="M13" s="208"/>
      <c r="N13" s="208"/>
      <c r="O13" s="208"/>
      <c r="P13" s="208"/>
      <c r="Q13" s="208"/>
      <c r="R13" s="208"/>
      <c r="S13" s="24"/>
      <c r="T13" s="24"/>
      <c r="U13" s="24"/>
      <c r="V13" s="24"/>
    </row>
    <row r="14" spans="1:22">
      <c r="A14" s="86" t="s">
        <v>4</v>
      </c>
      <c r="B14" s="233">
        <f>B13+164329.03-48079.19</f>
        <v>9880009.4399999995</v>
      </c>
      <c r="C14" s="237">
        <f>C13+279.72+47321.18+770.61+17177.18+1806.6+4976.97</f>
        <v>732462.84999999974</v>
      </c>
      <c r="D14" s="238">
        <f>B14+C14</f>
        <v>10612472.289999999</v>
      </c>
      <c r="E14" s="240">
        <v>0</v>
      </c>
      <c r="F14" s="239">
        <f t="shared" si="2"/>
        <v>10612472.289999999</v>
      </c>
      <c r="H14" s="24"/>
      <c r="I14" s="24"/>
      <c r="J14" s="24"/>
      <c r="K14" s="24"/>
      <c r="L14" s="208"/>
      <c r="M14" s="208"/>
      <c r="N14" s="208"/>
      <c r="O14" s="208"/>
      <c r="P14" s="208"/>
      <c r="Q14" s="208"/>
      <c r="R14" s="208"/>
      <c r="S14" s="24"/>
      <c r="T14" s="24"/>
      <c r="U14" s="24"/>
      <c r="V14" s="24"/>
    </row>
    <row r="15" spans="1:22">
      <c r="A15" s="86" t="s">
        <v>5</v>
      </c>
      <c r="B15" s="233">
        <f>B14+212710.47+271788.53</f>
        <v>10364508.439999999</v>
      </c>
      <c r="C15" s="237">
        <f>C14+803.32+17991.19+291.6+49563.69+5531.67+2007.95</f>
        <v>808652.26999999967</v>
      </c>
      <c r="D15" s="238">
        <f t="shared" si="1"/>
        <v>11173160.709999999</v>
      </c>
      <c r="E15" s="240">
        <v>271788.53000000003</v>
      </c>
      <c r="F15" s="239">
        <f t="shared" si="2"/>
        <v>10901372.18</v>
      </c>
      <c r="H15" s="209"/>
      <c r="I15" s="24"/>
      <c r="J15" s="24"/>
      <c r="K15" s="24"/>
      <c r="L15" s="208"/>
      <c r="M15" s="208"/>
      <c r="N15" s="208"/>
      <c r="O15" s="208"/>
      <c r="P15" s="208"/>
      <c r="Q15" s="208"/>
      <c r="R15" s="208"/>
      <c r="S15" s="24"/>
      <c r="T15" s="24"/>
      <c r="U15" s="24"/>
      <c r="V15" s="24"/>
    </row>
    <row r="16" spans="1:22">
      <c r="A16" s="86" t="s">
        <v>6</v>
      </c>
      <c r="B16" s="233">
        <f>B15+149102.15+29186.19-271876.5</f>
        <v>10270920.279999999</v>
      </c>
      <c r="C16" s="237">
        <f>C15+803.32+18132.32+49952.47+291.6+2236.91+6162.42</f>
        <v>886231.30999999959</v>
      </c>
      <c r="D16" s="238">
        <f t="shared" si="1"/>
        <v>11157151.59</v>
      </c>
      <c r="E16" s="240">
        <f>E15-271876.5</f>
        <v>-87.96999999997206</v>
      </c>
      <c r="F16" s="239">
        <f t="shared" si="2"/>
        <v>11157239.560000001</v>
      </c>
      <c r="H16" s="24"/>
      <c r="I16" s="24"/>
      <c r="J16" s="24"/>
      <c r="K16" s="24"/>
      <c r="L16" s="208"/>
      <c r="M16" s="208"/>
      <c r="N16" s="208"/>
      <c r="O16" s="208"/>
      <c r="P16" s="208"/>
      <c r="Q16" s="208"/>
      <c r="R16" s="208"/>
      <c r="S16" s="24"/>
      <c r="T16" s="24"/>
      <c r="U16" s="24"/>
      <c r="V16" s="24"/>
    </row>
    <row r="17" spans="1:22">
      <c r="A17" s="86" t="s">
        <v>7</v>
      </c>
      <c r="B17" s="233">
        <f>B16+573536.1+46457.14</f>
        <v>10890913.52</v>
      </c>
      <c r="C17" s="237">
        <f>C16+803.32+51836.75+291.6+18816.29+2210.9+6090.77+97.61+268.89</f>
        <v>966647.43999999959</v>
      </c>
      <c r="D17" s="238">
        <f t="shared" si="1"/>
        <v>11857560.959999999</v>
      </c>
      <c r="E17" s="240">
        <f>E16+257166.66</f>
        <v>257078.69000000003</v>
      </c>
      <c r="F17" s="239">
        <f t="shared" si="2"/>
        <v>11600482.27</v>
      </c>
      <c r="H17" s="211"/>
      <c r="I17" s="24"/>
      <c r="J17" s="24"/>
      <c r="K17" s="24"/>
      <c r="L17" s="208"/>
      <c r="M17" s="208"/>
      <c r="N17" s="208"/>
      <c r="O17" s="208"/>
      <c r="P17" s="208"/>
      <c r="Q17" s="208"/>
      <c r="R17" s="208"/>
      <c r="S17" s="24"/>
      <c r="T17" s="24"/>
      <c r="U17" s="24"/>
      <c r="V17" s="24"/>
    </row>
    <row r="18" spans="1:22">
      <c r="A18" s="86" t="s">
        <v>8</v>
      </c>
      <c r="B18" s="233">
        <f>B17+1023.36+257166.66-5504.28</f>
        <v>11143599.26</v>
      </c>
      <c r="C18" s="237">
        <f>C17+401.66+9679.57+26666.12+145.8+1079.11+2972.84</f>
        <v>1007592.5399999996</v>
      </c>
      <c r="D18" s="238">
        <f t="shared" si="1"/>
        <v>12151191.799999999</v>
      </c>
      <c r="E18" s="240">
        <f>D18</f>
        <v>12151191.799999999</v>
      </c>
      <c r="F18" s="241">
        <f t="shared" si="2"/>
        <v>0</v>
      </c>
      <c r="G18" s="39"/>
      <c r="H18" s="209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>
      <c r="A19" s="86" t="s">
        <v>9</v>
      </c>
      <c r="B19" s="233">
        <f>B18+5594.17+15769.74</f>
        <v>11164963.17</v>
      </c>
      <c r="C19" s="237">
        <f>C18</f>
        <v>1007592.5399999996</v>
      </c>
      <c r="D19" s="238">
        <f t="shared" si="1"/>
        <v>12172555.709999999</v>
      </c>
      <c r="E19" s="240">
        <f>D19</f>
        <v>12172555.709999999</v>
      </c>
      <c r="F19" s="241">
        <f t="shared" si="2"/>
        <v>0</v>
      </c>
      <c r="G19" s="39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>
      <c r="A20" s="86" t="s">
        <v>10</v>
      </c>
      <c r="B20" s="233">
        <f>B19-419180.21+67097.38</f>
        <v>10812880.34</v>
      </c>
      <c r="C20" s="237">
        <f>C19</f>
        <v>1007592.5399999996</v>
      </c>
      <c r="D20" s="238">
        <f t="shared" si="1"/>
        <v>11820472.879999999</v>
      </c>
      <c r="E20" s="240">
        <f t="shared" ref="E20:E21" si="3">D20</f>
        <v>11820472.879999999</v>
      </c>
      <c r="F20" s="241">
        <f t="shared" si="2"/>
        <v>0</v>
      </c>
      <c r="G20" s="39"/>
      <c r="H20" s="21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>
      <c r="A21" s="87" t="str">
        <f xml:space="preserve"> "December  2012"</f>
        <v>December  2012</v>
      </c>
      <c r="B21" s="242">
        <f>B20+17917.85+13594.79</f>
        <v>10844392.979999999</v>
      </c>
      <c r="C21" s="243">
        <f>C20</f>
        <v>1007592.5399999996</v>
      </c>
      <c r="D21" s="244">
        <f t="shared" si="1"/>
        <v>11851985.519999998</v>
      </c>
      <c r="E21" s="245">
        <f t="shared" si="3"/>
        <v>11851985.519999998</v>
      </c>
      <c r="F21" s="246">
        <f t="shared" si="2"/>
        <v>0</v>
      </c>
      <c r="G21" s="39"/>
      <c r="H21" s="211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>
      <c r="A22" s="88"/>
      <c r="B22" s="98"/>
      <c r="C22" s="98"/>
      <c r="D22" s="98"/>
      <c r="E22" s="89"/>
      <c r="F22" s="89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13.5" thickBot="1">
      <c r="A23" s="20" t="s">
        <v>21</v>
      </c>
      <c r="B23" s="99">
        <f>AVERAGE(B9:B21)</f>
        <v>9890398.2123076934</v>
      </c>
      <c r="C23" s="99">
        <f>AVERAGE(C9:C21)</f>
        <v>774097.92769230728</v>
      </c>
      <c r="D23" s="185">
        <f>AVERAGE(D9:D21)</f>
        <v>10664496.139999997</v>
      </c>
      <c r="E23" s="99">
        <f>AVERAGE(E9:E21)</f>
        <v>3732691.1661538458</v>
      </c>
      <c r="F23" s="186">
        <f>AVERAGE(F9:F21)</f>
        <v>6931804.9738461524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3.5" thickTop="1">
      <c r="A24" s="20"/>
      <c r="B24" s="98"/>
      <c r="C24" s="98"/>
      <c r="D24" s="98"/>
      <c r="E24" s="98"/>
      <c r="F24" s="100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>
      <c r="A25" s="20"/>
      <c r="B25" s="98"/>
      <c r="C25" s="98"/>
      <c r="D25" s="98"/>
      <c r="E25" s="52"/>
      <c r="F25" s="5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>
      <c r="A26" s="69" t="s">
        <v>48</v>
      </c>
      <c r="B26" s="97"/>
      <c r="C26" s="97"/>
      <c r="D26" s="97"/>
      <c r="E26" s="82"/>
      <c r="F26" s="8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25.5">
      <c r="A27" s="69" t="s">
        <v>49</v>
      </c>
      <c r="B27" s="97" t="s">
        <v>42</v>
      </c>
      <c r="C27" s="97" t="s">
        <v>43</v>
      </c>
      <c r="D27" s="97" t="s">
        <v>44</v>
      </c>
      <c r="E27" s="84" t="s">
        <v>103</v>
      </c>
      <c r="F27" s="84" t="s">
        <v>104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>
      <c r="A28" s="69" t="s">
        <v>65</v>
      </c>
      <c r="B28" s="97"/>
      <c r="C28" s="97"/>
      <c r="D28" s="97"/>
      <c r="E28" s="84"/>
      <c r="F28" s="8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>
      <c r="A29" s="69" t="s">
        <v>45</v>
      </c>
      <c r="B29" s="97"/>
      <c r="C29" s="97"/>
      <c r="D29" s="97"/>
      <c r="E29" s="82"/>
      <c r="F29" s="8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>
      <c r="A30" s="11" t="str">
        <f xml:space="preserve"> "December  2011"</f>
        <v>December  2011</v>
      </c>
      <c r="B30" s="232">
        <v>11860629.960000001</v>
      </c>
      <c r="C30" s="247">
        <v>1004910.63</v>
      </c>
      <c r="D30" s="233">
        <f t="shared" ref="D30" si="4">B30+C30</f>
        <v>12865540.590000002</v>
      </c>
      <c r="E30" s="248">
        <v>12865541</v>
      </c>
      <c r="F30" s="197">
        <f>D30-E30</f>
        <v>-0.40999999828636646</v>
      </c>
      <c r="H30" s="209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>
      <c r="A31" s="192" t="s">
        <v>47</v>
      </c>
      <c r="B31" s="249">
        <v>0</v>
      </c>
      <c r="C31" s="237">
        <v>0</v>
      </c>
      <c r="D31" s="238">
        <v>0</v>
      </c>
      <c r="E31" s="234">
        <v>0</v>
      </c>
      <c r="F31" s="195">
        <f t="shared" ref="F31:F42" si="5">D31-E31</f>
        <v>0</v>
      </c>
      <c r="H31" s="209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>
      <c r="A32" s="193" t="s">
        <v>1</v>
      </c>
      <c r="B32" s="249">
        <v>0</v>
      </c>
      <c r="C32" s="237">
        <v>0</v>
      </c>
      <c r="D32" s="238">
        <v>0</v>
      </c>
      <c r="E32" s="234">
        <v>0</v>
      </c>
      <c r="F32" s="195">
        <f t="shared" si="5"/>
        <v>0</v>
      </c>
      <c r="H32" s="20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>
      <c r="A33" s="193" t="s">
        <v>2</v>
      </c>
      <c r="B33" s="249">
        <v>0</v>
      </c>
      <c r="C33" s="237">
        <v>0</v>
      </c>
      <c r="D33" s="238">
        <v>0</v>
      </c>
      <c r="E33" s="234">
        <v>0</v>
      </c>
      <c r="F33" s="195">
        <f t="shared" si="5"/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>
      <c r="A34" s="193" t="s">
        <v>3</v>
      </c>
      <c r="B34" s="249">
        <v>0</v>
      </c>
      <c r="C34" s="237">
        <v>0</v>
      </c>
      <c r="D34" s="238">
        <v>0</v>
      </c>
      <c r="E34" s="234">
        <v>0</v>
      </c>
      <c r="F34" s="195">
        <f t="shared" si="5"/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>
      <c r="A35" s="193" t="s">
        <v>4</v>
      </c>
      <c r="B35" s="249">
        <v>0</v>
      </c>
      <c r="C35" s="237">
        <v>0</v>
      </c>
      <c r="D35" s="238">
        <v>0</v>
      </c>
      <c r="E35" s="234">
        <v>0</v>
      </c>
      <c r="F35" s="195">
        <f t="shared" si="5"/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>
      <c r="A36" s="193" t="s">
        <v>5</v>
      </c>
      <c r="B36" s="249">
        <v>0</v>
      </c>
      <c r="C36" s="237">
        <v>0</v>
      </c>
      <c r="D36" s="238">
        <v>0</v>
      </c>
      <c r="E36" s="234">
        <v>0</v>
      </c>
      <c r="F36" s="195">
        <f t="shared" si="5"/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>
      <c r="A37" s="193" t="s">
        <v>6</v>
      </c>
      <c r="B37" s="249">
        <v>0</v>
      </c>
      <c r="C37" s="237">
        <v>0</v>
      </c>
      <c r="D37" s="238">
        <v>0</v>
      </c>
      <c r="E37" s="234">
        <v>0</v>
      </c>
      <c r="F37" s="195">
        <f t="shared" si="5"/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>
      <c r="A38" s="193" t="s">
        <v>7</v>
      </c>
      <c r="B38" s="249">
        <v>0</v>
      </c>
      <c r="C38" s="237">
        <v>0</v>
      </c>
      <c r="D38" s="238">
        <v>0</v>
      </c>
      <c r="E38" s="234">
        <v>0</v>
      </c>
      <c r="F38" s="195">
        <f t="shared" si="5"/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>
      <c r="A39" s="193" t="s">
        <v>8</v>
      </c>
      <c r="B39" s="249">
        <v>0</v>
      </c>
      <c r="C39" s="237">
        <v>0</v>
      </c>
      <c r="D39" s="238">
        <v>0</v>
      </c>
      <c r="E39" s="234">
        <v>0</v>
      </c>
      <c r="F39" s="195">
        <f t="shared" si="5"/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>
      <c r="A40" s="193" t="s">
        <v>9</v>
      </c>
      <c r="B40" s="249">
        <v>0</v>
      </c>
      <c r="C40" s="237">
        <v>0</v>
      </c>
      <c r="D40" s="238">
        <v>0</v>
      </c>
      <c r="E40" s="234">
        <v>0</v>
      </c>
      <c r="F40" s="195">
        <f t="shared" si="5"/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>
      <c r="A41" s="193" t="s">
        <v>10</v>
      </c>
      <c r="B41" s="249">
        <v>0</v>
      </c>
      <c r="C41" s="237">
        <v>0</v>
      </c>
      <c r="D41" s="238">
        <v>0</v>
      </c>
      <c r="E41" s="234">
        <v>0</v>
      </c>
      <c r="F41" s="195">
        <f t="shared" si="5"/>
        <v>0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>
      <c r="A42" s="194" t="str">
        <f xml:space="preserve"> "December  2012"</f>
        <v>December  2012</v>
      </c>
      <c r="B42" s="250">
        <v>0</v>
      </c>
      <c r="C42" s="243">
        <v>0</v>
      </c>
      <c r="D42" s="244">
        <v>0</v>
      </c>
      <c r="E42" s="251">
        <v>0</v>
      </c>
      <c r="F42" s="196">
        <f t="shared" si="5"/>
        <v>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>
      <c r="A43" s="88" t="s">
        <v>124</v>
      </c>
      <c r="B43" s="101"/>
      <c r="C43" s="101"/>
      <c r="D43" s="101"/>
      <c r="E43" s="101"/>
      <c r="F43" s="198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3.5" thickBot="1">
      <c r="A44" s="20" t="s">
        <v>21</v>
      </c>
      <c r="B44" s="102">
        <f>AVERAGE(B30:B42)</f>
        <v>912356.15076923079</v>
      </c>
      <c r="C44" s="102">
        <f>AVERAGE(C30:C42)</f>
        <v>77300.817692307697</v>
      </c>
      <c r="D44" s="185">
        <f>AVERAGE(D30:D42)</f>
        <v>989656.96846153855</v>
      </c>
      <c r="E44" s="99">
        <f>AVERAGE(E30:E42)</f>
        <v>989657</v>
      </c>
      <c r="F44" s="199">
        <f>AVERAGE(F30:F42)</f>
        <v>-3.1538461406643577E-2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:22" ht="13.5" thickTop="1">
      <c r="A45" s="20"/>
      <c r="B45" s="101"/>
      <c r="C45" s="101"/>
      <c r="D45" s="98"/>
      <c r="E45" s="52"/>
      <c r="F45" s="52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:22">
      <c r="A46" s="20"/>
      <c r="B46" s="101"/>
      <c r="C46" s="101"/>
      <c r="D46" s="98"/>
      <c r="E46" s="52"/>
      <c r="F46" s="52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:22">
      <c r="A47" s="46" t="str">
        <f>A1</f>
        <v>ALLETE, Inc., d/b/a Minnesota Power</v>
      </c>
      <c r="B47" s="103"/>
      <c r="C47" s="103"/>
      <c r="D47" s="104"/>
      <c r="E47" s="53"/>
      <c r="F47" s="5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>
      <c r="A48" s="46" t="str">
        <f>A2</f>
        <v>2012 Attachment GG Work papers - CWIP and Prefunded AFUDC Working Papers</v>
      </c>
      <c r="B48" s="103"/>
      <c r="C48" s="103"/>
      <c r="D48" s="104"/>
      <c r="E48" s="53"/>
      <c r="F48" s="5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>
      <c r="A49" s="46" t="str">
        <f>A3</f>
        <v>Actual 13 Months Ended December 31, 2012</v>
      </c>
      <c r="B49" s="103"/>
      <c r="C49" s="103"/>
      <c r="D49" s="104"/>
      <c r="E49" s="53"/>
      <c r="F49" s="5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>
      <c r="B50" s="95"/>
      <c r="C50" s="95"/>
      <c r="D50" s="96"/>
      <c r="E50" s="53"/>
      <c r="F50" s="5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>
      <c r="A51" s="69" t="s">
        <v>50</v>
      </c>
      <c r="B51" s="97"/>
      <c r="C51" s="97"/>
      <c r="D51" s="97"/>
      <c r="E51" s="82"/>
      <c r="F51" s="82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25.5">
      <c r="A52" s="69" t="s">
        <v>51</v>
      </c>
      <c r="B52" s="97" t="s">
        <v>42</v>
      </c>
      <c r="C52" s="97" t="s">
        <v>43</v>
      </c>
      <c r="D52" s="97" t="s">
        <v>44</v>
      </c>
      <c r="E52" s="84" t="s">
        <v>103</v>
      </c>
      <c r="F52" s="84" t="s">
        <v>104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>
      <c r="A53" s="69" t="s">
        <v>66</v>
      </c>
      <c r="B53" s="97"/>
      <c r="C53" s="97"/>
      <c r="D53" s="97"/>
      <c r="E53" s="84"/>
      <c r="F53" s="8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>
      <c r="A54" s="69" t="s">
        <v>45</v>
      </c>
      <c r="B54" s="97"/>
      <c r="C54" s="97"/>
      <c r="D54" s="97"/>
      <c r="E54" s="82"/>
      <c r="F54" s="82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>
      <c r="A55" s="35" t="str">
        <f xml:space="preserve"> "December  2011"</f>
        <v>December  2011</v>
      </c>
      <c r="B55" s="247">
        <v>6940312.9399999995</v>
      </c>
      <c r="C55" s="247">
        <v>108557.43000000001</v>
      </c>
      <c r="D55" s="236">
        <f t="shared" ref="D55" si="6">B55+C55</f>
        <v>7048870.3699999992</v>
      </c>
      <c r="E55" s="252">
        <v>0</v>
      </c>
      <c r="F55" s="173">
        <f t="shared" ref="F55" si="7">D55-E55</f>
        <v>7048870.3699999992</v>
      </c>
      <c r="H55" s="209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>
      <c r="A56" s="85" t="s">
        <v>47</v>
      </c>
      <c r="B56" s="253">
        <f>B55</f>
        <v>6940312.9399999995</v>
      </c>
      <c r="C56" s="253">
        <f>C55+36552.05+13268.08</f>
        <v>158377.56</v>
      </c>
      <c r="D56" s="236">
        <f t="shared" ref="D56:D67" si="8">B56+C56</f>
        <v>7098690.4999999991</v>
      </c>
      <c r="E56" s="254">
        <v>0</v>
      </c>
      <c r="F56" s="183">
        <f t="shared" ref="F56:F67" si="9">D56-E56</f>
        <v>7098690.4999999991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>
      <c r="A57" s="86" t="s">
        <v>1</v>
      </c>
      <c r="B57" s="253">
        <f>B56+1604321.77</f>
        <v>8544634.709999999</v>
      </c>
      <c r="C57" s="253">
        <f>C56+40735.32+14786.57</f>
        <v>213899.45</v>
      </c>
      <c r="D57" s="236">
        <f t="shared" si="8"/>
        <v>8758534.1599999983</v>
      </c>
      <c r="E57" s="254">
        <v>0</v>
      </c>
      <c r="F57" s="183">
        <f t="shared" si="9"/>
        <v>8758534.1599999983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>
      <c r="A58" s="86" t="s">
        <v>2</v>
      </c>
      <c r="B58" s="253">
        <f>B57</f>
        <v>8544634.709999999</v>
      </c>
      <c r="C58" s="253">
        <f>C57+16305.06+44918.59</f>
        <v>275123.09999999998</v>
      </c>
      <c r="D58" s="236">
        <f t="shared" si="8"/>
        <v>8819757.8099999987</v>
      </c>
      <c r="E58" s="254">
        <v>0</v>
      </c>
      <c r="F58" s="183">
        <f t="shared" si="9"/>
        <v>8819757.8099999987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>
      <c r="A59" s="86" t="s">
        <v>3</v>
      </c>
      <c r="B59" s="253">
        <f>B58+1045577.25</f>
        <v>9590211.959999999</v>
      </c>
      <c r="C59" s="253">
        <f>C58+47644.94+17294.7</f>
        <v>340062.74</v>
      </c>
      <c r="D59" s="236">
        <f t="shared" si="8"/>
        <v>9930274.6999999993</v>
      </c>
      <c r="E59" s="254">
        <v>0</v>
      </c>
      <c r="F59" s="183">
        <f t="shared" si="9"/>
        <v>9930274.6999999993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>
      <c r="A60" s="86" t="s">
        <v>4</v>
      </c>
      <c r="B60" s="253">
        <f>B59+905206.51</f>
        <v>10495418.469999999</v>
      </c>
      <c r="C60" s="253">
        <f>C59+19141.12+52731.61</f>
        <v>411935.47</v>
      </c>
      <c r="D60" s="236">
        <f t="shared" si="8"/>
        <v>10907353.939999999</v>
      </c>
      <c r="E60" s="254">
        <v>0</v>
      </c>
      <c r="F60" s="183">
        <f t="shared" si="9"/>
        <v>10907353.939999999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>
      <c r="A61" s="86" t="s">
        <v>5</v>
      </c>
      <c r="B61" s="253">
        <f>B60+1833086.69</f>
        <v>12328505.159999998</v>
      </c>
      <c r="C61" s="253">
        <f>C60+61661.62+22382.64</f>
        <v>495979.73</v>
      </c>
      <c r="D61" s="236">
        <f t="shared" si="8"/>
        <v>12824484.889999999</v>
      </c>
      <c r="E61" s="254">
        <v>0</v>
      </c>
      <c r="F61" s="183">
        <f t="shared" si="9"/>
        <v>12824484.889999999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>
      <c r="A62" s="86" t="s">
        <v>6</v>
      </c>
      <c r="B62" s="253">
        <f>B61</f>
        <v>12328505.159999998</v>
      </c>
      <c r="C62" s="253">
        <f>C61+24117.65+66441.4</f>
        <v>586538.78</v>
      </c>
      <c r="D62" s="236">
        <f t="shared" si="8"/>
        <v>12915043.939999998</v>
      </c>
      <c r="E62" s="254">
        <v>0</v>
      </c>
      <c r="F62" s="183">
        <f t="shared" si="9"/>
        <v>12915043.939999998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>
      <c r="A63" s="86" t="s">
        <v>7</v>
      </c>
      <c r="B63" s="253">
        <f>B62+2719387.08</f>
        <v>15047892.239999998</v>
      </c>
      <c r="C63" s="253">
        <f>C62+26691.55+73532.2</f>
        <v>686762.53</v>
      </c>
      <c r="D63" s="236">
        <f t="shared" si="8"/>
        <v>15734654.769999998</v>
      </c>
      <c r="E63" s="254">
        <v>0</v>
      </c>
      <c r="F63" s="183">
        <f t="shared" si="9"/>
        <v>15734654.769999998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>
      <c r="A64" s="86" t="s">
        <v>8</v>
      </c>
      <c r="B64" s="253">
        <f>B63</f>
        <v>15047892.239999998</v>
      </c>
      <c r="C64" s="253">
        <f>C63+29265.45+80623</f>
        <v>796650.98</v>
      </c>
      <c r="D64" s="236">
        <f t="shared" si="8"/>
        <v>15844543.219999999</v>
      </c>
      <c r="E64" s="254">
        <v>0</v>
      </c>
      <c r="F64" s="183">
        <f t="shared" si="9"/>
        <v>15844543.219999999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>
      <c r="A65" s="86" t="s">
        <v>9</v>
      </c>
      <c r="B65" s="253">
        <f>B64+2245776.13</f>
        <v>17293668.369999997</v>
      </c>
      <c r="C65" s="253">
        <f>C64+86478.86+31391.08</f>
        <v>914520.91999999993</v>
      </c>
      <c r="D65" s="236">
        <f t="shared" si="8"/>
        <v>18208189.289999999</v>
      </c>
      <c r="E65" s="254">
        <v>0</v>
      </c>
      <c r="F65" s="183">
        <f t="shared" si="9"/>
        <v>18208189.289999999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>
      <c r="A66" s="86" t="s">
        <v>10</v>
      </c>
      <c r="B66" s="253">
        <f>B65+251576.37</f>
        <v>17545244.739999998</v>
      </c>
      <c r="C66" s="253">
        <f>C65+33754.83+92990.71</f>
        <v>1041266.4599999998</v>
      </c>
      <c r="D66" s="236">
        <f t="shared" si="8"/>
        <v>18586511.199999999</v>
      </c>
      <c r="E66" s="254">
        <v>0</v>
      </c>
      <c r="F66" s="183">
        <f t="shared" si="9"/>
        <v>18586511.199999999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>
      <c r="A67" s="87" t="str">
        <f xml:space="preserve"> "December  2012"</f>
        <v>December  2012</v>
      </c>
      <c r="B67" s="255">
        <f>B66+1183905.49</f>
        <v>18729150.229999997</v>
      </c>
      <c r="C67" s="255">
        <f>C66+36304.83+100015.69</f>
        <v>1177586.9799999997</v>
      </c>
      <c r="D67" s="256">
        <f t="shared" si="8"/>
        <v>19906737.209999997</v>
      </c>
      <c r="E67" s="257">
        <v>0</v>
      </c>
      <c r="F67" s="184">
        <f t="shared" si="9"/>
        <v>19906737.209999997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>
      <c r="A68" s="88" t="s">
        <v>124</v>
      </c>
      <c r="B68" s="101"/>
      <c r="C68" s="101"/>
      <c r="D68" s="101"/>
      <c r="E68" s="101"/>
      <c r="F68" s="101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ht="13.5" thickBot="1">
      <c r="A69" s="20" t="s">
        <v>21</v>
      </c>
      <c r="B69" s="102">
        <f>AVERAGE(B55:B67)</f>
        <v>12259721.836153844</v>
      </c>
      <c r="C69" s="102">
        <f>AVERAGE(C55:C67)</f>
        <v>554404.77923076914</v>
      </c>
      <c r="D69" s="185">
        <f>AVERAGE(D55:D67)</f>
        <v>12814126.615384612</v>
      </c>
      <c r="E69" s="185">
        <f>AVERAGE(E55:E67)</f>
        <v>0</v>
      </c>
      <c r="F69" s="186">
        <f>AVERAGE(F55:F67)</f>
        <v>12814126.615384612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3.5" thickTop="1">
      <c r="A70" s="20"/>
      <c r="B70" s="101"/>
      <c r="C70" s="101"/>
      <c r="D70" s="98"/>
      <c r="E70" s="98"/>
      <c r="F70" s="100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>
      <c r="A71" s="20"/>
      <c r="B71" s="101"/>
      <c r="C71" s="101"/>
      <c r="D71" s="98"/>
      <c r="E71" s="98"/>
      <c r="F71" s="100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>
      <c r="A72" s="69" t="s">
        <v>108</v>
      </c>
      <c r="B72" s="97"/>
      <c r="C72" s="97"/>
      <c r="D72" s="97"/>
      <c r="E72" s="82"/>
      <c r="F72" s="82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ht="25.5">
      <c r="A73" s="69" t="s">
        <v>128</v>
      </c>
      <c r="B73" s="97" t="s">
        <v>42</v>
      </c>
      <c r="C73" s="97" t="s">
        <v>43</v>
      </c>
      <c r="D73" s="97" t="s">
        <v>44</v>
      </c>
      <c r="E73" s="84" t="s">
        <v>103</v>
      </c>
      <c r="F73" s="84" t="s">
        <v>104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>
      <c r="A74" s="69" t="s">
        <v>67</v>
      </c>
      <c r="B74" s="97"/>
      <c r="C74" s="97"/>
      <c r="D74" s="97"/>
      <c r="E74" s="84"/>
      <c r="F74" s="8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>
      <c r="A75" s="69" t="s">
        <v>45</v>
      </c>
      <c r="B75" s="97"/>
      <c r="C75" s="97"/>
      <c r="D75" s="97"/>
      <c r="E75" s="84"/>
      <c r="F75" s="8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>
      <c r="A76" s="35" t="str">
        <f xml:space="preserve"> "December  2011"</f>
        <v>December  2011</v>
      </c>
      <c r="B76" s="247">
        <v>1548100.1399999994</v>
      </c>
      <c r="C76" s="233">
        <v>247256.97</v>
      </c>
      <c r="D76" s="177">
        <f t="shared" ref="D76" si="10">B76+C76</f>
        <v>1795357.1099999994</v>
      </c>
      <c r="E76" s="252">
        <v>0</v>
      </c>
      <c r="F76" s="173">
        <f t="shared" ref="F76" si="11">D76-E76</f>
        <v>1795357.1099999994</v>
      </c>
      <c r="H76" s="209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>
      <c r="A77" s="85" t="s">
        <v>47</v>
      </c>
      <c r="B77" s="253">
        <f>B76+57155.68</f>
        <v>1605255.8199999994</v>
      </c>
      <c r="C77" s="253">
        <f>C76+3176.89+252.81+8751.98+696.46</f>
        <v>260135.11000000002</v>
      </c>
      <c r="D77" s="236">
        <f t="shared" ref="D77:D88" si="12">B77+C77</f>
        <v>1865390.9299999995</v>
      </c>
      <c r="E77" s="258">
        <v>0</v>
      </c>
      <c r="F77" s="183">
        <f t="shared" ref="F77:F88" si="13">D77-E77</f>
        <v>1865390.9299999995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>
      <c r="A78" s="86" t="s">
        <v>1</v>
      </c>
      <c r="B78" s="253">
        <f>B77+99913.57</f>
        <v>1705169.3899999994</v>
      </c>
      <c r="C78" s="253">
        <f>C77+252.81+696.46+9161.54+3325.56</f>
        <v>273571.48</v>
      </c>
      <c r="D78" s="236">
        <f t="shared" si="12"/>
        <v>1978740.8699999994</v>
      </c>
      <c r="E78" s="258">
        <v>0</v>
      </c>
      <c r="F78" s="183">
        <f t="shared" si="13"/>
        <v>1978740.8699999994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>
      <c r="A79" s="86" t="s">
        <v>2</v>
      </c>
      <c r="B79" s="253">
        <f>B78+195141.23</f>
        <v>1900310.6199999994</v>
      </c>
      <c r="C79" s="253">
        <f>C78+9929.44+253.33+3604.3+697.91</f>
        <v>288056.45999999996</v>
      </c>
      <c r="D79" s="236">
        <f t="shared" si="12"/>
        <v>2188367.0799999991</v>
      </c>
      <c r="E79" s="258">
        <v>0</v>
      </c>
      <c r="F79" s="183">
        <f t="shared" si="13"/>
        <v>2188367.0799999991</v>
      </c>
      <c r="H79" s="24"/>
      <c r="I79" s="209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>
      <c r="A80" s="86" t="s">
        <v>3</v>
      </c>
      <c r="B80" s="253">
        <f>B79+371.26</f>
        <v>1900681.8799999994</v>
      </c>
      <c r="C80" s="253">
        <f>C79+700.33+3788.47+254.21+10436.82</f>
        <v>303236.28999999998</v>
      </c>
      <c r="D80" s="236">
        <f t="shared" si="12"/>
        <v>2203918.1699999995</v>
      </c>
      <c r="E80" s="258">
        <v>0</v>
      </c>
      <c r="F80" s="183">
        <f t="shared" si="13"/>
        <v>2203918.1699999995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>
      <c r="A81" s="86" t="s">
        <v>4</v>
      </c>
      <c r="B81" s="253">
        <f>B80+371.3</f>
        <v>1901053.1799999995</v>
      </c>
      <c r="C81" s="253">
        <f>C80+10436.82+3788.47+702.27+254.92</f>
        <v>318418.76999999996</v>
      </c>
      <c r="D81" s="236">
        <f t="shared" si="12"/>
        <v>2219471.9499999993</v>
      </c>
      <c r="E81" s="258">
        <v>0</v>
      </c>
      <c r="F81" s="183">
        <f t="shared" si="13"/>
        <v>2219471.9499999993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>
      <c r="A82" s="86" t="s">
        <v>5</v>
      </c>
      <c r="B82" s="253">
        <f>B81+927714.13</f>
        <v>2828767.3099999996</v>
      </c>
      <c r="C82" s="253">
        <f>C81+267.07+4812.47+13257.81+735.75</f>
        <v>337491.86999999994</v>
      </c>
      <c r="D82" s="236">
        <f t="shared" si="12"/>
        <v>3166259.1799999997</v>
      </c>
      <c r="E82" s="258">
        <v>0</v>
      </c>
      <c r="F82" s="183">
        <f t="shared" si="13"/>
        <v>3166259.1799999997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>
      <c r="A83" s="86" t="s">
        <v>6</v>
      </c>
      <c r="B83" s="253">
        <f>B82</f>
        <v>2828767.3099999996</v>
      </c>
      <c r="C83" s="253">
        <f>C82+268.13+5689.5+738.66+15673.92</f>
        <v>359862.0799999999</v>
      </c>
      <c r="D83" s="236">
        <f t="shared" si="12"/>
        <v>3188629.3899999997</v>
      </c>
      <c r="E83" s="258">
        <v>0</v>
      </c>
      <c r="F83" s="183">
        <f t="shared" si="13"/>
        <v>3188629.3899999997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>
      <c r="A84" s="86" t="s">
        <v>7</v>
      </c>
      <c r="B84" s="253">
        <f>B83+1783594.81</f>
        <v>4612362.1199999992</v>
      </c>
      <c r="C84" s="253">
        <f>C83+20324.64+738.66+268.13+7377.67</f>
        <v>388571.17999999988</v>
      </c>
      <c r="D84" s="236">
        <f t="shared" si="12"/>
        <v>5000933.2999999989</v>
      </c>
      <c r="E84" s="258">
        <v>0</v>
      </c>
      <c r="F84" s="183">
        <f t="shared" si="13"/>
        <v>5000933.2999999989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>
      <c r="A85" s="86" t="s">
        <v>8</v>
      </c>
      <c r="B85" s="253">
        <f>B84+97003.85</f>
        <v>4709365.9699999988</v>
      </c>
      <c r="C85" s="253">
        <f>C84+738.66+25220.3+9157.66+268.13</f>
        <v>423955.92999999982</v>
      </c>
      <c r="D85" s="236">
        <f t="shared" si="12"/>
        <v>5133321.8999999985</v>
      </c>
      <c r="E85" s="258">
        <v>0</v>
      </c>
      <c r="F85" s="183">
        <f t="shared" si="13"/>
        <v>5133321.8999999985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>
      <c r="A86" s="86" t="s">
        <v>9</v>
      </c>
      <c r="B86" s="253">
        <f>B85+838084.85+117838.94</f>
        <v>5665289.7599999988</v>
      </c>
      <c r="C86" s="253">
        <f>C85+27666.54+738.66+10042.72+268.13+111.53+307.27</f>
        <v>463090.7799999998</v>
      </c>
      <c r="D86" s="236">
        <f t="shared" si="12"/>
        <v>6128380.5399999991</v>
      </c>
      <c r="E86" s="258">
        <v>0</v>
      </c>
      <c r="F86" s="183">
        <f t="shared" si="13"/>
        <v>6128380.5399999991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>
      <c r="A87" s="86" t="s">
        <v>10</v>
      </c>
      <c r="B87" s="253">
        <f>B86-4876023.47+5043154.3</f>
        <v>5832420.5899999989</v>
      </c>
      <c r="C87" s="253">
        <f>C86+738.66+6220.81+17137.62+268.13+13764.55+4996.41</f>
        <v>506216.95999999973</v>
      </c>
      <c r="D87" s="236">
        <f t="shared" si="12"/>
        <v>6338637.5499999989</v>
      </c>
      <c r="E87" s="258">
        <v>0</v>
      </c>
      <c r="F87" s="183">
        <f t="shared" si="13"/>
        <v>6338637.5499999989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>
      <c r="A88" s="87" t="str">
        <f xml:space="preserve"> "December  2012"</f>
        <v>December  2012</v>
      </c>
      <c r="B88" s="255">
        <f>B87+461447.96+335102.54</f>
        <v>6628971.0899999989</v>
      </c>
      <c r="C88" s="255">
        <f>C87+2350.19+6474.52+279.55+770.14+10123.24+27888.38</f>
        <v>554102.97999999975</v>
      </c>
      <c r="D88" s="256">
        <f t="shared" si="12"/>
        <v>7183074.0699999984</v>
      </c>
      <c r="E88" s="259">
        <v>0</v>
      </c>
      <c r="F88" s="184">
        <f t="shared" si="13"/>
        <v>7183074.0699999984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>
      <c r="A89" s="88" t="s">
        <v>124</v>
      </c>
      <c r="B89" s="101"/>
      <c r="C89" s="101"/>
      <c r="D89" s="101"/>
      <c r="E89" s="101"/>
      <c r="F89" s="101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ht="13.5" thickBot="1">
      <c r="A90" s="20" t="s">
        <v>21</v>
      </c>
      <c r="B90" s="102">
        <f>AVERAGE(B76:B88)</f>
        <v>3358962.7061538449</v>
      </c>
      <c r="C90" s="102">
        <f>AVERAGE(C76:C88)</f>
        <v>363382.06615384604</v>
      </c>
      <c r="D90" s="105">
        <f>AVERAGE(D76:D88)</f>
        <v>3722344.7723076916</v>
      </c>
      <c r="E90" s="99">
        <f>AVERAGE(E76:E88)</f>
        <v>0</v>
      </c>
      <c r="F90" s="106">
        <f>AVERAGE(F76:F88)</f>
        <v>3722344.7723076916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</row>
    <row r="91" spans="1:22" ht="13.5" thickTop="1">
      <c r="A91" s="20"/>
      <c r="B91" s="101"/>
      <c r="C91" s="101"/>
      <c r="D91" s="98"/>
      <c r="E91" s="98"/>
      <c r="F91" s="100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</row>
    <row r="92" spans="1:22">
      <c r="B92" s="107"/>
      <c r="C92" s="90" t="s">
        <v>105</v>
      </c>
      <c r="D92" s="108"/>
      <c r="E92" s="55"/>
      <c r="F92" s="201">
        <f>+F69+F44+F23+F90</f>
        <v>23468276.329999994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</row>
    <row r="93" spans="1:22">
      <c r="B93" s="107"/>
      <c r="C93" s="90"/>
      <c r="D93" s="108"/>
      <c r="E93" s="55"/>
      <c r="F93" s="109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</row>
    <row r="94" spans="1:22">
      <c r="A94" s="46" t="str">
        <f>A1</f>
        <v>ALLETE, Inc., d/b/a Minnesota Power</v>
      </c>
      <c r="B94" s="95"/>
      <c r="C94" s="95"/>
      <c r="E94" s="55"/>
      <c r="F94" s="55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</row>
    <row r="95" spans="1:22">
      <c r="A95" s="46" t="str">
        <f>A2</f>
        <v>2012 Attachment GG Work papers - CWIP and Prefunded AFUDC Working Papers</v>
      </c>
      <c r="B95" s="95"/>
      <c r="C95" s="95"/>
      <c r="D95" s="96"/>
      <c r="E95" s="55"/>
      <c r="F95" s="55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</row>
    <row r="96" spans="1:22">
      <c r="A96" s="46" t="str">
        <f>A3</f>
        <v>Actual 13 Months Ended December 31, 2012</v>
      </c>
      <c r="B96" s="95"/>
      <c r="C96" s="95"/>
      <c r="D96" s="96"/>
      <c r="E96" s="52"/>
      <c r="F96" s="52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</row>
    <row r="97" spans="1:22">
      <c r="A97" s="46"/>
      <c r="B97" s="95"/>
      <c r="C97" s="95"/>
      <c r="D97" s="96"/>
      <c r="E97" s="52"/>
      <c r="F97" s="52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</row>
    <row r="98" spans="1:22" ht="51">
      <c r="A98" s="24"/>
      <c r="B98" s="95"/>
      <c r="C98" s="155" t="s">
        <v>126</v>
      </c>
      <c r="D98" s="156" t="s">
        <v>125</v>
      </c>
      <c r="E98" s="57" t="s">
        <v>52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>
      <c r="B99" s="95"/>
      <c r="C99" s="95"/>
      <c r="D99" s="96"/>
      <c r="E99" s="154"/>
      <c r="F99" s="154"/>
      <c r="G99" s="154"/>
      <c r="H99" s="212"/>
      <c r="I99" s="213"/>
      <c r="J99" s="213"/>
      <c r="K99" s="213"/>
      <c r="L99" s="214"/>
      <c r="M99" s="214"/>
      <c r="N99" s="214"/>
      <c r="O99" s="214"/>
      <c r="P99" s="24"/>
      <c r="Q99" s="24"/>
      <c r="R99" s="24"/>
      <c r="S99" s="24"/>
      <c r="T99" s="24"/>
      <c r="U99" s="24"/>
      <c r="V99" s="24"/>
    </row>
    <row r="100" spans="1:22">
      <c r="A100" s="52" t="s">
        <v>53</v>
      </c>
      <c r="B100" s="110" t="str">
        <f xml:space="preserve"> "December  2011"</f>
        <v>December  2011</v>
      </c>
      <c r="C100" s="168">
        <v>403736.64</v>
      </c>
      <c r="D100" s="260"/>
      <c r="E100" s="169">
        <v>403736.64</v>
      </c>
      <c r="F100" s="202"/>
      <c r="G100" s="202"/>
      <c r="H100" s="177"/>
      <c r="I100" s="215"/>
      <c r="J100" s="24"/>
      <c r="K100" s="24"/>
      <c r="L100" s="216"/>
      <c r="M100" s="216"/>
      <c r="N100" s="216"/>
      <c r="O100" s="217"/>
      <c r="P100" s="24"/>
      <c r="Q100" s="24"/>
      <c r="R100" s="24"/>
      <c r="S100" s="24"/>
      <c r="T100" s="24"/>
      <c r="U100" s="24"/>
      <c r="V100" s="24"/>
    </row>
    <row r="101" spans="1:22">
      <c r="A101" s="52" t="s">
        <v>54</v>
      </c>
      <c r="B101" s="111" t="s">
        <v>47</v>
      </c>
      <c r="C101" s="157">
        <f>C10</f>
        <v>461014.77999999997</v>
      </c>
      <c r="D101" s="261"/>
      <c r="E101" s="181">
        <f t="shared" ref="E101:E112" si="14">C101-D101</f>
        <v>461014.77999999997</v>
      </c>
      <c r="F101" s="202"/>
      <c r="G101" s="202"/>
      <c r="H101" s="178"/>
      <c r="I101" s="179"/>
      <c r="J101" s="208"/>
      <c r="K101" s="24"/>
      <c r="L101" s="216"/>
      <c r="M101" s="216"/>
      <c r="N101" s="216"/>
      <c r="O101" s="217"/>
      <c r="P101" s="24"/>
      <c r="Q101" s="24"/>
      <c r="R101" s="24"/>
      <c r="S101" s="24"/>
      <c r="T101" s="24"/>
      <c r="U101" s="24"/>
      <c r="V101" s="24"/>
    </row>
    <row r="102" spans="1:22">
      <c r="A102" s="58">
        <v>41182</v>
      </c>
      <c r="B102" s="111" t="s">
        <v>1</v>
      </c>
      <c r="C102" s="157">
        <f t="shared" ref="C102:C109" si="15">C11</f>
        <v>523712.7699999999</v>
      </c>
      <c r="D102" s="261"/>
      <c r="E102" s="181">
        <f t="shared" si="14"/>
        <v>523712.7699999999</v>
      </c>
      <c r="F102" s="202"/>
      <c r="G102" s="202"/>
      <c r="H102" s="178"/>
      <c r="I102" s="179"/>
      <c r="J102" s="208"/>
      <c r="K102" s="24"/>
      <c r="L102" s="216"/>
      <c r="M102" s="216"/>
      <c r="N102" s="216"/>
      <c r="O102" s="24"/>
      <c r="P102" s="24"/>
      <c r="Q102" s="24"/>
      <c r="R102" s="24"/>
      <c r="S102" s="24"/>
      <c r="T102" s="24"/>
      <c r="U102" s="24"/>
      <c r="V102" s="24"/>
    </row>
    <row r="103" spans="1:22">
      <c r="A103" s="59" t="s">
        <v>55</v>
      </c>
      <c r="B103" s="111" t="s">
        <v>2</v>
      </c>
      <c r="C103" s="157">
        <f t="shared" si="15"/>
        <v>590314.24999999977</v>
      </c>
      <c r="D103" s="261"/>
      <c r="E103" s="181">
        <f t="shared" si="14"/>
        <v>590314.24999999977</v>
      </c>
      <c r="F103" s="202"/>
      <c r="G103" s="202"/>
      <c r="H103" s="178"/>
      <c r="I103" s="180"/>
      <c r="J103" s="208"/>
      <c r="K103" s="24"/>
      <c r="L103" s="216"/>
      <c r="M103" s="24"/>
      <c r="N103" s="216"/>
      <c r="O103" s="24"/>
      <c r="P103" s="24"/>
      <c r="Q103" s="24"/>
      <c r="R103" s="24"/>
      <c r="S103" s="24"/>
      <c r="T103" s="24"/>
      <c r="U103" s="24"/>
      <c r="V103" s="24"/>
    </row>
    <row r="104" spans="1:22">
      <c r="B104" s="111" t="s">
        <v>3</v>
      </c>
      <c r="C104" s="157">
        <f t="shared" si="15"/>
        <v>660130.58999999973</v>
      </c>
      <c r="D104" s="261"/>
      <c r="E104" s="181">
        <f t="shared" si="14"/>
        <v>660130.58999999973</v>
      </c>
      <c r="F104" s="202"/>
      <c r="G104" s="202"/>
      <c r="H104" s="178"/>
      <c r="I104" s="180"/>
      <c r="J104" s="208"/>
      <c r="K104" s="24"/>
      <c r="L104" s="216"/>
      <c r="M104" s="216"/>
      <c r="N104" s="216"/>
      <c r="O104" s="24"/>
      <c r="P104" s="24"/>
      <c r="Q104" s="24"/>
      <c r="R104" s="24"/>
      <c r="S104" s="24"/>
      <c r="T104" s="24"/>
      <c r="U104" s="24"/>
      <c r="V104" s="24"/>
    </row>
    <row r="105" spans="1:22">
      <c r="B105" s="111" t="s">
        <v>4</v>
      </c>
      <c r="C105" s="157">
        <f t="shared" si="15"/>
        <v>732462.84999999974</v>
      </c>
      <c r="D105" s="261"/>
      <c r="E105" s="181">
        <f t="shared" si="14"/>
        <v>732462.84999999974</v>
      </c>
      <c r="F105" s="202"/>
      <c r="G105" s="202"/>
      <c r="H105" s="178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</row>
    <row r="106" spans="1:22">
      <c r="B106" s="111" t="s">
        <v>5</v>
      </c>
      <c r="C106" s="157">
        <f t="shared" si="15"/>
        <v>808652.26999999967</v>
      </c>
      <c r="D106" s="261"/>
      <c r="E106" s="181">
        <f t="shared" si="14"/>
        <v>808652.26999999967</v>
      </c>
      <c r="F106" s="202"/>
      <c r="G106" s="202"/>
      <c r="H106" s="178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</row>
    <row r="107" spans="1:22">
      <c r="B107" s="111" t="s">
        <v>6</v>
      </c>
      <c r="C107" s="157">
        <f t="shared" si="15"/>
        <v>886231.30999999959</v>
      </c>
      <c r="D107" s="261"/>
      <c r="E107" s="181">
        <f t="shared" si="14"/>
        <v>886231.30999999959</v>
      </c>
      <c r="F107" s="202"/>
      <c r="G107" s="202"/>
      <c r="H107" s="178"/>
      <c r="I107" s="180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</row>
    <row r="108" spans="1:22">
      <c r="B108" s="111" t="s">
        <v>7</v>
      </c>
      <c r="C108" s="157">
        <f t="shared" si="15"/>
        <v>966647.43999999959</v>
      </c>
      <c r="D108" s="261"/>
      <c r="E108" s="181">
        <f t="shared" si="14"/>
        <v>966647.43999999959</v>
      </c>
      <c r="F108" s="202"/>
      <c r="G108" s="202"/>
      <c r="H108" s="178"/>
      <c r="I108" s="209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</row>
    <row r="109" spans="1:22">
      <c r="B109" s="111" t="s">
        <v>8</v>
      </c>
      <c r="C109" s="157">
        <f t="shared" si="15"/>
        <v>1007592.5399999996</v>
      </c>
      <c r="D109" s="261">
        <v>1011.7908422499995</v>
      </c>
      <c r="E109" s="181">
        <f t="shared" si="14"/>
        <v>1006580.7491577496</v>
      </c>
      <c r="F109" s="202"/>
      <c r="G109" s="202"/>
      <c r="H109" s="178"/>
      <c r="I109" s="180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>
      <c r="B110" s="111" t="s">
        <v>9</v>
      </c>
      <c r="C110" s="157">
        <f>E109</f>
        <v>1006580.7491577496</v>
      </c>
      <c r="D110" s="261">
        <v>2023.581684499999</v>
      </c>
      <c r="E110" s="181">
        <f>C110-D110</f>
        <v>1004557.1674732496</v>
      </c>
      <c r="F110" s="202"/>
      <c r="G110" s="202"/>
      <c r="H110" s="178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</row>
    <row r="111" spans="1:22">
      <c r="B111" s="111" t="s">
        <v>10</v>
      </c>
      <c r="C111" s="157">
        <f t="shared" ref="C111:C112" si="16">E110</f>
        <v>1004557.1674732496</v>
      </c>
      <c r="D111" s="261">
        <f>D110</f>
        <v>2023.581684499999</v>
      </c>
      <c r="E111" s="181">
        <f t="shared" si="14"/>
        <v>1002533.5857887496</v>
      </c>
      <c r="F111" s="202"/>
      <c r="G111" s="202"/>
      <c r="H111" s="178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</row>
    <row r="112" spans="1:22">
      <c r="B112" s="112" t="str">
        <f xml:space="preserve"> "December  2012"</f>
        <v>December  2012</v>
      </c>
      <c r="C112" s="158">
        <f t="shared" si="16"/>
        <v>1002533.5857887496</v>
      </c>
      <c r="D112" s="262">
        <f>D111</f>
        <v>2023.581684499999</v>
      </c>
      <c r="E112" s="182">
        <f t="shared" si="14"/>
        <v>1000510.0041042496</v>
      </c>
      <c r="F112" s="202"/>
      <c r="G112" s="202"/>
      <c r="H112" s="178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>
      <c r="B113" s="113"/>
      <c r="C113" s="114"/>
      <c r="D113" s="115"/>
      <c r="E113" s="115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4" spans="1:22">
      <c r="B114" s="113"/>
      <c r="C114" s="114"/>
      <c r="D114" s="115"/>
      <c r="E114" s="115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</row>
    <row r="115" spans="1:22" ht="51">
      <c r="A115" s="24"/>
      <c r="B115" s="95"/>
      <c r="C115" s="155" t="s">
        <v>126</v>
      </c>
      <c r="D115" s="156" t="s">
        <v>125</v>
      </c>
      <c r="E115" s="57" t="s">
        <v>52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  <row r="116" spans="1:22">
      <c r="B116" s="95"/>
      <c r="C116" s="93"/>
      <c r="D116" s="52"/>
      <c r="E116" s="15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>
      <c r="A117" s="52" t="s">
        <v>56</v>
      </c>
      <c r="B117" s="110" t="str">
        <f xml:space="preserve"> "December  2011"</f>
        <v>December  2011</v>
      </c>
      <c r="C117" s="277">
        <v>1004910.63</v>
      </c>
      <c r="D117" s="278">
        <v>1615</v>
      </c>
      <c r="E117" s="187">
        <v>1003295.63</v>
      </c>
      <c r="F117" s="203"/>
      <c r="G117" s="203"/>
      <c r="H117" s="218"/>
      <c r="I117" s="209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</row>
    <row r="118" spans="1:22">
      <c r="A118" s="52" t="s">
        <v>57</v>
      </c>
      <c r="B118" s="111" t="s">
        <v>47</v>
      </c>
      <c r="C118" s="157">
        <f>E117</f>
        <v>1003295.63</v>
      </c>
      <c r="D118" s="279">
        <v>2018.2</v>
      </c>
      <c r="E118" s="188">
        <f>C118-D118</f>
        <v>1001277.43</v>
      </c>
      <c r="F118" s="204"/>
      <c r="G118" s="204"/>
      <c r="H118" s="24"/>
      <c r="I118" s="209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1:22">
      <c r="A119" s="60">
        <v>40898</v>
      </c>
      <c r="B119" s="111" t="s">
        <v>1</v>
      </c>
      <c r="C119" s="157">
        <f t="shared" ref="C119:C129" si="17">E118</f>
        <v>1001277.43</v>
      </c>
      <c r="D119" s="279">
        <f>D118</f>
        <v>2018.2</v>
      </c>
      <c r="E119" s="188">
        <f t="shared" ref="E119:E129" si="18">C119-D119</f>
        <v>999259.2300000001</v>
      </c>
      <c r="F119" s="204"/>
      <c r="G119" s="20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</row>
    <row r="120" spans="1:22">
      <c r="A120" s="59" t="s">
        <v>58</v>
      </c>
      <c r="B120" s="111" t="s">
        <v>2</v>
      </c>
      <c r="C120" s="157">
        <f t="shared" si="17"/>
        <v>999259.2300000001</v>
      </c>
      <c r="D120" s="279">
        <f t="shared" ref="D120:D129" si="19">D119</f>
        <v>2018.2</v>
      </c>
      <c r="E120" s="188">
        <f t="shared" si="18"/>
        <v>997241.03000000014</v>
      </c>
      <c r="F120" s="204"/>
      <c r="G120" s="20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</row>
    <row r="121" spans="1:22">
      <c r="B121" s="111" t="s">
        <v>3</v>
      </c>
      <c r="C121" s="157">
        <f t="shared" si="17"/>
        <v>997241.03000000014</v>
      </c>
      <c r="D121" s="279">
        <f t="shared" si="19"/>
        <v>2018.2</v>
      </c>
      <c r="E121" s="188">
        <f t="shared" si="18"/>
        <v>995222.83000000019</v>
      </c>
      <c r="F121" s="204"/>
      <c r="G121" s="204"/>
      <c r="H121" s="24"/>
      <c r="I121" s="213"/>
      <c r="J121" s="213"/>
      <c r="K121" s="213"/>
      <c r="L121" s="219"/>
      <c r="M121" s="214"/>
      <c r="N121" s="214"/>
      <c r="O121" s="214"/>
      <c r="P121" s="24"/>
      <c r="Q121" s="24"/>
      <c r="R121" s="24"/>
      <c r="S121" s="24"/>
      <c r="T121" s="24"/>
      <c r="U121" s="24"/>
      <c r="V121" s="24"/>
    </row>
    <row r="122" spans="1:22">
      <c r="B122" s="111" t="s">
        <v>4</v>
      </c>
      <c r="C122" s="157">
        <f t="shared" si="17"/>
        <v>995222.83000000019</v>
      </c>
      <c r="D122" s="279">
        <f t="shared" si="19"/>
        <v>2018.2</v>
      </c>
      <c r="E122" s="188">
        <f t="shared" si="18"/>
        <v>993204.63000000024</v>
      </c>
      <c r="F122" s="204"/>
      <c r="G122" s="204"/>
      <c r="H122" s="24"/>
      <c r="I122" s="220"/>
      <c r="J122" s="24"/>
      <c r="K122" s="24"/>
      <c r="L122" s="216"/>
      <c r="M122" s="216"/>
      <c r="N122" s="216"/>
      <c r="O122" s="217"/>
      <c r="P122" s="24"/>
      <c r="Q122" s="24"/>
      <c r="R122" s="24"/>
      <c r="S122" s="24"/>
      <c r="T122" s="24"/>
      <c r="U122" s="24"/>
      <c r="V122" s="24"/>
    </row>
    <row r="123" spans="1:22">
      <c r="B123" s="111" t="s">
        <v>5</v>
      </c>
      <c r="C123" s="157">
        <f t="shared" si="17"/>
        <v>993204.63000000024</v>
      </c>
      <c r="D123" s="279">
        <f t="shared" si="19"/>
        <v>2018.2</v>
      </c>
      <c r="E123" s="188">
        <f t="shared" si="18"/>
        <v>991186.43000000028</v>
      </c>
      <c r="F123" s="204"/>
      <c r="G123" s="204"/>
      <c r="H123" s="24"/>
      <c r="I123" s="218"/>
      <c r="J123" s="24"/>
      <c r="K123" s="24"/>
      <c r="L123" s="216"/>
      <c r="M123" s="24"/>
      <c r="N123" s="216"/>
      <c r="O123" s="24"/>
      <c r="P123" s="24"/>
      <c r="Q123" s="24"/>
      <c r="R123" s="24"/>
      <c r="S123" s="24"/>
      <c r="T123" s="24"/>
      <c r="U123" s="24"/>
      <c r="V123" s="24"/>
    </row>
    <row r="124" spans="1:22">
      <c r="B124" s="111" t="s">
        <v>6</v>
      </c>
      <c r="C124" s="157">
        <f t="shared" si="17"/>
        <v>991186.43000000028</v>
      </c>
      <c r="D124" s="279">
        <f t="shared" si="19"/>
        <v>2018.2</v>
      </c>
      <c r="E124" s="188">
        <f t="shared" si="18"/>
        <v>989168.23000000033</v>
      </c>
      <c r="F124" s="204"/>
      <c r="G124" s="204"/>
      <c r="H124" s="24"/>
      <c r="I124" s="218"/>
      <c r="J124" s="24"/>
      <c r="K124" s="24"/>
      <c r="L124" s="216"/>
      <c r="M124" s="24"/>
      <c r="N124" s="216"/>
      <c r="O124" s="24"/>
      <c r="P124" s="24"/>
      <c r="Q124" s="24"/>
      <c r="R124" s="24"/>
      <c r="S124" s="24"/>
      <c r="T124" s="24"/>
      <c r="U124" s="24"/>
      <c r="V124" s="24"/>
    </row>
    <row r="125" spans="1:22">
      <c r="B125" s="111" t="s">
        <v>7</v>
      </c>
      <c r="C125" s="157">
        <f t="shared" si="17"/>
        <v>989168.23000000033</v>
      </c>
      <c r="D125" s="279">
        <f t="shared" si="19"/>
        <v>2018.2</v>
      </c>
      <c r="E125" s="188">
        <f t="shared" si="18"/>
        <v>987150.03000000038</v>
      </c>
      <c r="F125" s="204"/>
      <c r="G125" s="204"/>
      <c r="H125" s="24"/>
      <c r="I125" s="218"/>
      <c r="J125" s="24"/>
      <c r="K125" s="24"/>
      <c r="L125" s="216"/>
      <c r="M125" s="24"/>
      <c r="N125" s="216"/>
      <c r="O125" s="24"/>
      <c r="P125" s="24"/>
      <c r="Q125" s="24"/>
      <c r="R125" s="24"/>
      <c r="S125" s="24"/>
      <c r="T125" s="24"/>
      <c r="U125" s="24"/>
      <c r="V125" s="24"/>
    </row>
    <row r="126" spans="1:22">
      <c r="B126" s="111" t="s">
        <v>8</v>
      </c>
      <c r="C126" s="157">
        <f t="shared" si="17"/>
        <v>987150.03000000038</v>
      </c>
      <c r="D126" s="279">
        <f t="shared" si="19"/>
        <v>2018.2</v>
      </c>
      <c r="E126" s="188">
        <f t="shared" si="18"/>
        <v>985131.83000000042</v>
      </c>
      <c r="F126" s="204"/>
      <c r="G126" s="204"/>
      <c r="H126" s="24"/>
      <c r="I126" s="218"/>
      <c r="J126" s="24"/>
      <c r="K126" s="24"/>
      <c r="L126" s="216"/>
      <c r="M126" s="24"/>
      <c r="N126" s="216"/>
      <c r="O126" s="24"/>
      <c r="P126" s="24"/>
      <c r="Q126" s="24"/>
      <c r="R126" s="24"/>
      <c r="S126" s="24"/>
      <c r="T126" s="24"/>
      <c r="U126" s="24"/>
      <c r="V126" s="24"/>
    </row>
    <row r="127" spans="1:22">
      <c r="B127" s="111" t="s">
        <v>9</v>
      </c>
      <c r="C127" s="157">
        <f t="shared" si="17"/>
        <v>985131.83000000042</v>
      </c>
      <c r="D127" s="279">
        <f t="shared" si="19"/>
        <v>2018.2</v>
      </c>
      <c r="E127" s="188">
        <f t="shared" si="18"/>
        <v>983113.63000000047</v>
      </c>
      <c r="F127" s="204"/>
      <c r="G127" s="204"/>
      <c r="H127" s="24"/>
      <c r="I127" s="218"/>
      <c r="J127" s="24"/>
      <c r="K127" s="24"/>
      <c r="L127" s="216"/>
      <c r="M127" s="24"/>
      <c r="N127" s="216"/>
      <c r="O127" s="24"/>
      <c r="P127" s="24"/>
      <c r="Q127" s="24"/>
      <c r="R127" s="24"/>
      <c r="S127" s="24"/>
      <c r="T127" s="24"/>
      <c r="U127" s="24"/>
      <c r="V127" s="24"/>
    </row>
    <row r="128" spans="1:22">
      <c r="B128" s="111" t="s">
        <v>10</v>
      </c>
      <c r="C128" s="157">
        <f t="shared" si="17"/>
        <v>983113.63000000047</v>
      </c>
      <c r="D128" s="279">
        <f t="shared" si="19"/>
        <v>2018.2</v>
      </c>
      <c r="E128" s="188">
        <f t="shared" si="18"/>
        <v>981095.43000000052</v>
      </c>
      <c r="F128" s="204"/>
      <c r="G128" s="204"/>
      <c r="H128" s="24"/>
      <c r="I128" s="218"/>
      <c r="J128" s="24"/>
      <c r="K128" s="24"/>
      <c r="L128" s="216"/>
      <c r="M128" s="24"/>
      <c r="N128" s="216"/>
      <c r="O128" s="24"/>
      <c r="P128" s="24"/>
      <c r="Q128" s="24"/>
      <c r="R128" s="24"/>
      <c r="S128" s="24"/>
      <c r="T128" s="24"/>
      <c r="U128" s="24"/>
      <c r="V128" s="24"/>
    </row>
    <row r="129" spans="1:22">
      <c r="B129" s="112" t="str">
        <f xml:space="preserve"> "December  2012"</f>
        <v>December  2012</v>
      </c>
      <c r="C129" s="158">
        <f t="shared" si="17"/>
        <v>981095.43000000052</v>
      </c>
      <c r="D129" s="280">
        <f t="shared" si="19"/>
        <v>2018.2</v>
      </c>
      <c r="E129" s="189">
        <f t="shared" si="18"/>
        <v>979077.23000000056</v>
      </c>
      <c r="F129" s="204"/>
      <c r="G129" s="204"/>
      <c r="H129" s="24"/>
      <c r="I129" s="218"/>
      <c r="J129" s="24"/>
      <c r="K129" s="24"/>
      <c r="L129" s="216"/>
      <c r="M129" s="24"/>
      <c r="N129" s="216"/>
      <c r="O129" s="24"/>
      <c r="P129" s="24"/>
      <c r="Q129" s="24"/>
      <c r="R129" s="24"/>
      <c r="S129" s="24"/>
      <c r="T129" s="24"/>
      <c r="U129" s="24"/>
      <c r="V129" s="24"/>
    </row>
    <row r="130" spans="1:22">
      <c r="B130" s="95"/>
      <c r="C130" s="113"/>
      <c r="D130" s="114"/>
      <c r="E130" s="115"/>
      <c r="F130" s="115"/>
      <c r="G130" s="70"/>
      <c r="H130" s="24"/>
      <c r="I130" s="24"/>
      <c r="J130" s="216"/>
      <c r="K130" s="24"/>
      <c r="L130" s="216"/>
      <c r="M130" s="24"/>
      <c r="N130" s="24"/>
      <c r="O130" s="24"/>
      <c r="P130" s="24"/>
      <c r="Q130" s="24"/>
      <c r="R130" s="24"/>
      <c r="S130" s="24"/>
      <c r="T130" s="24"/>
      <c r="U130" s="24"/>
      <c r="V130" s="24"/>
    </row>
    <row r="131" spans="1:22">
      <c r="B131" s="95"/>
      <c r="C131" s="113"/>
      <c r="D131" s="114"/>
      <c r="E131" s="115"/>
      <c r="F131" s="115"/>
      <c r="G131" s="70"/>
      <c r="H131" s="24"/>
      <c r="I131" s="24"/>
      <c r="J131" s="216"/>
      <c r="K131" s="24"/>
      <c r="L131" s="216"/>
      <c r="M131" s="24"/>
      <c r="N131" s="24"/>
      <c r="O131" s="24"/>
      <c r="P131" s="24"/>
      <c r="Q131" s="24"/>
      <c r="R131" s="24"/>
      <c r="S131" s="24"/>
      <c r="T131" s="24"/>
      <c r="U131" s="24"/>
      <c r="V131" s="24"/>
    </row>
    <row r="132" spans="1:22">
      <c r="B132" s="95"/>
      <c r="C132" s="113"/>
      <c r="D132" s="114"/>
      <c r="E132" s="115"/>
      <c r="F132" s="115"/>
      <c r="G132" s="70" t="s">
        <v>131</v>
      </c>
      <c r="H132" s="24"/>
      <c r="I132" s="24"/>
      <c r="J132" s="216"/>
      <c r="K132" s="24"/>
      <c r="L132" s="216"/>
      <c r="M132" s="24"/>
      <c r="N132" s="24"/>
      <c r="O132" s="24"/>
      <c r="P132" s="24"/>
      <c r="Q132" s="24"/>
      <c r="R132" s="24"/>
      <c r="S132" s="24"/>
      <c r="T132" s="24"/>
      <c r="U132" s="24"/>
      <c r="V132" s="24"/>
    </row>
    <row r="133" spans="1:22">
      <c r="A133" s="46" t="str">
        <f>A1</f>
        <v>ALLETE, Inc., d/b/a Minnesota Power</v>
      </c>
      <c r="B133" s="95"/>
      <c r="C133" s="95"/>
      <c r="E133" s="55"/>
      <c r="F133" s="115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>
      <c r="A134" s="46" t="str">
        <f>A2</f>
        <v>2012 Attachment GG Work papers - CWIP and Prefunded AFUDC Working Papers</v>
      </c>
      <c r="B134" s="95"/>
      <c r="C134" s="95"/>
      <c r="D134" s="96"/>
      <c r="E134" s="55"/>
      <c r="F134" s="55"/>
      <c r="G134" s="52"/>
      <c r="H134" s="213"/>
      <c r="I134" s="221"/>
      <c r="J134" s="213"/>
      <c r="K134" s="214"/>
      <c r="L134" s="214"/>
      <c r="M134" s="21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>
      <c r="A135" s="46" t="str">
        <f>A3</f>
        <v>Actual 13 Months Ended December 31, 2012</v>
      </c>
      <c r="B135" s="95"/>
      <c r="C135" s="95"/>
      <c r="D135" s="96"/>
      <c r="E135" s="52"/>
      <c r="F135" s="52"/>
      <c r="G135" s="166"/>
      <c r="H135" s="24"/>
      <c r="I135" s="24"/>
      <c r="J135" s="215"/>
      <c r="K135" s="216"/>
      <c r="L135" s="216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>
      <c r="A136" s="46"/>
      <c r="B136" s="95"/>
      <c r="C136" s="95"/>
      <c r="D136" s="96"/>
      <c r="E136" s="52"/>
      <c r="F136" s="52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ht="51">
      <c r="B137" s="95"/>
      <c r="C137" s="155" t="s">
        <v>126</v>
      </c>
      <c r="D137" s="156" t="s">
        <v>125</v>
      </c>
      <c r="E137" s="57" t="s">
        <v>52</v>
      </c>
      <c r="F137" s="52"/>
      <c r="H137" s="24"/>
      <c r="I137" s="24"/>
      <c r="J137" s="24"/>
      <c r="K137" s="24"/>
      <c r="L137" s="24"/>
      <c r="M137" s="21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>
      <c r="A138" s="61" t="s">
        <v>59</v>
      </c>
      <c r="B138" s="170" t="str">
        <f xml:space="preserve"> "December  2011"</f>
        <v>December  2011</v>
      </c>
      <c r="C138" s="171">
        <v>108557.43000000001</v>
      </c>
      <c r="D138" s="263"/>
      <c r="E138" s="172">
        <v>108557.43000000001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>
      <c r="A139" s="62" t="s">
        <v>57</v>
      </c>
      <c r="B139" s="111" t="s">
        <v>47</v>
      </c>
      <c r="C139" s="157">
        <f t="shared" ref="C139:C150" si="20">C56</f>
        <v>158377.56</v>
      </c>
      <c r="D139" s="264"/>
      <c r="E139" s="190">
        <f t="shared" ref="E139:E150" si="21">C139-D139</f>
        <v>158377.56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>
      <c r="A140" s="63">
        <v>41578</v>
      </c>
      <c r="B140" s="111" t="s">
        <v>1</v>
      </c>
      <c r="C140" s="157">
        <f t="shared" si="20"/>
        <v>213899.45</v>
      </c>
      <c r="D140" s="264"/>
      <c r="E140" s="190">
        <f t="shared" si="21"/>
        <v>213899.45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>
      <c r="A141" s="59" t="s">
        <v>60</v>
      </c>
      <c r="B141" s="111" t="s">
        <v>2</v>
      </c>
      <c r="C141" s="157">
        <f t="shared" si="20"/>
        <v>275123.09999999998</v>
      </c>
      <c r="D141" s="264"/>
      <c r="E141" s="190">
        <f t="shared" si="21"/>
        <v>275123.09999999998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>
      <c r="A142" s="64"/>
      <c r="B142" s="111" t="s">
        <v>3</v>
      </c>
      <c r="C142" s="157">
        <f t="shared" si="20"/>
        <v>340062.74</v>
      </c>
      <c r="D142" s="264"/>
      <c r="E142" s="190">
        <f t="shared" si="21"/>
        <v>340062.74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</row>
    <row r="143" spans="1:22">
      <c r="A143" s="62"/>
      <c r="B143" s="111" t="s">
        <v>4</v>
      </c>
      <c r="C143" s="157">
        <f t="shared" si="20"/>
        <v>411935.47</v>
      </c>
      <c r="D143" s="264"/>
      <c r="E143" s="190">
        <f t="shared" si="21"/>
        <v>411935.47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</row>
    <row r="144" spans="1:22">
      <c r="A144" s="63"/>
      <c r="B144" s="111" t="s">
        <v>5</v>
      </c>
      <c r="C144" s="157">
        <f t="shared" si="20"/>
        <v>495979.73</v>
      </c>
      <c r="D144" s="264"/>
      <c r="E144" s="190">
        <f t="shared" si="21"/>
        <v>495979.73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</row>
    <row r="145" spans="1:22">
      <c r="B145" s="111" t="s">
        <v>6</v>
      </c>
      <c r="C145" s="157">
        <f t="shared" si="20"/>
        <v>586538.78</v>
      </c>
      <c r="D145" s="226"/>
      <c r="E145" s="190">
        <f t="shared" si="21"/>
        <v>586538.78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>
      <c r="B146" s="111" t="s">
        <v>7</v>
      </c>
      <c r="C146" s="157">
        <f t="shared" si="20"/>
        <v>686762.53</v>
      </c>
      <c r="D146" s="226"/>
      <c r="E146" s="190">
        <f t="shared" si="21"/>
        <v>686762.53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</row>
    <row r="147" spans="1:22">
      <c r="B147" s="111" t="s">
        <v>8</v>
      </c>
      <c r="C147" s="157">
        <f t="shared" si="20"/>
        <v>796650.98</v>
      </c>
      <c r="D147" s="226"/>
      <c r="E147" s="190">
        <f t="shared" si="21"/>
        <v>796650.98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</row>
    <row r="148" spans="1:22">
      <c r="B148" s="111" t="s">
        <v>9</v>
      </c>
      <c r="C148" s="157">
        <f t="shared" si="20"/>
        <v>914520.91999999993</v>
      </c>
      <c r="D148" s="226"/>
      <c r="E148" s="190">
        <f t="shared" si="21"/>
        <v>914520.91999999993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2">
      <c r="B149" s="111" t="s">
        <v>10</v>
      </c>
      <c r="C149" s="157">
        <f t="shared" si="20"/>
        <v>1041266.4599999998</v>
      </c>
      <c r="D149" s="226"/>
      <c r="E149" s="190">
        <f t="shared" si="21"/>
        <v>1041266.4599999998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</row>
    <row r="150" spans="1:22">
      <c r="B150" s="112" t="str">
        <f xml:space="preserve"> "December  2012"</f>
        <v>December  2012</v>
      </c>
      <c r="C150" s="158">
        <f t="shared" si="20"/>
        <v>1177586.9799999997</v>
      </c>
      <c r="D150" s="265"/>
      <c r="E150" s="191">
        <f t="shared" si="21"/>
        <v>1177586.9799999997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</row>
    <row r="151" spans="1:22">
      <c r="B151" s="113"/>
      <c r="C151" s="114"/>
      <c r="D151" s="116"/>
      <c r="E151" s="117"/>
      <c r="G151" s="59"/>
      <c r="H151" s="213"/>
      <c r="I151" s="213"/>
      <c r="J151" s="214"/>
      <c r="K151" s="214"/>
      <c r="L151" s="214"/>
      <c r="M151" s="24"/>
      <c r="N151" s="24"/>
      <c r="O151" s="24"/>
      <c r="P151" s="24"/>
      <c r="Q151" s="24"/>
      <c r="R151" s="24"/>
      <c r="S151" s="24"/>
      <c r="T151" s="24"/>
      <c r="U151" s="24"/>
      <c r="V151" s="24"/>
    </row>
    <row r="152" spans="1:22">
      <c r="B152" s="113"/>
      <c r="C152" s="114"/>
      <c r="D152" s="116"/>
      <c r="E152" s="117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</row>
    <row r="153" spans="1:22">
      <c r="B153" s="113"/>
      <c r="C153" s="114"/>
      <c r="D153" s="116"/>
      <c r="E153" s="117"/>
      <c r="F153" s="117"/>
      <c r="H153" s="209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</row>
    <row r="154" spans="1:22" ht="51">
      <c r="B154" s="95"/>
      <c r="C154" s="155" t="s">
        <v>126</v>
      </c>
      <c r="D154" s="156" t="s">
        <v>125</v>
      </c>
      <c r="E154" s="57" t="s">
        <v>52</v>
      </c>
      <c r="F154" s="52"/>
      <c r="H154" s="24"/>
      <c r="I154" s="24"/>
      <c r="J154" s="24"/>
      <c r="K154" s="24"/>
      <c r="L154" s="24"/>
      <c r="M154" s="21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>
      <c r="A155" s="64" t="s">
        <v>61</v>
      </c>
      <c r="B155" s="110" t="str">
        <f xml:space="preserve"> "December  2011"</f>
        <v>December  2011</v>
      </c>
      <c r="C155" s="160">
        <v>247256.97</v>
      </c>
      <c r="D155" s="281"/>
      <c r="E155" s="266">
        <v>247256.97</v>
      </c>
    </row>
    <row r="156" spans="1:22">
      <c r="A156" s="62" t="s">
        <v>57</v>
      </c>
      <c r="B156" s="111" t="s">
        <v>47</v>
      </c>
      <c r="C156" s="157">
        <f t="shared" ref="C156:C167" si="22">C77</f>
        <v>260135.11000000002</v>
      </c>
      <c r="D156" s="282"/>
      <c r="E156" s="267">
        <f t="shared" ref="E156:E167" si="23">C156-D156</f>
        <v>260135.11000000002</v>
      </c>
    </row>
    <row r="157" spans="1:22">
      <c r="A157" s="63" t="s">
        <v>60</v>
      </c>
      <c r="B157" s="111" t="s">
        <v>1</v>
      </c>
      <c r="C157" s="157">
        <f t="shared" si="22"/>
        <v>273571.48</v>
      </c>
      <c r="D157" s="282"/>
      <c r="E157" s="267">
        <f t="shared" si="23"/>
        <v>273571.48</v>
      </c>
    </row>
    <row r="158" spans="1:22">
      <c r="B158" s="111" t="s">
        <v>2</v>
      </c>
      <c r="C158" s="157">
        <f t="shared" si="22"/>
        <v>288056.45999999996</v>
      </c>
      <c r="D158" s="282"/>
      <c r="E158" s="267">
        <f t="shared" si="23"/>
        <v>288056.45999999996</v>
      </c>
    </row>
    <row r="159" spans="1:22">
      <c r="B159" s="111" t="s">
        <v>3</v>
      </c>
      <c r="C159" s="157">
        <f t="shared" si="22"/>
        <v>303236.28999999998</v>
      </c>
      <c r="D159" s="282"/>
      <c r="E159" s="267">
        <f t="shared" si="23"/>
        <v>303236.28999999998</v>
      </c>
    </row>
    <row r="160" spans="1:22">
      <c r="B160" s="111" t="s">
        <v>4</v>
      </c>
      <c r="C160" s="157">
        <f t="shared" si="22"/>
        <v>318418.76999999996</v>
      </c>
      <c r="D160" s="282"/>
      <c r="E160" s="267">
        <f t="shared" si="23"/>
        <v>318418.76999999996</v>
      </c>
    </row>
    <row r="161" spans="1:6">
      <c r="B161" s="111" t="s">
        <v>5</v>
      </c>
      <c r="C161" s="157">
        <f t="shared" si="22"/>
        <v>337491.86999999994</v>
      </c>
      <c r="D161" s="282"/>
      <c r="E161" s="267">
        <f t="shared" si="23"/>
        <v>337491.86999999994</v>
      </c>
    </row>
    <row r="162" spans="1:6">
      <c r="B162" s="111" t="s">
        <v>6</v>
      </c>
      <c r="C162" s="157">
        <f t="shared" si="22"/>
        <v>359862.0799999999</v>
      </c>
      <c r="D162" s="282"/>
      <c r="E162" s="267">
        <f t="shared" si="23"/>
        <v>359862.0799999999</v>
      </c>
    </row>
    <row r="163" spans="1:6">
      <c r="B163" s="111" t="s">
        <v>7</v>
      </c>
      <c r="C163" s="157">
        <f t="shared" si="22"/>
        <v>388571.17999999988</v>
      </c>
      <c r="D163" s="282"/>
      <c r="E163" s="267">
        <f t="shared" si="23"/>
        <v>388571.17999999988</v>
      </c>
    </row>
    <row r="164" spans="1:6">
      <c r="B164" s="111" t="s">
        <v>8</v>
      </c>
      <c r="C164" s="157">
        <f t="shared" si="22"/>
        <v>423955.92999999982</v>
      </c>
      <c r="D164" s="282"/>
      <c r="E164" s="267">
        <f t="shared" si="23"/>
        <v>423955.92999999982</v>
      </c>
    </row>
    <row r="165" spans="1:6">
      <c r="B165" s="111" t="s">
        <v>9</v>
      </c>
      <c r="C165" s="157">
        <f t="shared" si="22"/>
        <v>463090.7799999998</v>
      </c>
      <c r="D165" s="282"/>
      <c r="E165" s="267">
        <f t="shared" si="23"/>
        <v>463090.7799999998</v>
      </c>
    </row>
    <row r="166" spans="1:6">
      <c r="B166" s="111" t="s">
        <v>10</v>
      </c>
      <c r="C166" s="157">
        <f t="shared" si="22"/>
        <v>506216.95999999973</v>
      </c>
      <c r="D166" s="282"/>
      <c r="E166" s="267">
        <f t="shared" si="23"/>
        <v>506216.95999999973</v>
      </c>
    </row>
    <row r="167" spans="1:6">
      <c r="B167" s="112" t="str">
        <f xml:space="preserve"> "December  2012"</f>
        <v>December  2012</v>
      </c>
      <c r="C167" s="158">
        <f t="shared" si="22"/>
        <v>554102.97999999975</v>
      </c>
      <c r="D167" s="283"/>
      <c r="E167" s="273">
        <f t="shared" si="23"/>
        <v>554102.97999999975</v>
      </c>
    </row>
    <row r="168" spans="1:6">
      <c r="B168" s="113"/>
      <c r="C168" s="114"/>
      <c r="D168" s="116"/>
      <c r="E168" s="117"/>
    </row>
    <row r="169" spans="1:6">
      <c r="B169" s="113"/>
      <c r="C169" s="114"/>
      <c r="D169" s="116"/>
      <c r="E169" s="117"/>
    </row>
    <row r="170" spans="1:6">
      <c r="B170" s="113"/>
      <c r="C170" s="114"/>
      <c r="D170" s="116"/>
      <c r="E170" s="117"/>
    </row>
    <row r="171" spans="1:6">
      <c r="B171" s="95"/>
      <c r="C171" s="96"/>
      <c r="D171" s="52"/>
      <c r="E171" s="52"/>
    </row>
    <row r="172" spans="1:6">
      <c r="B172" s="95"/>
      <c r="C172" s="96"/>
      <c r="D172" s="52"/>
      <c r="E172" s="52"/>
    </row>
    <row r="173" spans="1:6">
      <c r="B173" s="95"/>
      <c r="C173" s="96"/>
      <c r="D173" s="52"/>
      <c r="E173" s="52"/>
    </row>
    <row r="174" spans="1:6">
      <c r="A174" s="46" t="str">
        <f>A1</f>
        <v>ALLETE, Inc., d/b/a Minnesota Power</v>
      </c>
      <c r="B174" s="95"/>
      <c r="C174" s="95"/>
      <c r="E174" s="55"/>
      <c r="F174" s="115"/>
    </row>
    <row r="175" spans="1:6">
      <c r="A175" s="46" t="str">
        <f>A2</f>
        <v>2012 Attachment GG Work papers - CWIP and Prefunded AFUDC Working Papers</v>
      </c>
      <c r="B175" s="95"/>
      <c r="C175" s="95"/>
      <c r="D175" s="96"/>
      <c r="E175" s="55"/>
      <c r="F175" s="52"/>
    </row>
    <row r="176" spans="1:6">
      <c r="A176" s="46" t="str">
        <f>A3</f>
        <v>Actual 13 Months Ended December 31, 2012</v>
      </c>
      <c r="B176" s="95"/>
      <c r="C176" s="95"/>
      <c r="D176" s="96"/>
      <c r="E176" s="52"/>
      <c r="F176" s="52"/>
    </row>
    <row r="177" spans="1:8">
      <c r="A177" s="46"/>
      <c r="B177" s="95"/>
      <c r="C177" s="95"/>
      <c r="D177" s="96"/>
      <c r="E177" s="52"/>
      <c r="F177" s="52"/>
    </row>
    <row r="178" spans="1:8" ht="51">
      <c r="B178" s="95"/>
      <c r="C178" s="155" t="s">
        <v>126</v>
      </c>
      <c r="D178" s="156" t="s">
        <v>125</v>
      </c>
      <c r="E178" s="57" t="s">
        <v>52</v>
      </c>
      <c r="F178" s="52"/>
      <c r="G178" s="52"/>
      <c r="H178" s="52"/>
    </row>
    <row r="179" spans="1:8">
      <c r="A179" t="s">
        <v>62</v>
      </c>
      <c r="B179" s="110" t="str">
        <f xml:space="preserve"> "December  2011"</f>
        <v>December  2011</v>
      </c>
      <c r="C179" s="161">
        <f>C100+C117+C138+C155</f>
        <v>1764461.67</v>
      </c>
      <c r="D179" s="160">
        <f>D100+D117+D138+D155</f>
        <v>1615</v>
      </c>
      <c r="E179" s="274">
        <f>E100+E117+E138+E155</f>
        <v>1762846.67</v>
      </c>
      <c r="F179" s="52"/>
      <c r="G179" s="52"/>
      <c r="H179" s="52"/>
    </row>
    <row r="180" spans="1:8">
      <c r="B180" s="111" t="s">
        <v>47</v>
      </c>
      <c r="C180" s="159">
        <f t="shared" ref="C180:E191" si="24">C101+C118+C139+C156</f>
        <v>1882823.08</v>
      </c>
      <c r="D180" s="157">
        <f t="shared" si="24"/>
        <v>2018.2</v>
      </c>
      <c r="E180" s="275">
        <f t="shared" si="24"/>
        <v>1880804.8800000001</v>
      </c>
      <c r="F180" s="52"/>
      <c r="G180" s="52"/>
      <c r="H180" s="52"/>
    </row>
    <row r="181" spans="1:8">
      <c r="B181" s="111" t="s">
        <v>1</v>
      </c>
      <c r="C181" s="159">
        <f t="shared" si="24"/>
        <v>2012461.13</v>
      </c>
      <c r="D181" s="157">
        <f t="shared" si="24"/>
        <v>2018.2</v>
      </c>
      <c r="E181" s="275">
        <f t="shared" si="24"/>
        <v>2010442.93</v>
      </c>
      <c r="F181" s="52"/>
      <c r="G181" s="52"/>
      <c r="H181" s="52"/>
    </row>
    <row r="182" spans="1:8">
      <c r="B182" s="111" t="s">
        <v>2</v>
      </c>
      <c r="C182" s="159">
        <f t="shared" si="24"/>
        <v>2152753.04</v>
      </c>
      <c r="D182" s="157">
        <f t="shared" si="24"/>
        <v>2018.2</v>
      </c>
      <c r="E182" s="275">
        <f t="shared" si="24"/>
        <v>2150734.84</v>
      </c>
      <c r="F182" s="52"/>
      <c r="G182" s="52"/>
      <c r="H182" s="52"/>
    </row>
    <row r="183" spans="1:8">
      <c r="B183" s="111" t="s">
        <v>3</v>
      </c>
      <c r="C183" s="159">
        <f t="shared" si="24"/>
        <v>2300670.65</v>
      </c>
      <c r="D183" s="157">
        <f t="shared" si="24"/>
        <v>2018.2</v>
      </c>
      <c r="E183" s="275">
        <f t="shared" si="24"/>
        <v>2298652.4499999997</v>
      </c>
      <c r="F183" s="52"/>
      <c r="G183" s="52"/>
      <c r="H183" s="52"/>
    </row>
    <row r="184" spans="1:8">
      <c r="B184" s="111" t="s">
        <v>4</v>
      </c>
      <c r="C184" s="159">
        <f t="shared" si="24"/>
        <v>2458039.92</v>
      </c>
      <c r="D184" s="157">
        <f t="shared" si="24"/>
        <v>2018.2</v>
      </c>
      <c r="E184" s="275">
        <f t="shared" si="24"/>
        <v>2456021.7200000002</v>
      </c>
      <c r="F184" s="52"/>
      <c r="G184" s="52"/>
      <c r="H184" s="52"/>
    </row>
    <row r="185" spans="1:8">
      <c r="B185" s="111" t="s">
        <v>5</v>
      </c>
      <c r="C185" s="159">
        <f t="shared" si="24"/>
        <v>2635328.5</v>
      </c>
      <c r="D185" s="157">
        <f t="shared" si="24"/>
        <v>2018.2</v>
      </c>
      <c r="E185" s="275">
        <f t="shared" si="24"/>
        <v>2633310.2999999998</v>
      </c>
      <c r="F185" s="52"/>
      <c r="G185" s="52"/>
      <c r="H185" s="52"/>
    </row>
    <row r="186" spans="1:8">
      <c r="B186" s="111" t="s">
        <v>6</v>
      </c>
      <c r="C186" s="159">
        <f t="shared" si="24"/>
        <v>2823818.5999999996</v>
      </c>
      <c r="D186" s="157">
        <f t="shared" si="24"/>
        <v>2018.2</v>
      </c>
      <c r="E186" s="275">
        <f t="shared" si="24"/>
        <v>2821800.4000000004</v>
      </c>
      <c r="F186" s="52"/>
      <c r="G186" s="52"/>
      <c r="H186" s="52"/>
    </row>
    <row r="187" spans="1:8">
      <c r="B187" s="111" t="s">
        <v>7</v>
      </c>
      <c r="C187" s="159">
        <f t="shared" si="24"/>
        <v>3031149.38</v>
      </c>
      <c r="D187" s="157">
        <f t="shared" si="24"/>
        <v>2018.2</v>
      </c>
      <c r="E187" s="275">
        <f t="shared" si="24"/>
        <v>3029131.1799999997</v>
      </c>
      <c r="F187" s="52"/>
      <c r="G187" s="52"/>
      <c r="H187" s="52"/>
    </row>
    <row r="188" spans="1:8">
      <c r="B188" s="111" t="s">
        <v>8</v>
      </c>
      <c r="C188" s="159">
        <f t="shared" si="24"/>
        <v>3215349.4799999995</v>
      </c>
      <c r="D188" s="157">
        <f t="shared" si="24"/>
        <v>3029.9908422499993</v>
      </c>
      <c r="E188" s="275">
        <f t="shared" si="24"/>
        <v>3212319.4891577498</v>
      </c>
      <c r="F188" s="52"/>
      <c r="G188" s="52"/>
      <c r="H188" s="52"/>
    </row>
    <row r="189" spans="1:8">
      <c r="B189" s="111" t="s">
        <v>9</v>
      </c>
      <c r="C189" s="159">
        <f t="shared" si="24"/>
        <v>3369324.2791577498</v>
      </c>
      <c r="D189" s="157">
        <f t="shared" si="24"/>
        <v>4041.7816844999988</v>
      </c>
      <c r="E189" s="275">
        <f t="shared" si="24"/>
        <v>3365282.4974732497</v>
      </c>
      <c r="F189" s="52"/>
      <c r="G189" s="52"/>
      <c r="H189" s="52"/>
    </row>
    <row r="190" spans="1:8">
      <c r="B190" s="111" t="s">
        <v>10</v>
      </c>
      <c r="C190" s="159">
        <f t="shared" si="24"/>
        <v>3535154.2174732499</v>
      </c>
      <c r="D190" s="157">
        <f t="shared" si="24"/>
        <v>4041.7816844999988</v>
      </c>
      <c r="E190" s="275">
        <f t="shared" si="24"/>
        <v>3531112.4357887497</v>
      </c>
      <c r="F190" s="52"/>
      <c r="G190" s="52"/>
      <c r="H190" s="52"/>
    </row>
    <row r="191" spans="1:8">
      <c r="B191" s="112" t="str">
        <f xml:space="preserve"> "December  2012"</f>
        <v>December  2012</v>
      </c>
      <c r="C191" s="162">
        <f t="shared" si="24"/>
        <v>3715318.9757887498</v>
      </c>
      <c r="D191" s="158">
        <f t="shared" si="24"/>
        <v>4041.7816844999988</v>
      </c>
      <c r="E191" s="276">
        <f t="shared" si="24"/>
        <v>3711277.1941042496</v>
      </c>
      <c r="F191" s="52"/>
      <c r="G191" s="52"/>
      <c r="H191" s="52"/>
    </row>
    <row r="192" spans="1:8">
      <c r="B192" s="118"/>
      <c r="C192" s="95"/>
      <c r="D192" s="96"/>
      <c r="E192" s="52"/>
      <c r="F192" s="52"/>
    </row>
    <row r="193" spans="1:6" ht="15">
      <c r="A193" s="56" t="s">
        <v>63</v>
      </c>
      <c r="B193" s="119"/>
      <c r="C193" s="118"/>
      <c r="D193" s="120"/>
      <c r="E193" s="205">
        <f>AVERAGE(E179:E191)</f>
        <v>2681825.9220403079</v>
      </c>
    </row>
    <row r="194" spans="1:6" ht="15">
      <c r="A194" s="56" t="s">
        <v>64</v>
      </c>
      <c r="B194" s="119"/>
      <c r="C194" s="118"/>
      <c r="D194" s="120"/>
      <c r="E194" s="121"/>
      <c r="F194" s="65"/>
    </row>
    <row r="195" spans="1:6" ht="15">
      <c r="A195" s="56"/>
      <c r="B195" s="95"/>
      <c r="C195" s="118"/>
      <c r="D195" s="120"/>
      <c r="E195" s="122"/>
      <c r="F195" s="65"/>
    </row>
    <row r="196" spans="1:6" ht="15">
      <c r="A196" s="67" t="s">
        <v>106</v>
      </c>
      <c r="B196" s="95"/>
      <c r="C196" s="119"/>
      <c r="D196" s="120"/>
      <c r="E196" s="122"/>
      <c r="F196" s="66"/>
    </row>
    <row r="197" spans="1:6" ht="15">
      <c r="A197" s="29" t="s">
        <v>64</v>
      </c>
      <c r="B197" s="95"/>
      <c r="C197" s="119"/>
      <c r="D197" s="206">
        <f>SUM(D179:D191)</f>
        <v>32915.935895749994</v>
      </c>
      <c r="E197" s="122"/>
    </row>
    <row r="198" spans="1:6">
      <c r="B198" s="95"/>
      <c r="C198" s="95"/>
      <c r="D198" s="96"/>
      <c r="E198" s="52"/>
      <c r="F198" s="52"/>
    </row>
  </sheetData>
  <phoneticPr fontId="98" type="noConversion"/>
  <dataValidations count="1">
    <dataValidation type="list" allowBlank="1" showInputMessage="1" showErrorMessage="1" sqref="B29:D29 B54:D54 B8:D8">
      <formula1>#REF!</formula1>
    </dataValidation>
  </dataValidations>
  <pageMargins left="0.5" right="0.5" top="0.25" bottom="0.25" header="0" footer="0"/>
  <pageSetup scale="82" orientation="landscape" r:id="rId1"/>
  <headerFooter alignWithMargins="0"/>
  <rowBreaks count="4" manualBreakCount="4">
    <brk id="45" max="16383" man="1"/>
    <brk id="92" max="16383" man="1"/>
    <brk id="131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18"/>
  <sheetViews>
    <sheetView workbookViewId="0">
      <selection activeCell="A12" sqref="A12:F18"/>
    </sheetView>
  </sheetViews>
  <sheetFormatPr defaultRowHeight="12.75"/>
  <cols>
    <col min="1" max="1" width="16" customWidth="1"/>
    <col min="2" max="2" width="20.28515625" customWidth="1"/>
    <col min="3" max="3" width="27.5703125" customWidth="1"/>
    <col min="4" max="4" width="61.140625" bestFit="1" customWidth="1"/>
    <col min="5" max="5" width="59.42578125" customWidth="1"/>
    <col min="6" max="6" width="23.28515625" customWidth="1"/>
    <col min="7" max="9" width="9.140625" style="81"/>
  </cols>
  <sheetData>
    <row r="1" spans="1:14">
      <c r="A1" s="46" t="s">
        <v>41</v>
      </c>
    </row>
    <row r="2" spans="1:14">
      <c r="A2" s="46" t="s">
        <v>113</v>
      </c>
    </row>
    <row r="3" spans="1:14">
      <c r="A3" s="46" t="s">
        <v>112</v>
      </c>
    </row>
    <row r="6" spans="1:14">
      <c r="K6" s="81"/>
      <c r="L6" s="81"/>
      <c r="M6" s="81"/>
      <c r="N6" s="81"/>
    </row>
    <row r="7" spans="1:14">
      <c r="K7" s="149"/>
      <c r="L7" s="81"/>
      <c r="M7" s="81"/>
      <c r="N7" s="81"/>
    </row>
    <row r="8" spans="1:14">
      <c r="K8" s="81"/>
      <c r="L8" s="81"/>
      <c r="M8" s="81"/>
      <c r="N8" s="81"/>
    </row>
    <row r="9" spans="1:14">
      <c r="A9" s="29" t="s">
        <v>30</v>
      </c>
      <c r="K9" s="81"/>
      <c r="L9" s="81"/>
      <c r="M9" s="81"/>
      <c r="N9" s="81"/>
    </row>
    <row r="10" spans="1:14">
      <c r="K10" s="81"/>
      <c r="L10" s="81"/>
      <c r="M10" s="81"/>
      <c r="N10" s="81"/>
    </row>
    <row r="11" spans="1:14" ht="25.5">
      <c r="A11" s="146" t="s">
        <v>22</v>
      </c>
      <c r="B11" s="145" t="s">
        <v>122</v>
      </c>
      <c r="C11" s="146" t="s">
        <v>68</v>
      </c>
      <c r="D11" s="146" t="s">
        <v>31</v>
      </c>
      <c r="E11" s="147" t="s">
        <v>71</v>
      </c>
      <c r="F11" s="148" t="s">
        <v>123</v>
      </c>
      <c r="K11" s="81"/>
      <c r="L11" s="81"/>
      <c r="M11" s="81"/>
      <c r="N11" s="81"/>
    </row>
    <row r="12" spans="1:14" ht="51">
      <c r="A12" s="137">
        <v>277</v>
      </c>
      <c r="B12" s="138" t="s">
        <v>35</v>
      </c>
      <c r="C12" s="142" t="s">
        <v>115</v>
      </c>
      <c r="D12" s="138" t="s">
        <v>38</v>
      </c>
      <c r="E12" s="141" t="s">
        <v>116</v>
      </c>
      <c r="K12" s="81"/>
      <c r="L12" s="81"/>
      <c r="M12" s="81"/>
      <c r="N12" s="81"/>
    </row>
    <row r="13" spans="1:14">
      <c r="A13" s="137">
        <v>279</v>
      </c>
      <c r="B13" s="138" t="s">
        <v>36</v>
      </c>
      <c r="C13" s="142">
        <v>1098</v>
      </c>
      <c r="D13" s="138" t="s">
        <v>70</v>
      </c>
      <c r="E13" s="141" t="s">
        <v>117</v>
      </c>
    </row>
    <row r="14" spans="1:14" ht="25.5">
      <c r="A14" s="139" t="s">
        <v>33</v>
      </c>
      <c r="B14" s="138" t="s">
        <v>37</v>
      </c>
      <c r="C14" s="142" t="s">
        <v>69</v>
      </c>
      <c r="D14" s="138" t="s">
        <v>118</v>
      </c>
      <c r="E14" s="140" t="s">
        <v>99</v>
      </c>
    </row>
    <row r="15" spans="1:14" ht="25.5">
      <c r="A15" s="139" t="s">
        <v>34</v>
      </c>
      <c r="B15" s="138" t="s">
        <v>37</v>
      </c>
      <c r="C15" s="144" t="s">
        <v>100</v>
      </c>
      <c r="D15" s="138" t="s">
        <v>98</v>
      </c>
      <c r="E15" s="140" t="s">
        <v>101</v>
      </c>
    </row>
    <row r="16" spans="1:14" ht="25.5">
      <c r="A16" s="139" t="s">
        <v>72</v>
      </c>
      <c r="B16" s="138" t="s">
        <v>37</v>
      </c>
      <c r="C16" s="142">
        <v>1105</v>
      </c>
      <c r="D16" s="138" t="s">
        <v>119</v>
      </c>
      <c r="E16" s="140" t="s">
        <v>102</v>
      </c>
    </row>
    <row r="17" spans="1:6">
      <c r="A17" s="139">
        <v>3373</v>
      </c>
      <c r="B17" s="229" t="s">
        <v>132</v>
      </c>
      <c r="C17" s="142">
        <v>3373</v>
      </c>
      <c r="D17" s="229" t="s">
        <v>133</v>
      </c>
      <c r="E17" s="230" t="s">
        <v>135</v>
      </c>
    </row>
    <row r="18" spans="1:6" ht="38.25">
      <c r="A18" s="137">
        <v>1025</v>
      </c>
      <c r="B18" s="138" t="s">
        <v>35</v>
      </c>
      <c r="C18" s="142" t="s">
        <v>120</v>
      </c>
      <c r="D18" s="138" t="s">
        <v>39</v>
      </c>
      <c r="E18" s="143" t="s">
        <v>121</v>
      </c>
      <c r="F18" t="s">
        <v>134</v>
      </c>
    </row>
  </sheetData>
  <phoneticPr fontId="98" type="noConversion"/>
  <pageMargins left="0.75" right="0.75" top="1" bottom="1" header="0.5" footer="0.5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26"/>
  <sheetViews>
    <sheetView workbookViewId="0">
      <selection activeCell="H20" sqref="H20"/>
    </sheetView>
  </sheetViews>
  <sheetFormatPr defaultRowHeight="12.75"/>
  <cols>
    <col min="1" max="5" width="9.140625" style="72"/>
    <col min="6" max="6" width="26.140625" style="72" bestFit="1" customWidth="1"/>
    <col min="7" max="7" width="9.140625" style="72"/>
    <col min="8" max="8" width="16" style="72" bestFit="1" customWidth="1"/>
    <col min="9" max="9" width="9.140625" style="72"/>
    <col min="10" max="10" width="16" style="72" bestFit="1" customWidth="1"/>
    <col min="11" max="11" width="9.140625" style="72"/>
    <col min="12" max="12" width="15.5703125" style="72" bestFit="1" customWidth="1"/>
    <col min="13" max="16384" width="9.140625" style="72"/>
  </cols>
  <sheetData>
    <row r="1" spans="1:19">
      <c r="A1" s="46" t="s">
        <v>41</v>
      </c>
      <c r="B1" s="47"/>
      <c r="C1" s="47"/>
      <c r="D1" s="49"/>
      <c r="E1" s="49"/>
      <c r="F1" s="49"/>
      <c r="G1" s="71"/>
    </row>
    <row r="2" spans="1:19">
      <c r="A2" s="46" t="s">
        <v>110</v>
      </c>
      <c r="B2" s="47"/>
      <c r="C2" s="47"/>
      <c r="D2" s="49"/>
      <c r="E2" s="49"/>
      <c r="F2" s="49"/>
      <c r="G2" s="71"/>
    </row>
    <row r="3" spans="1:19">
      <c r="A3" s="46" t="s">
        <v>111</v>
      </c>
      <c r="B3" s="47"/>
      <c r="C3" s="47"/>
      <c r="D3" s="40"/>
      <c r="E3" s="40"/>
      <c r="F3" s="40"/>
      <c r="G3" s="51"/>
    </row>
    <row r="5" spans="1:19">
      <c r="P5" s="81"/>
      <c r="Q5" s="81"/>
      <c r="R5" s="81"/>
      <c r="S5" s="81"/>
    </row>
    <row r="6" spans="1:19">
      <c r="B6" s="29" t="s">
        <v>86</v>
      </c>
      <c r="H6" s="64" t="s">
        <v>73</v>
      </c>
      <c r="I6" s="77"/>
      <c r="J6" s="77" t="s">
        <v>74</v>
      </c>
      <c r="K6" s="77"/>
      <c r="L6" s="77" t="s">
        <v>75</v>
      </c>
      <c r="P6" s="149"/>
      <c r="Q6" s="81"/>
      <c r="R6" s="81"/>
      <c r="S6" s="81"/>
    </row>
    <row r="7" spans="1:19">
      <c r="M7" s="73"/>
      <c r="N7" s="73"/>
      <c r="O7" s="73"/>
      <c r="P7" s="81"/>
      <c r="Q7" s="81"/>
      <c r="R7" s="81"/>
      <c r="S7" s="81"/>
    </row>
    <row r="8" spans="1:19">
      <c r="B8" s="72" t="s">
        <v>76</v>
      </c>
      <c r="F8" s="72" t="s">
        <v>77</v>
      </c>
      <c r="H8" s="272">
        <v>385245658</v>
      </c>
      <c r="I8" s="78"/>
      <c r="J8" s="272">
        <v>268916885</v>
      </c>
      <c r="K8" s="78"/>
      <c r="L8" s="269">
        <v>116328773</v>
      </c>
      <c r="P8" s="81"/>
      <c r="Q8" s="81"/>
      <c r="R8" s="81"/>
      <c r="S8" s="81"/>
    </row>
    <row r="9" spans="1:19">
      <c r="A9" s="75" t="s">
        <v>81</v>
      </c>
      <c r="B9" s="72" t="s">
        <v>79</v>
      </c>
      <c r="F9" s="72" t="s">
        <v>80</v>
      </c>
      <c r="H9" s="271">
        <v>23481303</v>
      </c>
      <c r="I9" s="78"/>
      <c r="J9" s="271">
        <v>23481303</v>
      </c>
      <c r="K9" s="78"/>
      <c r="L9" s="268">
        <v>0</v>
      </c>
      <c r="P9" s="81"/>
      <c r="Q9" s="81"/>
      <c r="R9" s="81"/>
      <c r="S9" s="81"/>
    </row>
    <row r="10" spans="1:19">
      <c r="A10" s="75" t="s">
        <v>82</v>
      </c>
      <c r="B10" s="76" t="s">
        <v>97</v>
      </c>
      <c r="C10" s="76"/>
      <c r="D10" s="76"/>
      <c r="E10" s="76"/>
      <c r="F10" s="72" t="s">
        <v>85</v>
      </c>
      <c r="H10" s="270">
        <v>-2746776</v>
      </c>
      <c r="I10" s="79"/>
      <c r="J10" s="270">
        <v>-2746776</v>
      </c>
      <c r="K10" s="78"/>
      <c r="L10" s="270">
        <v>0</v>
      </c>
      <c r="P10" s="81"/>
      <c r="Q10" s="81"/>
      <c r="R10" s="81"/>
      <c r="S10" s="81"/>
    </row>
    <row r="11" spans="1:19">
      <c r="B11" s="72" t="s">
        <v>83</v>
      </c>
      <c r="F11" s="72" t="s">
        <v>84</v>
      </c>
      <c r="H11" s="78">
        <f>SUM(H8:H10)</f>
        <v>405980185</v>
      </c>
      <c r="I11" s="78"/>
      <c r="J11" s="78">
        <f>SUM(J8:J10)</f>
        <v>289651412</v>
      </c>
      <c r="K11" s="78"/>
      <c r="L11" s="78">
        <f>SUM(L8:L10)</f>
        <v>116328773</v>
      </c>
      <c r="P11" s="81"/>
      <c r="Q11" s="81"/>
      <c r="R11" s="81"/>
      <c r="S11" s="81"/>
    </row>
    <row r="12" spans="1:19">
      <c r="H12" s="80" t="s">
        <v>91</v>
      </c>
      <c r="I12" s="80"/>
      <c r="J12" s="80" t="s">
        <v>92</v>
      </c>
      <c r="K12" s="80"/>
      <c r="L12" s="80" t="s">
        <v>93</v>
      </c>
    </row>
    <row r="13" spans="1:19">
      <c r="H13" s="74"/>
      <c r="I13" s="74"/>
      <c r="J13" s="74"/>
      <c r="K13" s="74"/>
      <c r="L13" s="74"/>
    </row>
    <row r="14" spans="1:19">
      <c r="B14" s="29" t="s">
        <v>87</v>
      </c>
      <c r="H14" s="77" t="s">
        <v>73</v>
      </c>
      <c r="I14" s="77"/>
      <c r="J14" s="77" t="s">
        <v>74</v>
      </c>
      <c r="K14" s="152"/>
      <c r="L14" s="77" t="s">
        <v>75</v>
      </c>
    </row>
    <row r="15" spans="1:19">
      <c r="K15" s="153"/>
    </row>
    <row r="16" spans="1:19">
      <c r="B16" s="72" t="s">
        <v>78</v>
      </c>
      <c r="F16" s="72" t="s">
        <v>88</v>
      </c>
      <c r="H16" s="269">
        <v>226690365</v>
      </c>
      <c r="I16" s="150"/>
      <c r="J16" s="231">
        <v>157210015</v>
      </c>
      <c r="K16" s="150"/>
      <c r="L16" s="269">
        <v>69480350</v>
      </c>
    </row>
    <row r="17" spans="1:12">
      <c r="A17" s="75" t="s">
        <v>81</v>
      </c>
      <c r="B17" s="72" t="s">
        <v>79</v>
      </c>
      <c r="F17" s="72" t="s">
        <v>80</v>
      </c>
      <c r="H17" s="271">
        <v>23481303</v>
      </c>
      <c r="I17" s="150"/>
      <c r="J17" s="271">
        <v>23481303</v>
      </c>
      <c r="K17" s="150"/>
      <c r="L17" s="268">
        <v>0</v>
      </c>
    </row>
    <row r="18" spans="1:12">
      <c r="A18" s="75" t="s">
        <v>82</v>
      </c>
      <c r="B18" s="76" t="s">
        <v>97</v>
      </c>
      <c r="C18" s="76"/>
      <c r="D18" s="76"/>
      <c r="E18" s="76"/>
      <c r="F18" s="72" t="s">
        <v>85</v>
      </c>
      <c r="H18" s="270">
        <v>-2746776</v>
      </c>
      <c r="I18" s="151"/>
      <c r="J18" s="270">
        <v>-2746776</v>
      </c>
      <c r="K18" s="150"/>
      <c r="L18" s="270">
        <v>0</v>
      </c>
    </row>
    <row r="19" spans="1:12">
      <c r="B19" s="72" t="s">
        <v>89</v>
      </c>
      <c r="F19" s="72" t="s">
        <v>90</v>
      </c>
      <c r="H19" s="78">
        <f>SUM(H16:H18)</f>
        <v>247424892</v>
      </c>
      <c r="I19" s="150"/>
      <c r="J19" s="78">
        <f>SUM(J16:J18)</f>
        <v>177944542</v>
      </c>
      <c r="K19" s="150"/>
      <c r="L19" s="78">
        <f>SUM(L16:L18)</f>
        <v>69480350</v>
      </c>
    </row>
    <row r="20" spans="1:12">
      <c r="H20" s="80" t="s">
        <v>94</v>
      </c>
      <c r="I20" s="80"/>
      <c r="J20" s="80" t="s">
        <v>95</v>
      </c>
      <c r="K20" s="80"/>
      <c r="L20" s="80" t="s">
        <v>96</v>
      </c>
    </row>
    <row r="21" spans="1:12">
      <c r="H21" s="74"/>
      <c r="I21" s="74"/>
      <c r="J21" s="74"/>
      <c r="K21" s="74"/>
      <c r="L21" s="74"/>
    </row>
    <row r="22" spans="1:12">
      <c r="H22" s="74"/>
      <c r="I22" s="74"/>
      <c r="J22" s="74"/>
      <c r="K22" s="74"/>
      <c r="L22" s="74"/>
    </row>
    <row r="23" spans="1:12">
      <c r="H23" s="74"/>
      <c r="I23" s="74"/>
      <c r="J23" s="74"/>
      <c r="K23" s="74"/>
      <c r="L23" s="74"/>
    </row>
    <row r="24" spans="1:12">
      <c r="H24" s="74"/>
      <c r="I24" s="74"/>
      <c r="J24" s="74"/>
      <c r="K24" s="74"/>
      <c r="L24" s="74"/>
    </row>
    <row r="25" spans="1:12">
      <c r="H25" s="74"/>
      <c r="I25" s="74"/>
      <c r="J25" s="74"/>
      <c r="K25" s="74"/>
      <c r="L25" s="74"/>
    </row>
    <row r="26" spans="1:12">
      <c r="H26" s="74"/>
      <c r="I26" s="74"/>
      <c r="J26" s="74"/>
      <c r="K26" s="74"/>
      <c r="L26" s="74"/>
    </row>
  </sheetData>
  <phoneticPr fontId="98" type="noConversion"/>
  <pageMargins left="0.75" right="0.75" top="1" bottom="1" header="0.5" footer="0.5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B6" sqref="B6"/>
    </sheetView>
  </sheetViews>
  <sheetFormatPr defaultRowHeight="12.75"/>
  <cols>
    <col min="2" max="2" width="54.140625" bestFit="1" customWidth="1"/>
    <col min="3" max="3" width="12.7109375" bestFit="1" customWidth="1"/>
    <col min="5" max="5" width="14.28515625" bestFit="1" customWidth="1"/>
    <col min="6" max="6" width="12.7109375" bestFit="1" customWidth="1"/>
    <col min="7" max="7" width="12.28515625" bestFit="1" customWidth="1"/>
    <col min="8" max="8" width="18" bestFit="1" customWidth="1"/>
    <col min="9" max="9" width="11.28515625" bestFit="1" customWidth="1"/>
  </cols>
  <sheetData>
    <row r="1" spans="1:17">
      <c r="A1" s="68" t="s">
        <v>41</v>
      </c>
    </row>
    <row r="2" spans="1:17">
      <c r="A2" s="68" t="s">
        <v>168</v>
      </c>
    </row>
    <row r="3" spans="1:17">
      <c r="A3" s="68" t="s">
        <v>111</v>
      </c>
    </row>
    <row r="6" spans="1:17" ht="15">
      <c r="A6" s="300"/>
      <c r="B6" s="301"/>
      <c r="C6" s="302"/>
      <c r="D6" s="300"/>
      <c r="E6" s="300"/>
      <c r="F6" s="300"/>
      <c r="G6" s="300"/>
      <c r="H6" s="300"/>
      <c r="I6" s="300"/>
    </row>
    <row r="8" spans="1:17" ht="15">
      <c r="A8" s="300"/>
      <c r="B8" s="303" t="s">
        <v>136</v>
      </c>
      <c r="C8" s="304" t="s">
        <v>137</v>
      </c>
      <c r="D8" s="303" t="s">
        <v>138</v>
      </c>
      <c r="E8" s="305" t="s">
        <v>139</v>
      </c>
      <c r="F8" s="303" t="s">
        <v>140</v>
      </c>
      <c r="G8" s="303" t="s">
        <v>141</v>
      </c>
      <c r="H8" s="303" t="s">
        <v>142</v>
      </c>
      <c r="I8" s="303" t="s">
        <v>143</v>
      </c>
    </row>
    <row r="9" spans="1:17" ht="15">
      <c r="A9" s="300"/>
      <c r="B9" s="306"/>
      <c r="C9" s="307">
        <v>2012</v>
      </c>
      <c r="D9" s="308"/>
      <c r="E9" s="309" t="s">
        <v>144</v>
      </c>
      <c r="F9" s="307">
        <v>2012</v>
      </c>
      <c r="G9" s="303"/>
      <c r="H9" s="303"/>
      <c r="I9" s="307">
        <v>2012</v>
      </c>
    </row>
    <row r="10" spans="1:17" ht="15">
      <c r="A10" s="300"/>
      <c r="B10" s="300"/>
      <c r="C10" s="310" t="s">
        <v>145</v>
      </c>
      <c r="D10" s="300"/>
      <c r="E10" s="310" t="s">
        <v>146</v>
      </c>
      <c r="F10" s="310" t="s">
        <v>147</v>
      </c>
      <c r="G10" s="300"/>
      <c r="H10" s="310"/>
      <c r="I10" s="310" t="s">
        <v>148</v>
      </c>
    </row>
    <row r="11" spans="1:17" ht="15">
      <c r="A11" s="300"/>
      <c r="B11" s="300"/>
      <c r="C11" s="310" t="s">
        <v>149</v>
      </c>
      <c r="D11" s="300"/>
      <c r="E11" s="310" t="s">
        <v>150</v>
      </c>
      <c r="F11" s="310" t="s">
        <v>149</v>
      </c>
      <c r="G11" s="300"/>
      <c r="H11" s="311" t="s">
        <v>151</v>
      </c>
      <c r="I11" s="311" t="s">
        <v>152</v>
      </c>
    </row>
    <row r="12" spans="1:17" ht="15">
      <c r="A12" s="312" t="s">
        <v>153</v>
      </c>
      <c r="B12" s="313" t="s">
        <v>154</v>
      </c>
      <c r="C12" s="313" t="s">
        <v>155</v>
      </c>
      <c r="D12" s="313" t="s">
        <v>156</v>
      </c>
      <c r="E12" s="313" t="s">
        <v>157</v>
      </c>
      <c r="F12" s="313" t="s">
        <v>155</v>
      </c>
      <c r="G12" s="313" t="s">
        <v>148</v>
      </c>
      <c r="H12" s="314" t="s">
        <v>158</v>
      </c>
      <c r="I12" s="314" t="s">
        <v>159</v>
      </c>
    </row>
    <row r="13" spans="1:17" ht="15">
      <c r="A13" s="315">
        <v>1</v>
      </c>
      <c r="B13" s="316" t="s">
        <v>160</v>
      </c>
      <c r="C13" s="317">
        <v>5538768</v>
      </c>
      <c r="D13" s="318">
        <f>+C13/$C$18</f>
        <v>0.3506319425848588</v>
      </c>
      <c r="E13" s="319">
        <f>+D13*$E$18</f>
        <v>5805501.0819950961</v>
      </c>
      <c r="F13" s="317">
        <v>5216233.8243524097</v>
      </c>
      <c r="G13" s="320">
        <f>F13-E13</f>
        <v>-589267.25764268637</v>
      </c>
      <c r="H13" s="321">
        <f>(G13/$G$18)*$G$21</f>
        <v>-38302.371746774617</v>
      </c>
      <c r="I13" s="320">
        <f>G13+H13</f>
        <v>-627569.62938946101</v>
      </c>
    </row>
    <row r="14" spans="1:17" ht="15">
      <c r="A14" s="315">
        <v>2</v>
      </c>
      <c r="B14" s="316" t="s">
        <v>161</v>
      </c>
      <c r="C14" s="317">
        <v>2168119</v>
      </c>
      <c r="D14" s="318">
        <f>+C14/$C$18</f>
        <v>0.13725286502795234</v>
      </c>
      <c r="E14" s="319">
        <f t="shared" ref="E14:E17" si="0">+D14*$E$18</f>
        <v>2272530.136736929</v>
      </c>
      <c r="F14" s="317">
        <v>2079940.3868534802</v>
      </c>
      <c r="G14" s="320">
        <f t="shared" ref="G14:G17" si="1">F14-E14</f>
        <v>-192589.74988344871</v>
      </c>
      <c r="H14" s="321">
        <f t="shared" ref="H14:H17" si="2">(G14/$G$18)*$G$21</f>
        <v>-12518.333742424165</v>
      </c>
      <c r="I14" s="320">
        <f t="shared" ref="I14:I17" si="3">G14+H14</f>
        <v>-205108.08362587288</v>
      </c>
      <c r="O14" s="322"/>
      <c r="P14" s="322"/>
      <c r="Q14" s="323"/>
    </row>
    <row r="15" spans="1:17" ht="15">
      <c r="A15" s="315">
        <v>3</v>
      </c>
      <c r="B15" s="316" t="s">
        <v>162</v>
      </c>
      <c r="C15" s="324">
        <v>2745125</v>
      </c>
      <c r="D15" s="318">
        <f t="shared" ref="D15:D17" si="4">+C15/$C$18</f>
        <v>0.17378025427103294</v>
      </c>
      <c r="E15" s="319">
        <f t="shared" si="0"/>
        <v>2877323.2888093144</v>
      </c>
      <c r="F15" s="324">
        <v>2653992.7870631544</v>
      </c>
      <c r="G15" s="320">
        <f t="shared" si="1"/>
        <v>-223330.50174615998</v>
      </c>
      <c r="H15" s="321">
        <f t="shared" si="2"/>
        <v>-14516.482613500399</v>
      </c>
      <c r="I15" s="320">
        <f t="shared" si="3"/>
        <v>-237846.98435966039</v>
      </c>
      <c r="O15" s="322"/>
      <c r="P15" s="322"/>
      <c r="Q15" s="323"/>
    </row>
    <row r="16" spans="1:17" ht="15">
      <c r="A16" s="315">
        <v>4</v>
      </c>
      <c r="B16" s="316" t="s">
        <v>163</v>
      </c>
      <c r="C16" s="324">
        <v>4442650</v>
      </c>
      <c r="D16" s="318">
        <f t="shared" si="4"/>
        <v>0.28124214621818844</v>
      </c>
      <c r="E16" s="319">
        <f t="shared" si="0"/>
        <v>4656596.8067132467</v>
      </c>
      <c r="F16" s="324">
        <v>2483321.3998408727</v>
      </c>
      <c r="G16" s="320">
        <f t="shared" si="1"/>
        <v>-2173275.406872374</v>
      </c>
      <c r="H16" s="321">
        <f t="shared" si="2"/>
        <v>-141262.90144670432</v>
      </c>
      <c r="I16" s="320">
        <f t="shared" si="3"/>
        <v>-2314538.3083190783</v>
      </c>
      <c r="O16" s="322"/>
      <c r="P16" s="322"/>
      <c r="Q16" s="325"/>
    </row>
    <row r="17" spans="1:9" ht="15">
      <c r="A17" s="315">
        <v>5</v>
      </c>
      <c r="B17" s="316" t="s">
        <v>164</v>
      </c>
      <c r="C17" s="326">
        <v>901868</v>
      </c>
      <c r="D17" s="318">
        <f t="shared" si="4"/>
        <v>5.7092791897967468E-2</v>
      </c>
      <c r="E17" s="327">
        <f t="shared" si="0"/>
        <v>945299.68574541376</v>
      </c>
      <c r="F17" s="326">
        <v>680389.33353777742</v>
      </c>
      <c r="G17" s="328">
        <f t="shared" si="1"/>
        <v>-264910.35220763634</v>
      </c>
      <c r="H17" s="328">
        <f t="shared" si="2"/>
        <v>-17219.172893496365</v>
      </c>
      <c r="I17" s="328">
        <f t="shared" si="3"/>
        <v>-282129.52510113269</v>
      </c>
    </row>
    <row r="18" spans="1:9" ht="15">
      <c r="A18" s="315">
        <v>6</v>
      </c>
      <c r="B18" s="316"/>
      <c r="C18" s="317">
        <v>15796530</v>
      </c>
      <c r="D18" s="300"/>
      <c r="E18" s="329">
        <v>16557251</v>
      </c>
      <c r="F18" s="321">
        <f>SUM(F13:F17)</f>
        <v>13113877.731647694</v>
      </c>
      <c r="G18" s="321">
        <f>SUM(G13:G17)</f>
        <v>-3443373.2683523055</v>
      </c>
      <c r="H18" s="321">
        <f>SUM(H13:H17)</f>
        <v>-223819.26244289987</v>
      </c>
      <c r="I18" s="321">
        <f>SUM(I13:I17)</f>
        <v>-3667192.5307952054</v>
      </c>
    </row>
    <row r="19" spans="1:9" ht="15">
      <c r="A19" s="315"/>
      <c r="B19" s="316"/>
      <c r="C19" s="321"/>
      <c r="D19" s="300"/>
      <c r="E19" s="321"/>
      <c r="F19" s="321"/>
      <c r="G19" s="321"/>
      <c r="H19" s="321"/>
      <c r="I19" s="321"/>
    </row>
    <row r="20" spans="1:9" ht="15">
      <c r="A20" s="315">
        <v>7</v>
      </c>
      <c r="B20" s="300" t="s">
        <v>165</v>
      </c>
      <c r="C20" s="300"/>
      <c r="D20" s="300"/>
      <c r="E20" s="330"/>
      <c r="F20" s="300"/>
      <c r="G20" s="331">
        <v>3.2500000000000001E-2</v>
      </c>
      <c r="H20" s="332"/>
      <c r="I20" s="300"/>
    </row>
    <row r="21" spans="1:9" ht="15">
      <c r="A21" s="315">
        <v>8</v>
      </c>
      <c r="B21" s="300" t="s">
        <v>166</v>
      </c>
      <c r="C21" s="300"/>
      <c r="D21" s="300"/>
      <c r="E21" s="300"/>
      <c r="F21" s="300"/>
      <c r="G21" s="333">
        <f>G18*G20*2</f>
        <v>-223819.26244289987</v>
      </c>
      <c r="H21" s="300"/>
      <c r="I21" s="300"/>
    </row>
    <row r="22" spans="1:9" ht="15">
      <c r="A22" s="315"/>
      <c r="B22" s="300"/>
      <c r="C22" s="300"/>
      <c r="D22" s="300"/>
      <c r="E22" s="300"/>
      <c r="F22" s="300"/>
      <c r="G22" s="334"/>
      <c r="H22" s="300"/>
      <c r="I22" s="300"/>
    </row>
    <row r="23" spans="1:9" ht="15.75" thickBot="1">
      <c r="A23" s="315">
        <v>9</v>
      </c>
      <c r="B23" s="335" t="s">
        <v>167</v>
      </c>
      <c r="C23" s="300"/>
      <c r="D23" s="300"/>
      <c r="E23" s="300"/>
      <c r="F23" s="300"/>
      <c r="G23" s="336">
        <v>-3666538.335</v>
      </c>
      <c r="H23" s="300"/>
      <c r="I23" s="300"/>
    </row>
    <row r="24" spans="1:9" ht="15.75" thickTop="1">
      <c r="A24" s="321"/>
      <c r="B24" s="300"/>
      <c r="C24" s="300"/>
      <c r="D24" s="300"/>
      <c r="E24" s="300"/>
      <c r="F24" s="300"/>
      <c r="G24" s="300"/>
      <c r="H24" s="300"/>
      <c r="I24" s="300"/>
    </row>
    <row r="25" spans="1:9" ht="15.75">
      <c r="A25" s="300"/>
      <c r="B25" s="337"/>
      <c r="C25" s="300"/>
      <c r="D25" s="300"/>
      <c r="E25" s="338"/>
      <c r="F25" s="300"/>
      <c r="G25" s="300"/>
      <c r="H25" s="300"/>
      <c r="I25" s="300"/>
    </row>
    <row r="26" spans="1:9" ht="15.75">
      <c r="A26" s="300"/>
      <c r="B26" s="332"/>
      <c r="C26" s="338"/>
      <c r="D26" s="339"/>
      <c r="E26" s="338"/>
      <c r="F26" s="339"/>
      <c r="G26" s="300"/>
      <c r="H26" s="300"/>
      <c r="I26" s="300"/>
    </row>
    <row r="27" spans="1:9" ht="15.75">
      <c r="A27" s="300"/>
      <c r="B27" s="300"/>
      <c r="C27" s="338"/>
      <c r="D27" s="339"/>
      <c r="E27" s="338"/>
      <c r="F27" s="338"/>
      <c r="G27" s="300"/>
      <c r="H27" s="300"/>
      <c r="I27" s="300"/>
    </row>
    <row r="28" spans="1:9" ht="15.75">
      <c r="A28" s="300"/>
      <c r="B28" s="300"/>
      <c r="C28" s="338"/>
      <c r="D28" s="339"/>
      <c r="E28" s="300"/>
      <c r="F28" s="300"/>
      <c r="G28" s="300"/>
      <c r="H28" s="300"/>
      <c r="I28" s="3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Forward Rate TO Support Data PA</vt:lpstr>
      <vt:lpstr>CWIP &amp; Prefunded AFUDC- 2012 PA</vt:lpstr>
      <vt:lpstr>Project Descriptions TS</vt:lpstr>
      <vt:lpstr>Adjmt to Gross &amp; Net Plant TS</vt:lpstr>
      <vt:lpstr>2012 True Up Allocation</vt:lpstr>
      <vt:lpstr>'CWIP &amp; Prefunded AFUDC- 2012 PA'!Print_Area</vt:lpstr>
      <vt:lpstr>'Forward Rate TO Support Data PA'!Print_Area</vt:lpstr>
      <vt:lpstr>'Project Descriptions TS'!Print_Area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Jeanne Kallberg (MP)</cp:lastModifiedBy>
  <cp:lastPrinted>2013-05-30T13:55:06Z</cp:lastPrinted>
  <dcterms:created xsi:type="dcterms:W3CDTF">2010-03-30T20:52:42Z</dcterms:created>
  <dcterms:modified xsi:type="dcterms:W3CDTF">2014-01-16T15:56:22Z</dcterms:modified>
</cp:coreProperties>
</file>