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25" yWindow="6135" windowWidth="24840" windowHeight="6660"/>
  </bookViews>
  <sheets>
    <sheet name="MP Attach O" sheetId="3" r:id="rId1"/>
    <sheet name="MP Attach GG" sheetId="4" r:id="rId2"/>
  </sheets>
  <externalReferences>
    <externalReference r:id="rId3"/>
  </externalReferences>
  <definedNames>
    <definedName name="CH_COS">#REF!</definedName>
    <definedName name="NSP_COS">#REF!</definedName>
    <definedName name="_xlnm.Print_Area" localSheetId="0">'MP Attach O'!$A$1:$P$388</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45621"/>
</workbook>
</file>

<file path=xl/calcChain.xml><?xml version="1.0" encoding="utf-8"?>
<calcChain xmlns="http://schemas.openxmlformats.org/spreadsheetml/2006/main">
  <c r="J14" i="3" l="1"/>
  <c r="M14" i="3" l="1"/>
  <c r="E152" i="3" l="1"/>
  <c r="M80" i="4" l="1"/>
  <c r="L17" i="4" l="1"/>
  <c r="E87" i="3" l="1"/>
  <c r="E79" i="3" l="1"/>
  <c r="M90" i="4" l="1"/>
  <c r="G65" i="4"/>
  <c r="G63" i="4"/>
  <c r="N62" i="4"/>
  <c r="G62" i="4"/>
  <c r="C62" i="4"/>
  <c r="J191" i="3" l="1"/>
  <c r="M191" i="3" s="1"/>
  <c r="J100" i="3"/>
  <c r="P25" i="3" l="1"/>
  <c r="M25" i="3"/>
  <c r="J30" i="3" l="1"/>
  <c r="J299" i="3" l="1"/>
  <c r="J108" i="3" l="1"/>
  <c r="U222" i="3"/>
  <c r="U228" i="3"/>
  <c r="J150" i="3"/>
  <c r="M150" i="3" s="1"/>
  <c r="J151" i="3"/>
  <c r="M151" i="3" s="1"/>
  <c r="E111" i="3"/>
  <c r="P320" i="3"/>
  <c r="J202" i="3"/>
  <c r="J205" i="3" s="1"/>
  <c r="J109" i="3"/>
  <c r="M109" i="3" s="1"/>
  <c r="H229" i="3"/>
  <c r="H231" i="3"/>
  <c r="H232" i="3"/>
  <c r="E233" i="3"/>
  <c r="E81" i="3"/>
  <c r="E262" i="3" s="1"/>
  <c r="E265" i="3" s="1"/>
  <c r="H262" i="3" s="1"/>
  <c r="E92" i="3"/>
  <c r="E93" i="3"/>
  <c r="E94" i="3"/>
  <c r="E95" i="3"/>
  <c r="E96" i="3"/>
  <c r="E169" i="3"/>
  <c r="E173" i="3" s="1"/>
  <c r="E177" i="3" s="1"/>
  <c r="J219" i="3"/>
  <c r="J221" i="3" s="1"/>
  <c r="J138" i="3"/>
  <c r="M138" i="3" s="1"/>
  <c r="J145" i="3"/>
  <c r="M145" i="3" s="1"/>
  <c r="J276" i="3"/>
  <c r="E281" i="3" s="1"/>
  <c r="E282" i="3" s="1"/>
  <c r="H280" i="3"/>
  <c r="J33" i="3"/>
  <c r="E211" i="3"/>
  <c r="P93" i="3"/>
  <c r="L18" i="4" s="1"/>
  <c r="E13" i="3"/>
  <c r="E14" i="3"/>
  <c r="G14" i="3"/>
  <c r="G15" i="3" s="1"/>
  <c r="G16" i="3" s="1"/>
  <c r="M21" i="3"/>
  <c r="P21" i="3"/>
  <c r="M28" i="3"/>
  <c r="P28" i="3"/>
  <c r="J37" i="3"/>
  <c r="M38" i="3"/>
  <c r="M39" i="3"/>
  <c r="J41" i="3"/>
  <c r="M42" i="3"/>
  <c r="M43" i="3"/>
  <c r="P44" i="3"/>
  <c r="J60" i="3"/>
  <c r="J61" i="3"/>
  <c r="P67" i="3"/>
  <c r="E69" i="3"/>
  <c r="C84" i="3"/>
  <c r="C92" i="3" s="1"/>
  <c r="G84" i="3"/>
  <c r="G103" i="3" s="1"/>
  <c r="G162" i="3" s="1"/>
  <c r="H84" i="3"/>
  <c r="C85" i="3"/>
  <c r="C93" i="3" s="1"/>
  <c r="G85" i="3"/>
  <c r="G113" i="3" s="1"/>
  <c r="C86" i="3"/>
  <c r="C94" i="3" s="1"/>
  <c r="G86" i="3"/>
  <c r="H86" i="3"/>
  <c r="C87" i="3"/>
  <c r="C95" i="3" s="1"/>
  <c r="G87" i="3"/>
  <c r="C88" i="3"/>
  <c r="C96" i="3" s="1"/>
  <c r="G88" i="3"/>
  <c r="E89" i="3"/>
  <c r="G106" i="3"/>
  <c r="E146" i="3"/>
  <c r="E116" i="3" s="1"/>
  <c r="E119" i="3" s="1"/>
  <c r="P128" i="3"/>
  <c r="E131" i="3"/>
  <c r="G141" i="3"/>
  <c r="G142" i="3" s="1"/>
  <c r="G143" i="3"/>
  <c r="C149" i="3"/>
  <c r="C153" i="3"/>
  <c r="E154" i="3"/>
  <c r="D159" i="3"/>
  <c r="G159" i="3"/>
  <c r="D163" i="3"/>
  <c r="G163" i="3"/>
  <c r="E165" i="3"/>
  <c r="P195" i="3"/>
  <c r="E197" i="3"/>
  <c r="P257" i="3"/>
  <c r="E258" i="3"/>
  <c r="J260" i="3"/>
  <c r="J290" i="3"/>
  <c r="E320" i="3"/>
  <c r="M100" i="3"/>
  <c r="J21" i="3" l="1"/>
  <c r="M108" i="3"/>
  <c r="J28" i="3"/>
  <c r="J207" i="3"/>
  <c r="J224" i="3" s="1"/>
  <c r="U229" i="3"/>
  <c r="J44" i="3"/>
  <c r="J223" i="3"/>
  <c r="M44" i="3"/>
  <c r="E97" i="3"/>
  <c r="E121" i="3" s="1"/>
  <c r="F280" i="3"/>
  <c r="J280" i="3" s="1"/>
  <c r="F279" i="3"/>
  <c r="J279" i="3" s="1"/>
  <c r="F281" i="3"/>
  <c r="J281" i="3" s="1"/>
  <c r="H77" i="3" l="1"/>
  <c r="J225" i="3"/>
  <c r="H137" i="3" s="1"/>
  <c r="F230" i="3"/>
  <c r="H230" i="3" s="1"/>
  <c r="H233" i="3" s="1"/>
  <c r="J233" i="3" s="1"/>
  <c r="H79" i="3" s="1"/>
  <c r="H13" i="3"/>
  <c r="H14" i="3" s="1"/>
  <c r="J282" i="3"/>
  <c r="H85" i="3" l="1"/>
  <c r="J77" i="3"/>
  <c r="H139" i="3"/>
  <c r="J139" i="3" s="1"/>
  <c r="M139" i="3" s="1"/>
  <c r="H117" i="3"/>
  <c r="J117" i="3" s="1"/>
  <c r="J13" i="3"/>
  <c r="M13" i="3" s="1"/>
  <c r="J137" i="3"/>
  <c r="M137" i="3" s="1"/>
  <c r="H143" i="3"/>
  <c r="J143" i="3" s="1"/>
  <c r="M143" i="3" s="1"/>
  <c r="J262" i="3"/>
  <c r="L262" i="3" s="1"/>
  <c r="H80" i="3" s="1"/>
  <c r="J80" i="3" s="1"/>
  <c r="E180" i="3"/>
  <c r="E170" i="3"/>
  <c r="H113" i="3"/>
  <c r="J85" i="3"/>
  <c r="H15" i="3"/>
  <c r="J79" i="3"/>
  <c r="H87" i="3"/>
  <c r="P17" i="3" l="1"/>
  <c r="M77" i="3"/>
  <c r="H17" i="4" s="1"/>
  <c r="F17" i="4"/>
  <c r="E209" i="3"/>
  <c r="J211" i="3" s="1"/>
  <c r="P117" i="3" s="1"/>
  <c r="M117" i="3" s="1"/>
  <c r="J93" i="3"/>
  <c r="F18" i="4" s="1"/>
  <c r="H88" i="3"/>
  <c r="J88" i="3" s="1"/>
  <c r="H140" i="3"/>
  <c r="J87" i="3"/>
  <c r="M85" i="3"/>
  <c r="E176" i="3"/>
  <c r="E178" i="3" s="1"/>
  <c r="E183" i="3" s="1"/>
  <c r="J15" i="3"/>
  <c r="M15" i="3" s="1"/>
  <c r="H16" i="3"/>
  <c r="J16" i="3" s="1"/>
  <c r="M16" i="3" s="1"/>
  <c r="H149" i="3"/>
  <c r="J149" i="3" s="1"/>
  <c r="J113" i="3"/>
  <c r="M113" i="3" s="1"/>
  <c r="J81" i="3"/>
  <c r="H81" i="3" s="1"/>
  <c r="E210" i="3" l="1"/>
  <c r="M17" i="3"/>
  <c r="J210" i="3"/>
  <c r="P80" i="3"/>
  <c r="M80" i="3" s="1"/>
  <c r="P79" i="3"/>
  <c r="M79" i="3" s="1"/>
  <c r="H144" i="3"/>
  <c r="J144" i="3" s="1"/>
  <c r="P87" i="3"/>
  <c r="P95" i="3" s="1"/>
  <c r="J96" i="3"/>
  <c r="P88" i="3"/>
  <c r="M88" i="3" s="1"/>
  <c r="J89" i="3"/>
  <c r="H118" i="3"/>
  <c r="J118" i="3" s="1"/>
  <c r="H161" i="3"/>
  <c r="M149" i="3"/>
  <c r="H152" i="3"/>
  <c r="H141" i="3"/>
  <c r="J140" i="3"/>
  <c r="M93" i="3"/>
  <c r="H18" i="4" s="1"/>
  <c r="J95" i="3"/>
  <c r="J17" i="3"/>
  <c r="M81" i="3" l="1"/>
  <c r="P81" i="3"/>
  <c r="H153" i="3"/>
  <c r="J153" i="3" s="1"/>
  <c r="P153" i="3" s="1"/>
  <c r="J97" i="3"/>
  <c r="E213" i="3" s="1"/>
  <c r="P89" i="3"/>
  <c r="M87" i="3"/>
  <c r="P140" i="3"/>
  <c r="P96" i="3"/>
  <c r="P97" i="3" s="1"/>
  <c r="E215" i="3" s="1"/>
  <c r="M144" i="3"/>
  <c r="P118" i="3"/>
  <c r="J141" i="3"/>
  <c r="H142" i="3"/>
  <c r="J142" i="3" s="1"/>
  <c r="H164" i="3"/>
  <c r="J164" i="3" s="1"/>
  <c r="H163" i="3"/>
  <c r="J163" i="3" s="1"/>
  <c r="P163" i="3" s="1"/>
  <c r="J161" i="3"/>
  <c r="J152" i="3"/>
  <c r="F27" i="4" s="1"/>
  <c r="F28" i="4" s="1"/>
  <c r="H158" i="3"/>
  <c r="H97" i="3" l="1"/>
  <c r="H177" i="3" s="1"/>
  <c r="J177" i="3" s="1"/>
  <c r="M177" i="3" s="1"/>
  <c r="M95" i="3"/>
  <c r="M97" i="3" s="1"/>
  <c r="E214" i="3" s="1"/>
  <c r="J214" i="3" s="1"/>
  <c r="M89" i="3"/>
  <c r="J154" i="3"/>
  <c r="P152" i="3"/>
  <c r="P141" i="3"/>
  <c r="M140" i="3"/>
  <c r="P142" i="3"/>
  <c r="M142" i="3" s="1"/>
  <c r="M163" i="3"/>
  <c r="P164" i="3"/>
  <c r="M161" i="3"/>
  <c r="M118" i="3"/>
  <c r="M153" i="3"/>
  <c r="J215" i="3"/>
  <c r="J146" i="3"/>
  <c r="J158" i="3"/>
  <c r="H159" i="3"/>
  <c r="J159" i="3" s="1"/>
  <c r="M152" i="3" l="1"/>
  <c r="H27" i="4" s="1"/>
  <c r="H28" i="4" s="1"/>
  <c r="J28" i="4" s="1"/>
  <c r="L27" i="4"/>
  <c r="L28" i="4" s="1"/>
  <c r="N28" i="4" s="1"/>
  <c r="J116" i="3"/>
  <c r="J119" i="3" s="1"/>
  <c r="F22" i="4"/>
  <c r="F23" i="4" s="1"/>
  <c r="H104" i="3"/>
  <c r="J104" i="3" s="1"/>
  <c r="P146" i="3"/>
  <c r="M141" i="3"/>
  <c r="M146" i="3" s="1"/>
  <c r="M154" i="3"/>
  <c r="P158" i="3"/>
  <c r="M158" i="3" s="1"/>
  <c r="P154" i="3"/>
  <c r="M164" i="3"/>
  <c r="J165" i="3"/>
  <c r="F32" i="4" s="1"/>
  <c r="F33" i="4" s="1"/>
  <c r="F36" i="4" l="1"/>
  <c r="P116" i="3"/>
  <c r="P119" i="3" s="1"/>
  <c r="L22" i="4"/>
  <c r="M116" i="3"/>
  <c r="M119" i="3" s="1"/>
  <c r="H22" i="4"/>
  <c r="H105" i="3"/>
  <c r="H106" i="3" s="1"/>
  <c r="J106" i="3" s="1"/>
  <c r="P165" i="3"/>
  <c r="L32" i="4" s="1"/>
  <c r="L33" i="4" s="1"/>
  <c r="M165" i="3"/>
  <c r="H32" i="4" s="1"/>
  <c r="H33" i="4" s="1"/>
  <c r="P104" i="3"/>
  <c r="M104" i="3" s="1"/>
  <c r="H23" i="4" l="1"/>
  <c r="H36" i="4" s="1"/>
  <c r="F79" i="4" s="1"/>
  <c r="G79" i="4" s="1"/>
  <c r="L23" i="4"/>
  <c r="L36" i="4" s="1"/>
  <c r="J33" i="4"/>
  <c r="N33" i="4"/>
  <c r="H107" i="3"/>
  <c r="J107" i="3" s="1"/>
  <c r="P107" i="3" s="1"/>
  <c r="M107" i="3" s="1"/>
  <c r="J105" i="3"/>
  <c r="P105" i="3" s="1"/>
  <c r="P106" i="3"/>
  <c r="M106" i="3" s="1"/>
  <c r="J36" i="4" l="1"/>
  <c r="F78" i="4"/>
  <c r="G78" i="4" s="1"/>
  <c r="N23" i="4"/>
  <c r="J23" i="4"/>
  <c r="N36" i="4"/>
  <c r="F85" i="4"/>
  <c r="G85" i="4" s="1"/>
  <c r="F86" i="4"/>
  <c r="G86" i="4" s="1"/>
  <c r="F87" i="4"/>
  <c r="G87" i="4" s="1"/>
  <c r="F74" i="4"/>
  <c r="G74" i="4" s="1"/>
  <c r="F77" i="4"/>
  <c r="G77" i="4" s="1"/>
  <c r="F75" i="4"/>
  <c r="G75" i="4" s="1"/>
  <c r="F73" i="4"/>
  <c r="G73" i="4" s="1"/>
  <c r="F76" i="4"/>
  <c r="G76" i="4" s="1"/>
  <c r="J111" i="3"/>
  <c r="J121" i="3" s="1"/>
  <c r="J180" i="3" s="1"/>
  <c r="P111" i="3"/>
  <c r="P121" i="3" s="1"/>
  <c r="P180" i="3" s="1"/>
  <c r="M105" i="3"/>
  <c r="M111" i="3" s="1"/>
  <c r="M121" i="3" s="1"/>
  <c r="M180" i="3" s="1"/>
  <c r="P176" i="3" l="1"/>
  <c r="P178" i="3" s="1"/>
  <c r="L45" i="4"/>
  <c r="J176" i="3"/>
  <c r="J178" i="3" s="1"/>
  <c r="F40" i="4" s="1"/>
  <c r="F41" i="4" s="1"/>
  <c r="F45" i="4"/>
  <c r="F46" i="4" s="1"/>
  <c r="M176" i="3"/>
  <c r="M178" i="3" s="1"/>
  <c r="H45" i="4"/>
  <c r="L46" i="4" l="1"/>
  <c r="N46" i="4" s="1"/>
  <c r="H46" i="4"/>
  <c r="J46" i="4" s="1"/>
  <c r="J183" i="3"/>
  <c r="P183" i="3"/>
  <c r="P192" i="3" s="1"/>
  <c r="P9" i="3" s="1"/>
  <c r="P32" i="3" s="1"/>
  <c r="P34" i="3" s="1"/>
  <c r="P46" i="3" s="1"/>
  <c r="L40" i="4"/>
  <c r="L41" i="4" s="1"/>
  <c r="M183" i="3"/>
  <c r="H40" i="4"/>
  <c r="H41" i="4" s="1"/>
  <c r="H49" i="4" l="1"/>
  <c r="I79" i="4" s="1"/>
  <c r="J79" i="4" s="1"/>
  <c r="L79" i="4" s="1"/>
  <c r="N79" i="4" s="1"/>
  <c r="L49" i="4"/>
  <c r="P51" i="3"/>
  <c r="P56" i="3"/>
  <c r="P52" i="3"/>
  <c r="P57" i="3"/>
  <c r="P47" i="3"/>
  <c r="P48" i="3"/>
  <c r="N41" i="4"/>
  <c r="J41" i="4"/>
  <c r="J49" i="4" l="1"/>
  <c r="I78" i="4"/>
  <c r="J78" i="4" s="1"/>
  <c r="L78" i="4" s="1"/>
  <c r="N78" i="4" s="1"/>
  <c r="I73" i="4"/>
  <c r="J73" i="4" s="1"/>
  <c r="L73" i="4" s="1"/>
  <c r="I86" i="4"/>
  <c r="J86" i="4" s="1"/>
  <c r="L86" i="4" s="1"/>
  <c r="N86" i="4" s="1"/>
  <c r="I85" i="4"/>
  <c r="J85" i="4" s="1"/>
  <c r="L85" i="4" s="1"/>
  <c r="I87" i="4"/>
  <c r="J87" i="4" s="1"/>
  <c r="L87" i="4" s="1"/>
  <c r="N87" i="4" s="1"/>
  <c r="I77" i="4"/>
  <c r="I74" i="4"/>
  <c r="I76" i="4"/>
  <c r="I75" i="4"/>
  <c r="J75" i="4" l="1"/>
  <c r="L75" i="4" s="1"/>
  <c r="N75" i="4" s="1"/>
  <c r="J76" i="4"/>
  <c r="L76" i="4" s="1"/>
  <c r="N76" i="4" s="1"/>
  <c r="J74" i="4"/>
  <c r="L74" i="4" s="1"/>
  <c r="J77" i="4"/>
  <c r="L77" i="4" s="1"/>
  <c r="N77" i="4" s="1"/>
  <c r="N85" i="4"/>
  <c r="N90" i="4" s="1"/>
  <c r="L90" i="4"/>
  <c r="N73" i="4"/>
  <c r="L80" i="4" l="1"/>
  <c r="N74" i="4"/>
  <c r="N80" i="4" l="1"/>
  <c r="N92" i="4" s="1"/>
  <c r="L92" i="4"/>
  <c r="E187" i="3"/>
  <c r="J187" i="3" l="1"/>
  <c r="E192" i="3"/>
  <c r="M187" i="3" l="1"/>
  <c r="M192" i="3" s="1"/>
  <c r="M9" i="3" s="1"/>
  <c r="M32" i="3" s="1"/>
  <c r="M34" i="3" s="1"/>
  <c r="M46" i="3" s="1"/>
  <c r="J192" i="3"/>
  <c r="J9" i="3" s="1"/>
  <c r="J32" i="3" s="1"/>
  <c r="J34" i="3" s="1"/>
  <c r="M51" i="3" l="1"/>
  <c r="M56" i="3"/>
  <c r="M52" i="3"/>
  <c r="M57" i="3"/>
  <c r="M48" i="3"/>
  <c r="M47" i="3"/>
</calcChain>
</file>

<file path=xl/sharedStrings.xml><?xml version="1.0" encoding="utf-8"?>
<sst xmlns="http://schemas.openxmlformats.org/spreadsheetml/2006/main" count="848" uniqueCount="567">
  <si>
    <t xml:space="preserve">     Rate Formula Template</t>
  </si>
  <si>
    <t>Line</t>
  </si>
  <si>
    <t>No.</t>
  </si>
  <si>
    <t xml:space="preserve"> </t>
  </si>
  <si>
    <t>Allocator</t>
  </si>
  <si>
    <t>(Note C)</t>
  </si>
  <si>
    <t>(Note D)</t>
  </si>
  <si>
    <t>(1)</t>
  </si>
  <si>
    <t>(2)</t>
  </si>
  <si>
    <t>(3)</t>
  </si>
  <si>
    <t>(4)</t>
  </si>
  <si>
    <t>Transmission</t>
  </si>
  <si>
    <t>Page, Line, Col.</t>
  </si>
  <si>
    <t>1a</t>
  </si>
  <si>
    <t>Total Income Taxes</t>
  </si>
  <si>
    <t xml:space="preserve">RETURN </t>
  </si>
  <si>
    <t>Note</t>
  </si>
  <si>
    <t>Letter</t>
  </si>
  <si>
    <t>A</t>
  </si>
  <si>
    <t>B</t>
  </si>
  <si>
    <t>C</t>
  </si>
  <si>
    <t>D</t>
  </si>
  <si>
    <t>E</t>
  </si>
  <si>
    <t>F</t>
  </si>
  <si>
    <t>G</t>
  </si>
  <si>
    <t>Page 1 of 6</t>
  </si>
  <si>
    <t xml:space="preserve">Formula Rate - Non-Levelized </t>
  </si>
  <si>
    <t xml:space="preserve"> Utilizing FERC Form 1 Data</t>
  </si>
  <si>
    <t>Allete, Inc. dba Minnesota Power</t>
  </si>
  <si>
    <t>AC Allocator</t>
  </si>
  <si>
    <t>AC System</t>
  </si>
  <si>
    <t>DC Allocator</t>
  </si>
  <si>
    <t>DC System</t>
  </si>
  <si>
    <t>Allocated</t>
  </si>
  <si>
    <t>Amount</t>
  </si>
  <si>
    <t>GROSS REVENUE REQUIREMENT    (page 3, line 31)</t>
  </si>
  <si>
    <t xml:space="preserve">REVENUE CREDITS </t>
  </si>
  <si>
    <t>(Note T)</t>
  </si>
  <si>
    <t>Total</t>
  </si>
  <si>
    <t xml:space="preserve">  Account No. 454</t>
  </si>
  <si>
    <t>(page 5, line 18)</t>
  </si>
  <si>
    <t>TP</t>
  </si>
  <si>
    <t>DA</t>
  </si>
  <si>
    <t xml:space="preserve">  Account No. 456.1</t>
  </si>
  <si>
    <t>(page 5, line 21)</t>
  </si>
  <si>
    <t xml:space="preserve">  Revenues from Grandfathered Interzonal Transactions</t>
  </si>
  <si>
    <t xml:space="preserve">  Revenues from service provided by the ISO at a discount</t>
  </si>
  <si>
    <t>TOTAL REVENUE CREDITS  (sum lines 2-5)</t>
  </si>
  <si>
    <t>6a</t>
  </si>
  <si>
    <t>Historic Year Actual Revenue Requirements</t>
  </si>
  <si>
    <t>6b</t>
  </si>
  <si>
    <t>Historic Year Projected Revenue Requirements</t>
  </si>
  <si>
    <t>6c</t>
  </si>
  <si>
    <t>Historic Year True Up</t>
  </si>
  <si>
    <t>(Line 6a-Line 6b)</t>
  </si>
  <si>
    <t xml:space="preserve">6d </t>
  </si>
  <si>
    <t>Historic Year Actual Divisor</t>
  </si>
  <si>
    <t>6e</t>
  </si>
  <si>
    <t>Historic Year Projected Divisor</t>
  </si>
  <si>
    <t>6f</t>
  </si>
  <si>
    <t>Difference in Divisor</t>
  </si>
  <si>
    <t>(Line 6e-Line 6d)</t>
  </si>
  <si>
    <t>6g</t>
  </si>
  <si>
    <t>Historic Year Projected Annual Cost ($/KW/Yr)</t>
  </si>
  <si>
    <t>6h</t>
  </si>
  <si>
    <t>Historic Year Divisor True Up</t>
  </si>
  <si>
    <t>(Line 6f * Line 6g)</t>
  </si>
  <si>
    <t>6i</t>
  </si>
  <si>
    <t>Interest on Historic Year True Up</t>
  </si>
  <si>
    <t>NET REVENUE REQUIREMENT</t>
  </si>
  <si>
    <t>7a</t>
  </si>
  <si>
    <t>Revenue Requirements from Attachment N-1 Projects</t>
  </si>
  <si>
    <t>7b</t>
  </si>
  <si>
    <t>Adjusted NET REVENUE REQUIREMENTS  (line 7 minus line 7a)</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</si>
  <si>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</si>
  <si>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</si>
  <si>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</si>
  <si>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</si>
  <si>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</si>
  <si>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</si>
  <si>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 xml:space="preserve">  Less 12 CP of firm P-T-P over one year (enter negative)</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</si>
  <si>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</si>
  <si>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</si>
  <si>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</si>
  <si>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</si>
  <si>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</si>
  <si>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7b / line 15)</t>
  </si>
  <si>
    <t xml:space="preserve">Network &amp; P-to-P Rate ($/kW/Mo) </t>
  </si>
  <si>
    <t>(line 16 /12)</t>
  </si>
  <si>
    <t>Point-To-Point Rate ($/kW/Wk)</t>
  </si>
  <si>
    <t>(line 16 /52)</t>
  </si>
  <si>
    <t>Peak Rate</t>
  </si>
  <si>
    <t>Point-To-Point Rate ($/kW/Day)</t>
  </si>
  <si>
    <t>(line 16 / 260)</t>
  </si>
  <si>
    <t>Capped at weekly rate</t>
  </si>
  <si>
    <t>Point-To-Point Rate ($/MWh)</t>
  </si>
  <si>
    <t>(line 16/4160*1000)</t>
  </si>
  <si>
    <t>Capped at weekly</t>
  </si>
  <si>
    <t>and daily rates</t>
  </si>
  <si>
    <t>Off-Peak Rate</t>
  </si>
  <si>
    <t>(line 16/365)   (Note AA)</t>
  </si>
  <si>
    <t>(line 16 / 8760</t>
  </si>
  <si>
    <t xml:space="preserve"> times 1,000)    (Note AA)</t>
  </si>
  <si>
    <t>FERC Annual Charge($/MWh)</t>
  </si>
  <si>
    <t xml:space="preserve">          (Note E)</t>
  </si>
  <si>
    <t>Short Term</t>
  </si>
  <si>
    <t>Long Term</t>
  </si>
  <si>
    <t>Page 2 of 6</t>
  </si>
  <si>
    <t>(5)</t>
  </si>
  <si>
    <t>(6)</t>
  </si>
  <si>
    <t>(7)</t>
  </si>
  <si>
    <t>(8)</t>
  </si>
  <si>
    <t>(9)</t>
  </si>
  <si>
    <t>Form No. 1</t>
  </si>
  <si>
    <t>AC</t>
  </si>
  <si>
    <t>DC</t>
  </si>
  <si>
    <t>Company Total</t>
  </si>
  <si>
    <t xml:space="preserve">                  Allocator</t>
  </si>
  <si>
    <t>(Col 3 times Col 4)</t>
  </si>
  <si>
    <t>(Col 5 times Col 6)</t>
  </si>
  <si>
    <t>(Col 5 times Col 8)</t>
  </si>
  <si>
    <t>RATE BASE:</t>
  </si>
  <si>
    <t xml:space="preserve">  Production</t>
  </si>
  <si>
    <t>205.46.g             (Note AB)</t>
  </si>
  <si>
    <t>NA</t>
  </si>
  <si>
    <t xml:space="preserve">  Transmission</t>
  </si>
  <si>
    <t>207.58.g             (Note Y)  (Note AB)</t>
  </si>
  <si>
    <t xml:space="preserve">  Distribution</t>
  </si>
  <si>
    <t>207.75.g             (Note AB)</t>
  </si>
  <si>
    <t xml:space="preserve">  General &amp; Intangible</t>
  </si>
  <si>
    <t>205.5.g &amp; 207.99.g    (Note AB)</t>
  </si>
  <si>
    <t>W/S</t>
  </si>
  <si>
    <t>GrPlt  AC</t>
  </si>
  <si>
    <t>GrPlt DC</t>
  </si>
  <si>
    <t xml:space="preserve">  Common</t>
  </si>
  <si>
    <t>356.1                 (Note AB)</t>
  </si>
  <si>
    <t>CE</t>
  </si>
  <si>
    <t>TOTAL GROSS PLANT (sum lines 1-5)</t>
  </si>
  <si>
    <t>GP=</t>
  </si>
  <si>
    <t>219.20-24.c        (Note AB)</t>
  </si>
  <si>
    <t>219.25.c             (Note Y)  (Note AB)</t>
  </si>
  <si>
    <t>219.26.c             (Note AB)</t>
  </si>
  <si>
    <t>GrPlt AC</t>
  </si>
  <si>
    <t>TOTAL ACCUM. DEPRECIATION (sum lines 7-11)</t>
  </si>
  <si>
    <t>NET PLANT IN SERVICE</t>
  </si>
  <si>
    <t xml:space="preserve"> (line 1- line 7)          </t>
  </si>
  <si>
    <t xml:space="preserve"> (line 2- line 8)         </t>
  </si>
  <si>
    <t xml:space="preserve"> (line 3 - line 9)        </t>
  </si>
  <si>
    <t xml:space="preserve"> (line 4 - line 10)      </t>
  </si>
  <si>
    <t xml:space="preserve"> (line 5 - line 11)       </t>
  </si>
  <si>
    <t>TOTAL NET PLANT (sum lines 13-17)</t>
  </si>
  <si>
    <t>NP=</t>
  </si>
  <si>
    <t>ADJUSTMENTS TO RATE BASE       (Note F)</t>
  </si>
  <si>
    <t xml:space="preserve">  Account No. 281 (enter negative)</t>
  </si>
  <si>
    <t>273.8.k    (Note AC)</t>
  </si>
  <si>
    <t>zero</t>
  </si>
  <si>
    <t xml:space="preserve">  Account No. 282 (enter negative)</t>
  </si>
  <si>
    <t>275.2.k    (Note AC)</t>
  </si>
  <si>
    <t>NP</t>
  </si>
  <si>
    <t>NPlt AC</t>
  </si>
  <si>
    <t>NPlt DC</t>
  </si>
  <si>
    <t xml:space="preserve">  Account No. 283 (enter negative)</t>
  </si>
  <si>
    <t>277.9.k    (Note AC)</t>
  </si>
  <si>
    <t xml:space="preserve">  Account No. 190 </t>
  </si>
  <si>
    <t>234.8.c    (Note AC)</t>
  </si>
  <si>
    <t xml:space="preserve">  Account No. 255 (enter negative)</t>
  </si>
  <si>
    <t>267.8.h    (Note AC)</t>
  </si>
  <si>
    <t>TOTAL ADJUSTMENTS  (sum lines 19- 23)</t>
  </si>
  <si>
    <t xml:space="preserve">LAND HELD FOR FUTURE USE </t>
  </si>
  <si>
    <t>214.x.d  (Notes G ,Y and AC)</t>
  </si>
  <si>
    <t>WORKING CAPITAL  (Note H)</t>
  </si>
  <si>
    <t xml:space="preserve">  CWC  </t>
  </si>
  <si>
    <t>calculated</t>
  </si>
  <si>
    <t xml:space="preserve">  Materials &amp; Supplies  (Note G)</t>
  </si>
  <si>
    <t>227.8.c &amp; .16.c    (Note AC)</t>
  </si>
  <si>
    <t>TE</t>
  </si>
  <si>
    <t xml:space="preserve">  Prepayments (Account 165)</t>
  </si>
  <si>
    <t>111.57.c               (Note AC)</t>
  </si>
  <si>
    <t>GP</t>
  </si>
  <si>
    <t>TOTAL WORKING CAPITAL (sum lines 26 - 28)</t>
  </si>
  <si>
    <t>Page 3 of 6</t>
  </si>
  <si>
    <t xml:space="preserve">  Transmission </t>
  </si>
  <si>
    <t>321.112.b    (Note Y)</t>
  </si>
  <si>
    <t xml:space="preserve">     Less LSE Expenses included in Transmission O&amp;M Accounts (Notes V and Y)</t>
  </si>
  <si>
    <t xml:space="preserve">     Less Account 565</t>
  </si>
  <si>
    <t>321.96.b   (Note Y)</t>
  </si>
  <si>
    <t xml:space="preserve">  A&amp;G</t>
  </si>
  <si>
    <t>323.197.b</t>
  </si>
  <si>
    <t xml:space="preserve">     Less FERC Annual Fees</t>
  </si>
  <si>
    <t xml:space="preserve">     Less EPRI &amp; Reg. Comm. Exp. &amp; Non-safety  Ad. (Note I)</t>
  </si>
  <si>
    <t>5a</t>
  </si>
  <si>
    <t xml:space="preserve">     Plus Transmission Related Reg. Comm.  Exp. (Notes I and Y)</t>
  </si>
  <si>
    <t>356.1   (Note Y)</t>
  </si>
  <si>
    <t>TOTAL O&amp;M  (sum lines 1, 3, 5a, 6, 7 less lines 1a, 2, 4, 5)</t>
  </si>
  <si>
    <t>336.7.b             (Note Y and Z)</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</si>
  <si>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</si>
  <si>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</si>
  <si>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</si>
  <si>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</si>
  <si>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</si>
  <si>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</si>
  <si>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</si>
  <si>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</si>
  <si>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</si>
  <si>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263.i       (Note Y)    </t>
  </si>
  <si>
    <t xml:space="preserve">         Gross Receipts</t>
  </si>
  <si>
    <t xml:space="preserve">263.i   </t>
  </si>
  <si>
    <t xml:space="preserve">         Other</t>
  </si>
  <si>
    <t xml:space="preserve">         Payments in lieu of taxes</t>
  </si>
  <si>
    <t>TOTAL OTHER TAXES  (sum lines 13 - 19)</t>
  </si>
  <si>
    <t xml:space="preserve">  </t>
  </si>
  <si>
    <t xml:space="preserve">INCOME TAXES          </t>
  </si>
  <si>
    <t xml:space="preserve"> (Note K)</t>
  </si>
  <si>
    <t xml:space="preserve">     T=1 - {[(1 - SIT) * (1 - FIT)] / (1 - SIT * FIT * p)} =</t>
  </si>
  <si>
    <t xml:space="preserve">     CIT=(T/1-T) * (1-(WCLTD/R)) =</t>
  </si>
  <si>
    <t xml:space="preserve">       where WCLTD=(page 5 , line 11) and R= (page 5, line 14)</t>
  </si>
  <si>
    <t xml:space="preserve">       and FIT, SIT &amp; p are as given in footnote K.</t>
  </si>
  <si>
    <t xml:space="preserve">      1 / (1 - T)  = (from line 21)</t>
  </si>
  <si>
    <t>Amortized Investment Tax Credit (266.8f) (enter negative)</t>
  </si>
  <si>
    <t>Income Tax Calculation = line 22 * line 28</t>
  </si>
  <si>
    <t>ITC adjustment (line 23 * line 24)</t>
  </si>
  <si>
    <t xml:space="preserve"> (Note Y)</t>
  </si>
  <si>
    <t>(line 25 plus line 26)</t>
  </si>
  <si>
    <t xml:space="preserve">  [ Rate Base (page 2, line 30) * Rate of Return (page 5, line 14)]</t>
  </si>
  <si>
    <t>REV. REQUIREMENT  (sum lines 8, 12, 20, 27, 28)</t>
  </si>
  <si>
    <t>LESS ATTACHMENT GG ADJUSTMENT [Attachment GG, page 2, line 3, column 10]   (Note W)</t>
  </si>
  <si>
    <t>included in Attachment GG]</t>
  </si>
  <si>
    <t>REV. REQUIREMENT TO BE COLLECTED UNDER ATTACHMENT O</t>
  </si>
  <si>
    <t>Page 4 of 6</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</si>
  <si>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</si>
  <si>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</si>
  <si>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</si>
  <si>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</si>
  <si>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</si>
  <si>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</si>
  <si>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</si>
  <si>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</si>
  <si>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Total Allocated Transmission Plant ( page 2, line 2, Column 5)</t>
  </si>
  <si>
    <t>Amount Directly Assigned to the MP AC System (page 2, line 2, Column 7)</t>
  </si>
  <si>
    <t>GrPlt AC =</t>
  </si>
  <si>
    <t>Amount Directly Assigned to the MP DC System (page 2, line 2, Column 9)</t>
  </si>
  <si>
    <t>GrPlt DC=</t>
  </si>
  <si>
    <t>Total Allocated Net Transmission Plant ( page 2, line 18, Column 5)</t>
  </si>
  <si>
    <t>Amount Directly Assigned to the MP AC System (page 2, line 18, Column 7)</t>
  </si>
  <si>
    <t>NPlt AC =</t>
  </si>
  <si>
    <t>Amount Directly Assigned to the MP DC System (page 2, line 18 Column 9)</t>
  </si>
  <si>
    <t>NPlt DC=</t>
  </si>
  <si>
    <t xml:space="preserve">TRANSMISSION EXPENSES </t>
  </si>
  <si>
    <t>Total transmission expenses    (page 3, line 1, column 3)</t>
  </si>
  <si>
    <t>Less transmission expenses included in OATT Ancillary Services   (Note L)</t>
  </si>
  <si>
    <t>Included transmission expenses (line 12 less line 13)</t>
  </si>
  <si>
    <t>Percentage of transmission expenses after adjustment (line 14 divided by line 12)</t>
  </si>
  <si>
    <t>Percentage of transmission plant included in ISO Rates (line 5)</t>
  </si>
  <si>
    <t>TE=</t>
  </si>
  <si>
    <t>WAGES &amp; SALARY ALLOCATOR   (W&amp;S)</t>
  </si>
  <si>
    <t>Form 1 Reference</t>
  </si>
  <si>
    <t>$</t>
  </si>
  <si>
    <t>Allocation</t>
  </si>
  <si>
    <t>354.20.b</t>
  </si>
  <si>
    <t>354.21.b</t>
  </si>
  <si>
    <t>354.23.b</t>
  </si>
  <si>
    <t>W&amp;S Allocator</t>
  </si>
  <si>
    <t xml:space="preserve">  Other</t>
  </si>
  <si>
    <t>354.24,25,26.b</t>
  </si>
  <si>
    <t>($ / Allocation)</t>
  </si>
  <si>
    <t xml:space="preserve">  Total  (sum lines 18-21)</t>
  </si>
  <si>
    <t>=</t>
  </si>
  <si>
    <t>=WS</t>
  </si>
  <si>
    <t>Please fill out info requested in the box below</t>
  </si>
  <si>
    <t>Acct 561.1 - 561.3, 561.BA included in Line 7</t>
  </si>
  <si>
    <t>Acct 561.BA for Schedule 24</t>
  </si>
  <si>
    <t>Page 5 of 6</t>
  </si>
  <si>
    <t>Acct 561.1 - 561.3 available for Schedule 1</t>
  </si>
  <si>
    <t>Revenue Credits for Sched 1 Acct 561.1 - 561.3</t>
  </si>
  <si>
    <t>transactions &lt;1 yr</t>
  </si>
  <si>
    <t>% Electric</t>
  </si>
  <si>
    <t>non-firm</t>
  </si>
  <si>
    <t>COMMON PLANT ALLOCATOR  (CE)   (Note O)</t>
  </si>
  <si>
    <t>(line 1 / line 4)</t>
  </si>
  <si>
    <t>(Page 4, line 22)</t>
  </si>
  <si>
    <t>transactions w/ load not in divisor</t>
  </si>
  <si>
    <t xml:space="preserve">  Electric</t>
  </si>
  <si>
    <t>200.3.c</t>
  </si>
  <si>
    <t>*</t>
  </si>
  <si>
    <t>total Revenue Credits</t>
  </si>
  <si>
    <t xml:space="preserve">  Gas</t>
  </si>
  <si>
    <t>201.3.d</t>
  </si>
  <si>
    <t>Net Schedule 1 Expenses (Acct 561.1-561.3 minus Credits)</t>
  </si>
  <si>
    <t xml:space="preserve">  Water</t>
  </si>
  <si>
    <t>201.3.e</t>
  </si>
  <si>
    <t xml:space="preserve">  Total  (sum lines 1-3)</t>
  </si>
  <si>
    <t>RETURN (R)</t>
  </si>
  <si>
    <t>Long Term Interest (117, sum of 62.c through 67.c)</t>
  </si>
  <si>
    <t>Preferred Dividends (118.29c) (positive number)</t>
  </si>
  <si>
    <t xml:space="preserve">                                          Development of Common Stock:</t>
  </si>
  <si>
    <t>Proprietary Capital (112.16.c)</t>
  </si>
  <si>
    <t xml:space="preserve">Less Preferred Stock (line 12) </t>
  </si>
  <si>
    <t>Less Account 216.1 (112.12.c)  (enter negative)</t>
  </si>
  <si>
    <t>Common Stock</t>
  </si>
  <si>
    <t>(sum lines 7-9)</t>
  </si>
  <si>
    <t>=WCLTD</t>
  </si>
  <si>
    <t>Cost</t>
  </si>
  <si>
    <t>%</t>
  </si>
  <si>
    <t>(Note P)</t>
  </si>
  <si>
    <t>Weighted</t>
  </si>
  <si>
    <t xml:space="preserve">  Long Term Debt (112, sum of  18.c through 21.c)</t>
  </si>
  <si>
    <t xml:space="preserve">  Preferred Stock  ( 112.3.c)</t>
  </si>
  <si>
    <t xml:space="preserve">  Common Stock  (line 10)</t>
  </si>
  <si>
    <t>Total  (sum lines 11-13)</t>
  </si>
  <si>
    <t>=R</t>
  </si>
  <si>
    <t>REVENUE CREDITS</t>
  </si>
  <si>
    <t>Load</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</si>
  <si>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</si>
  <si>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</si>
  <si>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</si>
  <si>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</si>
  <si>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</si>
  <si>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</si>
  <si>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</si>
  <si>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Line 18 should be supported by notes in Form 1 or detailed Schedule</t>
  </si>
  <si>
    <t>ACCOUNT 456.1 (OTHER ELECTRIC REVENUES) (Note U)</t>
  </si>
  <si>
    <t>(330.x.n)</t>
  </si>
  <si>
    <t xml:space="preserve">  a. Transmission charges for all transmission transactions </t>
  </si>
  <si>
    <t>Line 19 should be supported by notes in Form 1 or detailed Schedule</t>
  </si>
  <si>
    <t xml:space="preserve">  b. Transmission charges for all transmission transactions included in Divisor on Page 1</t>
  </si>
  <si>
    <t>Line 20 should be supported by notes in Form 1 or detailed Schedule</t>
  </si>
  <si>
    <t>20a</t>
  </si>
  <si>
    <t>Page 6 of 6</t>
  </si>
  <si>
    <t>General Note:  References to pages in this formulary rate are indicated as:  (page#, line#, col.#)</t>
  </si>
  <si>
    <t xml:space="preserve">                           References to data from FERC Form 1 are indicated as:   #.y.x  (page, line, column)</t>
  </si>
  <si>
    <t xml:space="preserve">The FERC's annual charges for the year assessed the Transmission Owner for service under this tariff. </t>
  </si>
  <si>
    <t xml:space="preserve">The balances in Accounts 190, 281, 282 and 283, as adjusted by any amounts in contra accounts identified as regulatory assets </t>
  </si>
  <si>
    <t xml:space="preserve">  or liabilities related to FASB 106 or 109.  Balance of Account 255 is reduced by prior flow throughs and excluded if the utility </t>
  </si>
  <si>
    <t xml:space="preserve">  chose to utilize amortization of tax credits against taxable income as discussed in Note K.  Account 281 is not allocated.</t>
  </si>
  <si>
    <t>Identified in Form 1 as being only transmission related.</t>
  </si>
  <si>
    <t>H</t>
  </si>
  <si>
    <t>Cash Working Capital assigned to transmission is one-eighth of O&amp;M allocated to transmission at page 3, line 8, column 5.</t>
  </si>
  <si>
    <t xml:space="preserve">  Prepayments are the electric related prepayments booked to Account No. 165 and reported on Page 111 line 57 in the Form 1.</t>
  </si>
  <si>
    <t>I</t>
  </si>
  <si>
    <t>Line 5 - EPRI Annual Membership Dues listed in Form 1 at 353.f, all Regulatory Commission Expenses itemized at 351.h, and non-safety</t>
  </si>
  <si>
    <t xml:space="preserve">   related advertising included in Account 930.1.  Line 5a - Regulatory Commission Expenses directly related to transmission service,  </t>
  </si>
  <si>
    <t xml:space="preserve">   ISO filings, or transmission siting itemized at 351.h. </t>
  </si>
  <si>
    <t>J</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</si>
  <si>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</si>
  <si>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</si>
  <si>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 xml:space="preserve">   since they are recovered elsewhere.</t>
  </si>
  <si>
    <t>K</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</si>
  <si>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</si>
  <si>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</si>
  <si>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</si>
  <si>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</si>
  <si>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</si>
  <si>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 xml:space="preserve">  multiplied by (1/1-T) (page 3, line 26).</t>
  </si>
  <si>
    <t>FIT =</t>
  </si>
  <si>
    <t xml:space="preserve">         Inputs Required:</t>
  </si>
  <si>
    <t>SIT=</t>
  </si>
  <si>
    <t xml:space="preserve">  (State Income Tax Rate or Composite SIT)</t>
  </si>
  <si>
    <t>Provide SIT work papers if required</t>
  </si>
  <si>
    <t>p =</t>
  </si>
  <si>
    <t xml:space="preserve">  (percent of federal income tax deductible for state purposes)</t>
  </si>
  <si>
    <t>L</t>
  </si>
  <si>
    <t>M</t>
  </si>
  <si>
    <t>Removes transmission plant determined by Commission order to be state-jurisdictional according to the seven-factor test (until Form 1</t>
  </si>
  <si>
    <t xml:space="preserve">  balances are adjusted to reflect application of seven-factor test).</t>
  </si>
  <si>
    <t>N</t>
  </si>
  <si>
    <t>Removes dollar amount of transmission plant included in the development of OATT ancillary services rates and generation</t>
  </si>
  <si>
    <t xml:space="preserve">  step-up facilities, which are deemed to included in OATT ancillary services.  For these purposes, generation step-up</t>
  </si>
  <si>
    <t xml:space="preserve">  facilities are those facilities at a generator substation on which there is no through-flow when the generator is shut down.</t>
  </si>
  <si>
    <t>O</t>
  </si>
  <si>
    <t>Enter dollar amounts</t>
  </si>
  <si>
    <t>P</t>
  </si>
  <si>
    <t>Debt cost rate = long-term interest (line 21) / long term debt (line 27).  Preferred cost rate = preferred dividends (line 22) /</t>
  </si>
  <si>
    <t xml:space="preserve">  preferred outstanding (line 28).   ROE will be supported in the original filing and no change in ROE may be made absent</t>
  </si>
  <si>
    <t xml:space="preserve">  a filing with FERC.</t>
  </si>
  <si>
    <t>Q</t>
  </si>
  <si>
    <t>Line 33 must equal zero since all short-term power sales must be unbundled and the transmission component reflected in Account</t>
  </si>
  <si>
    <t xml:space="preserve">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</si>
  <si>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</si>
  <si>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</si>
  <si>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</si>
  <si>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t>
  </si>
  <si>
    <t>pancaking - the revenues are not included in line 4, page 1 nor are the loads included in line 13, page 1.</t>
  </si>
  <si>
    <t>T</t>
  </si>
  <si>
    <t>The revenues credited on page 1 lines 2-5 shall include only the amounts received directly (in the case of grandfathered agreements)</t>
  </si>
  <si>
    <t xml:space="preserve">  or from the ISO (for service under this tariff) reflecting the Transmission Owner's integrated transmission facilities.  They do not include</t>
  </si>
  <si>
    <t xml:space="preserve">  revenues associated with FERC annual charges, gross receipts taxes, ancillary services, facilities not included in this template (e.g., direct</t>
  </si>
  <si>
    <t xml:space="preserve">  assignment facilities and GSUs) which are not recovered under this Rate Formula Template.</t>
  </si>
  <si>
    <t xml:space="preserve">  The ISO will report separately revenue derived from the AC system from revenue derived from the DC system thus allowing for Direct Assigment of those revenue credits.</t>
  </si>
  <si>
    <t>U</t>
  </si>
  <si>
    <t>Account 456.1 entry shall be the annual total of the quarterly values reported at Form 1, 330.x.n.</t>
  </si>
  <si>
    <t>V</t>
  </si>
  <si>
    <t>revenue requirements.</t>
  </si>
  <si>
    <t>W</t>
  </si>
  <si>
    <t>X</t>
  </si>
  <si>
    <t>Y</t>
  </si>
  <si>
    <t>Z</t>
  </si>
  <si>
    <t>AA</t>
  </si>
  <si>
    <t>The transmission charge for Non-Firm Point to Point Transmission Service over ALLETE's HVDC Facilities under Schedule 8 of the Tariff will be $1/MWh.</t>
  </si>
  <si>
    <t>AB</t>
  </si>
  <si>
    <t>Identifies lines items which rate base balances are using a 13 month average balance reconiling to FERC From No.1 by page, line and column</t>
  </si>
  <si>
    <r>
      <t>Percentage of transmission expenses included in ISO Rates (line 15 times line 1</t>
    </r>
    <r>
      <rPr>
        <b/>
        <sz val="12"/>
        <rFont val="Times New Roman"/>
        <family val="1"/>
      </rPr>
      <t>6</t>
    </r>
    <r>
      <rPr>
        <sz val="12"/>
        <rFont val="Times New Roman"/>
        <family val="1"/>
      </rPr>
      <t>)</t>
    </r>
  </si>
  <si>
    <t>18a</t>
  </si>
  <si>
    <t>100% CWIP Recovery for Commission Approved Order</t>
  </si>
  <si>
    <t>23a</t>
  </si>
  <si>
    <t>Peak as would be reported on page 401, column d of Form 1 at the time of the applicable pricing zone coincident monthly peaks.</t>
  </si>
  <si>
    <t>Labeled LF, LU, IF, IU on pages 310-311 of Form 1 at the time of the applicable pricing zone coincident monthly peaks.</t>
  </si>
  <si>
    <t>Labeled LF on page 328 of Form 1 at the time of the applicable pricing zone coincident monthly peaks.</t>
  </si>
  <si>
    <t xml:space="preserve">  Abandoned Plant Amortization</t>
  </si>
  <si>
    <t>AD</t>
  </si>
  <si>
    <t>Identifies which rate base balances are using average of the beginning of year and end of year balances reconiling to FERC From No.1 by page, line and column</t>
  </si>
  <si>
    <t xml:space="preserve">No. 679 Transmission Projects  </t>
  </si>
  <si>
    <t>(Note AB)</t>
  </si>
  <si>
    <t>9a</t>
  </si>
  <si>
    <t>23b</t>
  </si>
  <si>
    <t xml:space="preserve">  Pre-Funded AFUDC Amortization</t>
  </si>
  <si>
    <t>9b</t>
  </si>
  <si>
    <t>[Revenue Requirement for facilities included on page 2, line 2, and also</t>
  </si>
  <si>
    <t xml:space="preserve">Page 2, Line 23a includes the net prefunded AFUDC on CWIP included in rate base and page 3 line 9a includes the annual amortization of the prefunded AFUDC amounts included in Account No. 407.4 as required by Commission Order 129 FERC ¶ 61,287 (2009).  Page 2 line 23b includes any unamortized balances related to the recovery of abandoned plant costs approved by FERC under a separate docket.   Page 3 line 9b includes the Amortization expense of abandonment costs included in transmission depreciation expense.  These are shown in the workpapers required pursuant to the Annual Rate Calculation and True-Up Procedures. </t>
  </si>
  <si>
    <t xml:space="preserve">  Pre-Funded AFUDC on CWIP ( Account 254) (Notes AB and AD)</t>
  </si>
  <si>
    <t xml:space="preserve">  Unamortized Balance of Abandoned Plant (Notes AB and  AD)</t>
  </si>
  <si>
    <t>(Note AD)</t>
  </si>
  <si>
    <t>(Note  AD)</t>
  </si>
  <si>
    <t>RATE BASE  (sum lines 18, 18a 24, 25, &amp; 29)</t>
  </si>
  <si>
    <t>30a</t>
  </si>
  <si>
    <t>LESS ATTACHMENT MM ADJUSTMENT [Attachment MM, page 2, line 3, column 10]   (Note AE)</t>
  </si>
  <si>
    <t>included in Attachment MM]</t>
  </si>
  <si>
    <t>(line 29 - line 30 - line30a)</t>
  </si>
  <si>
    <t>20b</t>
  </si>
  <si>
    <t xml:space="preserve">  d. Transmission charges associated with Schedule 26-A  (Note AF)</t>
  </si>
  <si>
    <t>Total (a-b-c-d)</t>
  </si>
  <si>
    <t>AE</t>
  </si>
  <si>
    <t>AF</t>
  </si>
  <si>
    <t>(line 1- line 6 + Line 6c+ line 6h+ line 6i)</t>
  </si>
  <si>
    <t>GROSS PLANT IN SERVICE (Note AG)</t>
  </si>
  <si>
    <t>ACCUMULATED DEPRECIATION (Note AG)</t>
  </si>
  <si>
    <t>O&amp;M (Note AH)</t>
  </si>
  <si>
    <t xml:space="preserve">  Transmission Lease Payments  (Note Y, Note AI)</t>
  </si>
  <si>
    <t>DEPRECIATION AND AMORTIZATION EXPENSE (Note AG)</t>
  </si>
  <si>
    <t>336.10.f &amp; 336.1.f        (Note Z)</t>
  </si>
  <si>
    <t xml:space="preserve">  c. Transmission charges associated with Schedules 26 and 37  (Note X)</t>
  </si>
  <si>
    <t>Account Nos. 561.4 and 561.8 consist of RTO expenses billed to load-serving entities and are not included in Transmission Owner</t>
  </si>
  <si>
    <t>AG</t>
  </si>
  <si>
    <t>AH</t>
  </si>
  <si>
    <t>AI</t>
  </si>
  <si>
    <t>and reclassifies them to Transmission Lease Payments, Page 3, Line 7.</t>
  </si>
  <si>
    <t>219.28.c &amp; 200.21.c  (Note AB)</t>
  </si>
  <si>
    <t>Plant in Service, Accumulated Depreciation, and Depreciation Expense amounts exclude Asset Retirement Obligation amounts unless authorized by FERC.</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</si>
  <si>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</si>
  <si>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r>
      <t xml:space="preserve">and the loads are included in line 13, page 1.  Grandfathered agreements whose rates have </t>
    </r>
    <r>
      <rPr>
        <u/>
        <sz val="12"/>
        <rFont val="Times New Roman"/>
        <family val="1"/>
      </rPr>
      <t>not</t>
    </r>
    <r>
      <rPr>
        <sz val="12"/>
        <rFont val="Times New Roman"/>
        <family val="1"/>
      </rPr>
      <t xml:space="preserve"> been changed to eliminate or mitigate </t>
    </r>
  </si>
  <si>
    <t>Pursuant to Attachment MM of the Midwest ISO Tariff, removes dollar amount of revenue requirements calculated pursuant to Attachment MM and recovered under Schedule 26-A of the Midwest ISO Tariff.</t>
  </si>
  <si>
    <t xml:space="preserve">Removes from revenue credits revenues that are distributed pursuant to Schedule 26-A of the Midwest ISO Tariff, since the Transmission Owner's Attachment O revenue requirements have already been reduced by the Attachment MM revenue requirements.  </t>
  </si>
  <si>
    <t>Pursuant to Attachment GG of the Midwest ISO Tariff, removes dollar amount of revenue requirements calculated pursuant to Attachment GG and recovered under Schedule 26 of the Midwest ISO Tariff.</t>
  </si>
  <si>
    <t xml:space="preserve">Removes from revenue credits revenues that are distributed pursuant to Schedules 26 and 37 of the Midwest ISO Tariff, since the Transmission Owner's Attachment O revenue requirements have already been reduced by the Attachment GG revenue requirements.  </t>
  </si>
  <si>
    <t>Minnesota Power Transmission and General Plant Depreciation Rates are shown in an attached schedule.</t>
  </si>
  <si>
    <t>Minnesota Power will provide supporting calculations and work papers for all DA (Direct Assignment) DC Amounts</t>
  </si>
  <si>
    <t>Schedule 10-FERC charges should not be included in O&amp;M recovered under this Attachment O.</t>
  </si>
  <si>
    <t>ALLETE records transmission lease payments to Account 567 - Rents, which are included in Transmission O&amp;M, Page 3, Line 1.  ALLETE removes those payments from Transmission O&amp;M, Page 3, Line 1</t>
  </si>
  <si>
    <t>Attachment GG-ALLETE</t>
  </si>
  <si>
    <t>Formula Rate calculation</t>
  </si>
  <si>
    <t xml:space="preserve"> Utilizing Attachment O Data</t>
  </si>
  <si>
    <t>Page 1 of 2</t>
  </si>
  <si>
    <t xml:space="preserve">To be completed in conjunction with Attachment O. </t>
  </si>
  <si>
    <t>Attachment O</t>
  </si>
  <si>
    <t>Gross Transmission Plant- Total</t>
  </si>
  <si>
    <t>Attach O, p 2, line 2 col 5, 7, 9 (Note A)</t>
  </si>
  <si>
    <t>Net Transmission Plant - Total</t>
  </si>
  <si>
    <t>Attach O, p 2, line 14 col 5, 7, 9 (Note B)</t>
  </si>
  <si>
    <t>O&amp;M EXPENSE</t>
  </si>
  <si>
    <t>Total O&amp;M Allocated to Transmission</t>
  </si>
  <si>
    <t>Attach O, p 3, line 8 col 5, 7, 9</t>
  </si>
  <si>
    <t>Annual Allocation Factor for O&amp;M</t>
  </si>
  <si>
    <t>(For AC System line 3 col 5 divided by line 1 col 5 or</t>
  </si>
  <si>
    <t>For DC System line 3 col 7 divided by line 1 col 7)</t>
  </si>
  <si>
    <t>GENERAL AND COMMON (G&amp;C) DEPRECIATION EXPENSE</t>
  </si>
  <si>
    <t>Total G&amp;C Deprciation Expense</t>
  </si>
  <si>
    <t>Attach O, p 3, line 10 &amp; 11, col 5, 7, 9</t>
  </si>
  <si>
    <t>Annual Allocation Factor for G&amp;C Depreciation</t>
  </si>
  <si>
    <t>(For AC System line 5 col 5 divided by line 1 col 5 or</t>
  </si>
  <si>
    <t>Expense</t>
  </si>
  <si>
    <t>For DC System line 5 col 7 divided by line 1 col 7)</t>
  </si>
  <si>
    <t>TAXES OTHER THAN INCOME TAXES</t>
  </si>
  <si>
    <t>Total Other Taxes</t>
  </si>
  <si>
    <t>Attach O, p 3, line 20 col 5, 7, 9</t>
  </si>
  <si>
    <t>Annual Allocation Factor for Other Taxes</t>
  </si>
  <si>
    <t>(For AC System line 7 col 5 divided by line 1 col 5 or</t>
  </si>
  <si>
    <t>For DC System line 7 col 7 divided by line 1 col 7)</t>
  </si>
  <si>
    <t>Annual Allocaton Factor for Expense</t>
  </si>
  <si>
    <t>(For AC System Sum line 4 col 5 plus line 6 col 5 plus line 8 col 5 or</t>
  </si>
  <si>
    <t>For DC System Sum line 4 col 7 plus line 6 col 7 plus line 8 col 7)</t>
  </si>
  <si>
    <t>INCOME TAXES</t>
  </si>
  <si>
    <t>Attach O, p 3, line 27 col 5, 7, 9</t>
  </si>
  <si>
    <t>Annual Allocation Factor for Income Tax</t>
  </si>
  <si>
    <t>(For AC System line 10 col 5 divided by line 2 col 5 or</t>
  </si>
  <si>
    <t>For DC System line 10 col 7 divided by line 2 col 7)</t>
  </si>
  <si>
    <t>Return on Rate Base</t>
  </si>
  <si>
    <t>Attach O, p 3, line 28 col 5, 7, 9</t>
  </si>
  <si>
    <t>Annual Allocation Factor for Return on Rate Base</t>
  </si>
  <si>
    <t>(For AC System line 12 col 5 divided by line 2 col 5 or</t>
  </si>
  <si>
    <t>For DC System line 12 col 7 divided by line 2 col 7)</t>
  </si>
  <si>
    <t>Annual Allocation Factor for Return</t>
  </si>
  <si>
    <t>(For AC System Sum line 11 col 5 plus line 13 col 5 or</t>
  </si>
  <si>
    <t>For DC System Sum 11 col 7 plus line 13 col 7)</t>
  </si>
  <si>
    <t>Page 2 of 2</t>
  </si>
  <si>
    <t xml:space="preserve">                           Network Upgrade Charge Calculation By Project</t>
  </si>
  <si>
    <t>Project Name</t>
  </si>
  <si>
    <t>MTEP Project Number</t>
  </si>
  <si>
    <t xml:space="preserve">Project Gross Plant </t>
  </si>
  <si>
    <t>Annual Allocation Factor for Expense</t>
  </si>
  <si>
    <t>Annual Expense Charge</t>
  </si>
  <si>
    <t xml:space="preserve">Project Net Plant </t>
  </si>
  <si>
    <t>Annual Return Charge</t>
  </si>
  <si>
    <t>Project Depreciation Expense</t>
  </si>
  <si>
    <t>Annual Revenue Requirements</t>
  </si>
  <si>
    <t>True-Up Adjustment</t>
  </si>
  <si>
    <t>Network Upgrade Charge</t>
  </si>
  <si>
    <t>(Page 1, Line 9, Col 6)</t>
  </si>
  <si>
    <t>(Col. 3 * Col. 4)</t>
  </si>
  <si>
    <t>(Page 1, Line 14, Col 6)</t>
  </si>
  <si>
    <t>(Col. 6 * Col. 7)</t>
  </si>
  <si>
    <t>(Note E)</t>
  </si>
  <si>
    <t>(Sum Col. 5, 8 &amp; 9)</t>
  </si>
  <si>
    <t>(Note F)</t>
  </si>
  <si>
    <t xml:space="preserve">
(Note G)</t>
  </si>
  <si>
    <t>Annual AC System Totals (Note G)</t>
  </si>
  <si>
    <t>(Page 1, Line 9, Col 8)</t>
  </si>
  <si>
    <t>(Page 1, Line 14, Col 8)</t>
  </si>
  <si>
    <t>Annual DC System Totals</t>
  </si>
  <si>
    <t>Rev. Req. Adj For Attachment O</t>
  </si>
  <si>
    <t>Gross Transmission Plant is that identified on page 2 line 2 col 5, 7, 9 of Attachment O and is inclusive of any CWIP included in rate base when authorized by FERC order, less any prefunded AFUDC, if applicable.</t>
  </si>
  <si>
    <t>Net Transmission Plant is that identified on page 2 line 14 cols 5, 7, 9 of Attachment O and is inclusive of any CWIP and Unamortized Balance of Abandoned Plant in rate base when authorized by FERC order less any prefunded AFUDC, if applicable.</t>
  </si>
  <si>
    <t>Project Gross Plant is the total capital investment for the project calculated in the same method as the gross plant value in line 1 and includes CWIP in rate base when authorized by FERC Order less any prefunded AFUDC, if applicable.  This value includes subsequent capital investments required to maintain the facilities to their original capabilities.</t>
  </si>
  <si>
    <t>Project Net Plant is the Project Gross Plant Identified in Column 3 less the associated Accumulated Depreciation and is inclusive of CWIP and Unamortized Balance of Abondoned Plant in rate base when authorized by FERC Order less any prefunded AFUDC, if applicable.</t>
  </si>
  <si>
    <t>Project Depreciation Expense is the actual value booked for the project and included in the Depreciation Expense in Attachment O (page 3 line 12).</t>
  </si>
  <si>
    <t>True-Up Adjustment is included pursuant to a FERC approved methodology if applicable.</t>
  </si>
  <si>
    <t>The Network Upgrade Charge is the value to be used in Schedule 26.</t>
  </si>
  <si>
    <t>The Total General and Common Depreciation Expense excludes any depreciation expense directly associated with a project and thereby included on page 2, column 9.</t>
  </si>
  <si>
    <t>7</t>
  </si>
  <si>
    <t>8</t>
  </si>
  <si>
    <t>9</t>
  </si>
  <si>
    <t>10</t>
  </si>
  <si>
    <t>11</t>
  </si>
  <si>
    <t>12</t>
  </si>
  <si>
    <t>13</t>
  </si>
  <si>
    <t>14</t>
  </si>
  <si>
    <t>Line No.</t>
  </si>
  <si>
    <t>AC System Projects</t>
  </si>
  <si>
    <t>1b</t>
  </si>
  <si>
    <t>1c</t>
  </si>
  <si>
    <t>1d</t>
  </si>
  <si>
    <t>2</t>
  </si>
  <si>
    <t>DC System Projects</t>
  </si>
  <si>
    <t>3a</t>
  </si>
  <si>
    <t>3b</t>
  </si>
  <si>
    <t>3c</t>
  </si>
  <si>
    <t>4</t>
  </si>
  <si>
    <t>For the 12 months ended 12/31/12</t>
  </si>
  <si>
    <t>1e</t>
  </si>
  <si>
    <t>286-1</t>
  </si>
  <si>
    <t>286-2</t>
  </si>
  <si>
    <t>286-3</t>
  </si>
  <si>
    <t>MTEP08 - Fargo Phase 1</t>
  </si>
  <si>
    <t>MTEP08 - Fargo Phase 2</t>
  </si>
  <si>
    <t>MTEP08 - Fargo Phase 3</t>
  </si>
  <si>
    <t>MTEP11 - 9 Line Upgrade</t>
  </si>
  <si>
    <t>MTEP06 - Boswell / Bemidji</t>
  </si>
  <si>
    <t>MTEP07 - Badoura</t>
  </si>
  <si>
    <t>MTEP07 - Mesabi Energy Project (terminated)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</si>
</sst>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 #,##0_);_(* \(#,##0\);_(* &quot;-&quot;??_);_(@_)"/>
    <numFmt numFmtId="175" formatCode="_(&quot;$&quot;* #,##0_);_(&quot;$&quot;* \(#,##0\);_(&quot;$&quot;* &quot;-&quot;??_);_(@_)"/>
    <numFmt numFmtId="176" formatCode="_(&quot;$&quot;* #,##0.000_);_(&quot;$&quot;* \(#,##0.000\);_(&quot;$&quot;* &quot;-&quot;??_);_(@_)"/>
    <numFmt numFmtId="177" formatCode="0_);\(0\)"/>
  </numFmts>
  <fonts count="45">
    <font>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sz val="10"/>
      <name val="Arial"/>
      <family val="2"/>
    </font>
    <font>
      <sz val="8"/>
      <name val="Arial"/>
      <family val="2"/>
    </font>
    <font>
      <sz val="12"/>
      <name val="Times New Roman"/>
      <family val="1"/>
    </font>
    <font>
      <b/>
      <sz val="12"/>
      <name val="Times New Roman"/>
      <family val="1"/>
    </font>
    <font>
      <b/>
      <u/>
      <sz val="12"/>
      <name val="Times New Roman"/>
      <family val="1"/>
    </font>
    <font>
      <strike/>
      <sz val="12"/>
      <name val="Times New Roman"/>
      <family val="1"/>
    </font>
    <font>
      <sz val="12"/>
      <color indexed="10"/>
      <name val="Times New Roman"/>
      <family val="1"/>
    </font>
    <font>
      <u/>
      <sz val="12"/>
      <color indexed="17"/>
      <name val="Arial MT"/>
    </font>
    <font>
      <sz val="12"/>
      <color indexed="17"/>
      <name val="Arial"/>
      <family val="2"/>
    </font>
    <font>
      <sz val="10"/>
      <name val="Times New Roman"/>
      <family val="1"/>
    </font>
    <font>
      <sz val="10"/>
      <color indexed="17"/>
      <name val="Arial"/>
      <family val="2"/>
    </font>
    <font>
      <b/>
      <sz val="12"/>
      <color indexed="10"/>
      <name val="Times New Roman"/>
      <family val="1"/>
    </font>
    <font>
      <strike/>
      <sz val="12"/>
      <name val="Arial MT"/>
    </font>
    <font>
      <u/>
      <sz val="12"/>
      <name val="Arial MT"/>
    </font>
    <font>
      <u/>
      <sz val="12"/>
      <name val="Times New Roman"/>
      <family val="1"/>
    </font>
    <font>
      <b/>
      <sz val="12"/>
      <name val="Arial"/>
      <family val="2"/>
    </font>
    <font>
      <b/>
      <sz val="12"/>
      <name val="Arial MT"/>
    </font>
    <font>
      <sz val="10"/>
      <color indexed="12"/>
      <name val="Arial"/>
      <family val="2"/>
    </font>
    <font>
      <sz val="10"/>
      <name val="Arial MT"/>
    </font>
    <font>
      <sz val="12"/>
      <color indexed="10"/>
      <name val="Arial MT"/>
    </font>
    <font>
      <i/>
      <sz val="12"/>
      <name val="Arial MT"/>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1"/>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9">
    <xf numFmtId="173" fontId="0" fillId="0" borderId="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6" fillId="0" borderId="0" applyFont="0" applyFill="0" applyBorder="0" applyAlignment="0" applyProtection="0"/>
    <xf numFmtId="43" fontId="7"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vertical="top"/>
    </xf>
    <xf numFmtId="0" fontId="24" fillId="0" borderId="0"/>
    <xf numFmtId="173" fontId="17" fillId="0" borderId="0" applyProtection="0"/>
    <xf numFmtId="0" fontId="17" fillId="23" borderId="7" applyNumberFormat="0" applyFont="0" applyAlignment="0" applyProtection="0"/>
    <xf numFmtId="0" fontId="18" fillId="20" borderId="8" applyNumberFormat="0" applyAlignment="0" applyProtection="0"/>
    <xf numFmtId="9" fontId="6"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396">
    <xf numFmtId="173" fontId="0" fillId="0" borderId="0" xfId="0" applyAlignment="1"/>
    <xf numFmtId="0" fontId="26" fillId="0" borderId="0" xfId="41" applyFont="1" applyAlignment="1"/>
    <xf numFmtId="0" fontId="26" fillId="0" borderId="0" xfId="41" applyNumberFormat="1" applyFont="1" applyAlignment="1"/>
    <xf numFmtId="0" fontId="26" fillId="0" borderId="0" xfId="41" applyNumberFormat="1" applyFont="1" applyAlignment="1">
      <alignment horizontal="left"/>
    </xf>
    <xf numFmtId="0" fontId="26" fillId="0" borderId="0" xfId="41" applyNumberFormat="1" applyFont="1"/>
    <xf numFmtId="0" fontId="27" fillId="0" borderId="0" xfId="41" applyNumberFormat="1" applyFont="1" applyAlignment="1">
      <alignment horizontal="center"/>
    </xf>
    <xf numFmtId="0" fontId="26" fillId="0" borderId="0" xfId="41" applyNumberFormat="1" applyFont="1" applyAlignment="1">
      <alignment horizontal="center"/>
    </xf>
    <xf numFmtId="0" fontId="26" fillId="0" borderId="0" xfId="41" applyFont="1" applyAlignment="1">
      <alignment horizontal="center"/>
    </xf>
    <xf numFmtId="0" fontId="26" fillId="0" borderId="0" xfId="41" applyNumberFormat="1" applyFont="1" applyAlignment="1">
      <alignment horizontal="right"/>
    </xf>
    <xf numFmtId="3" fontId="26" fillId="0" borderId="0" xfId="41" applyNumberFormat="1" applyFont="1" applyAlignment="1"/>
    <xf numFmtId="0" fontId="26" fillId="0" borderId="0" xfId="41" applyNumberFormat="1" applyFont="1" applyFill="1"/>
    <xf numFmtId="49" fontId="27" fillId="24" borderId="0" xfId="41" applyNumberFormat="1" applyFont="1" applyFill="1" applyAlignment="1">
      <alignment horizontal="center" wrapText="1"/>
    </xf>
    <xf numFmtId="0" fontId="26" fillId="0" borderId="0" xfId="41" applyNumberFormat="1" applyFont="1" applyFill="1" applyBorder="1"/>
    <xf numFmtId="0" fontId="27" fillId="0" borderId="10" xfId="41" applyFont="1" applyBorder="1" applyAlignment="1">
      <alignment horizontal="center" wrapText="1"/>
    </xf>
    <xf numFmtId="0" fontId="27" fillId="0" borderId="10" xfId="41" applyFont="1" applyBorder="1" applyAlignment="1">
      <alignment horizontal="center"/>
    </xf>
    <xf numFmtId="0" fontId="27" fillId="0" borderId="0" xfId="41" applyFont="1" applyAlignment="1">
      <alignment horizontal="center"/>
    </xf>
    <xf numFmtId="49" fontId="26" fillId="0" borderId="0" xfId="41" applyNumberFormat="1" applyFont="1"/>
    <xf numFmtId="0" fontId="26" fillId="0" borderId="11" xfId="41" applyNumberFormat="1" applyFont="1" applyBorder="1" applyAlignment="1">
      <alignment horizontal="center"/>
    </xf>
    <xf numFmtId="3" fontId="26" fillId="0" borderId="0" xfId="41" applyNumberFormat="1" applyFont="1"/>
    <xf numFmtId="42" fontId="26" fillId="0" borderId="0" xfId="41" applyNumberFormat="1" applyFont="1" applyFill="1"/>
    <xf numFmtId="0" fontId="26" fillId="0" borderId="0" xfId="41" applyFont="1" applyFill="1" applyAlignment="1">
      <alignment horizontal="center"/>
    </xf>
    <xf numFmtId="42" fontId="26" fillId="0" borderId="0" xfId="41" applyNumberFormat="1" applyFont="1" applyFill="1" applyAlignment="1">
      <alignment horizontal="center"/>
    </xf>
    <xf numFmtId="3" fontId="26" fillId="0" borderId="0" xfId="41" applyNumberFormat="1" applyFont="1" applyFill="1" applyAlignment="1"/>
    <xf numFmtId="0" fontId="26" fillId="0" borderId="11" xfId="41" applyNumberFormat="1" applyFont="1" applyBorder="1" applyAlignment="1">
      <alignment horizontal="centerContinuous"/>
    </xf>
    <xf numFmtId="174" fontId="26" fillId="0" borderId="0" xfId="28" applyNumberFormat="1" applyFont="1" applyAlignment="1"/>
    <xf numFmtId="166" fontId="26" fillId="0" borderId="0" xfId="41" applyNumberFormat="1" applyFont="1" applyAlignment="1"/>
    <xf numFmtId="174" fontId="26" fillId="24" borderId="0" xfId="28" applyNumberFormat="1" applyFont="1" applyFill="1" applyAlignment="1"/>
    <xf numFmtId="3" fontId="26" fillId="0" borderId="0" xfId="41" applyNumberFormat="1" applyFont="1" applyFill="1" applyBorder="1"/>
    <xf numFmtId="174" fontId="17" fillId="24" borderId="0" xfId="28" applyNumberFormat="1" applyFont="1" applyFill="1" applyAlignment="1"/>
    <xf numFmtId="0" fontId="17" fillId="0" borderId="0" xfId="41" applyFont="1" applyAlignment="1"/>
    <xf numFmtId="174" fontId="26" fillId="0" borderId="11" xfId="28" applyNumberFormat="1" applyFont="1" applyBorder="1" applyAlignment="1"/>
    <xf numFmtId="174" fontId="26" fillId="0" borderId="10" xfId="28" applyNumberFormat="1" applyFont="1" applyBorder="1" applyAlignment="1"/>
    <xf numFmtId="3" fontId="26" fillId="0" borderId="0" xfId="41" applyNumberFormat="1" applyFont="1" applyBorder="1" applyAlignment="1"/>
    <xf numFmtId="3" fontId="26" fillId="0" borderId="0" xfId="41" applyNumberFormat="1" applyFont="1" applyAlignment="1">
      <alignment horizontal="fill"/>
    </xf>
    <xf numFmtId="174" fontId="17" fillId="0" borderId="0" xfId="28" applyNumberFormat="1" applyFont="1"/>
    <xf numFmtId="3" fontId="17" fillId="0" borderId="0" xfId="41" applyNumberFormat="1" applyFont="1"/>
    <xf numFmtId="3" fontId="17" fillId="0" borderId="0" xfId="41" applyNumberFormat="1" applyFont="1" applyAlignment="1">
      <alignment horizontal="center"/>
    </xf>
    <xf numFmtId="174" fontId="17" fillId="24" borderId="0" xfId="28" applyNumberFormat="1" applyFont="1" applyFill="1"/>
    <xf numFmtId="174" fontId="26" fillId="24" borderId="10" xfId="28" applyNumberFormat="1" applyFont="1" applyFill="1" applyBorder="1" applyAlignment="1"/>
    <xf numFmtId="174" fontId="17" fillId="24" borderId="10" xfId="28" applyNumberFormat="1" applyFont="1" applyFill="1" applyBorder="1"/>
    <xf numFmtId="174" fontId="17" fillId="0" borderId="0" xfId="28" applyNumberFormat="1" applyFont="1" applyFill="1"/>
    <xf numFmtId="174" fontId="26" fillId="0" borderId="0" xfId="28" applyNumberFormat="1" applyFont="1" applyBorder="1" applyAlignment="1">
      <alignment horizontal="right"/>
    </xf>
    <xf numFmtId="42" fontId="26" fillId="0" borderId="0" xfId="41" applyNumberFormat="1" applyFont="1" applyBorder="1" applyAlignment="1">
      <alignment horizontal="right"/>
    </xf>
    <xf numFmtId="42" fontId="26" fillId="0" borderId="0" xfId="41" applyNumberFormat="1" applyFont="1" applyBorder="1" applyAlignment="1">
      <alignment horizontal="center"/>
    </xf>
    <xf numFmtId="0" fontId="17" fillId="0" borderId="0" xfId="41" applyNumberFormat="1" applyFont="1"/>
    <xf numFmtId="0" fontId="26" fillId="0" borderId="0" xfId="41" applyFont="1" applyFill="1" applyAlignment="1"/>
    <xf numFmtId="0" fontId="17" fillId="0" borderId="0" xfId="41" applyNumberFormat="1" applyFont="1" applyAlignment="1">
      <alignment horizontal="center"/>
    </xf>
    <xf numFmtId="174" fontId="17" fillId="0" borderId="0" xfId="28" applyNumberFormat="1" applyFont="1" applyAlignment="1"/>
    <xf numFmtId="174" fontId="26" fillId="0" borderId="0" xfId="28" applyNumberFormat="1" applyFont="1"/>
    <xf numFmtId="174" fontId="26" fillId="24" borderId="0" xfId="28" applyNumberFormat="1" applyFont="1" applyFill="1"/>
    <xf numFmtId="3" fontId="26" fillId="0" borderId="0" xfId="41" applyNumberFormat="1" applyFont="1" applyAlignment="1">
      <alignment horizontal="center"/>
    </xf>
    <xf numFmtId="174" fontId="26" fillId="0" borderId="0" xfId="28" applyNumberFormat="1" applyFont="1" applyFill="1" applyAlignment="1"/>
    <xf numFmtId="168" fontId="26" fillId="0" borderId="0" xfId="41" applyNumberFormat="1" applyFont="1"/>
    <xf numFmtId="176" fontId="26" fillId="0" borderId="0" xfId="41" applyNumberFormat="1" applyFont="1" applyAlignment="1"/>
    <xf numFmtId="44" fontId="26" fillId="0" borderId="0" xfId="41" applyNumberFormat="1" applyFont="1" applyAlignment="1"/>
    <xf numFmtId="44" fontId="26" fillId="0" borderId="0" xfId="41" applyNumberFormat="1" applyFont="1" applyAlignment="1">
      <alignment horizontal="center"/>
    </xf>
    <xf numFmtId="172" fontId="26" fillId="0" borderId="0" xfId="41" applyNumberFormat="1" applyFont="1" applyAlignment="1"/>
    <xf numFmtId="172" fontId="26" fillId="0" borderId="0" xfId="41" applyNumberFormat="1" applyFont="1" applyAlignment="1">
      <alignment horizontal="center"/>
    </xf>
    <xf numFmtId="172" fontId="26" fillId="0" borderId="0" xfId="41" applyNumberFormat="1" applyFont="1" applyFill="1" applyAlignment="1"/>
    <xf numFmtId="172" fontId="26" fillId="0" borderId="0" xfId="41" applyNumberFormat="1" applyFont="1" applyFill="1" applyAlignment="1">
      <alignment horizontal="center"/>
    </xf>
    <xf numFmtId="168" fontId="26" fillId="0" borderId="0" xfId="41" applyNumberFormat="1" applyFont="1" applyAlignment="1">
      <alignment horizontal="center"/>
    </xf>
    <xf numFmtId="172" fontId="26" fillId="24" borderId="0" xfId="41" applyNumberFormat="1" applyFont="1" applyFill="1" applyProtection="1">
      <protection locked="0"/>
    </xf>
    <xf numFmtId="172" fontId="26" fillId="0" borderId="0" xfId="41" applyNumberFormat="1" applyFont="1" applyProtection="1">
      <protection locked="0"/>
    </xf>
    <xf numFmtId="0" fontId="26" fillId="0" borderId="0" xfId="41" applyNumberFormat="1" applyFont="1" applyFill="1" applyAlignment="1">
      <alignment horizontal="center"/>
    </xf>
    <xf numFmtId="0" fontId="26" fillId="0" borderId="0" xfId="41" applyNumberFormat="1" applyFont="1" applyFill="1" applyAlignment="1"/>
    <xf numFmtId="172" fontId="26" fillId="0" borderId="0" xfId="41" applyNumberFormat="1" applyFont="1" applyFill="1" applyProtection="1">
      <protection locked="0"/>
    </xf>
    <xf numFmtId="3" fontId="27" fillId="24" borderId="0" xfId="41" applyNumberFormat="1" applyFont="1" applyFill="1" applyAlignment="1">
      <alignment horizontal="center" wrapText="1"/>
    </xf>
    <xf numFmtId="49" fontId="26" fillId="0" borderId="0" xfId="41" applyNumberFormat="1" applyFont="1" applyAlignment="1">
      <alignment horizontal="left"/>
    </xf>
    <xf numFmtId="49" fontId="26" fillId="0" borderId="0" xfId="41" applyNumberFormat="1" applyFont="1" applyAlignment="1">
      <alignment horizontal="center"/>
    </xf>
    <xf numFmtId="3" fontId="27" fillId="0" borderId="0" xfId="41" applyNumberFormat="1" applyFont="1" applyAlignment="1">
      <alignment horizontal="center"/>
    </xf>
    <xf numFmtId="0" fontId="27" fillId="0" borderId="10" xfId="41" applyNumberFormat="1" applyFont="1" applyBorder="1" applyAlignment="1">
      <alignment horizontal="center"/>
    </xf>
    <xf numFmtId="3" fontId="27" fillId="0" borderId="10" xfId="41" applyNumberFormat="1" applyFont="1" applyBorder="1" applyAlignment="1"/>
    <xf numFmtId="0" fontId="26" fillId="0" borderId="10" xfId="41" applyFont="1" applyBorder="1" applyAlignment="1"/>
    <xf numFmtId="3" fontId="27" fillId="0" borderId="0" xfId="41" applyNumberFormat="1" applyFont="1" applyAlignment="1"/>
    <xf numFmtId="0" fontId="26" fillId="0" borderId="10" xfId="41" applyNumberFormat="1" applyFont="1" applyBorder="1" applyAlignment="1">
      <alignment horizontal="center"/>
    </xf>
    <xf numFmtId="0" fontId="27" fillId="0" borderId="0" xfId="41" applyNumberFormat="1" applyFont="1" applyAlignment="1"/>
    <xf numFmtId="165" fontId="26" fillId="0" borderId="0" xfId="41" applyNumberFormat="1" applyFont="1" applyAlignment="1"/>
    <xf numFmtId="165" fontId="26" fillId="0" borderId="0" xfId="41" applyNumberFormat="1" applyFont="1" applyFill="1" applyAlignment="1"/>
    <xf numFmtId="174" fontId="26" fillId="0" borderId="0" xfId="28" applyNumberFormat="1" applyFont="1" applyFill="1" applyAlignment="1">
      <alignment horizontal="center"/>
    </xf>
    <xf numFmtId="174" fontId="26" fillId="0" borderId="0" xfId="28" applyNumberFormat="1" applyFont="1" applyAlignment="1">
      <alignment horizontal="center"/>
    </xf>
    <xf numFmtId="174" fontId="26" fillId="24" borderId="11" xfId="28" applyNumberFormat="1" applyFont="1" applyFill="1" applyBorder="1" applyAlignment="1"/>
    <xf numFmtId="174" fontId="26" fillId="0" borderId="11" xfId="28" applyNumberFormat="1" applyFont="1" applyFill="1" applyBorder="1" applyAlignment="1"/>
    <xf numFmtId="174" fontId="26" fillId="0" borderId="0" xfId="28" applyNumberFormat="1" applyFont="1" applyFill="1" applyBorder="1" applyAlignment="1"/>
    <xf numFmtId="164" fontId="26" fillId="0" borderId="0" xfId="41" applyNumberFormat="1" applyFont="1" applyFill="1" applyAlignment="1">
      <alignment horizontal="center"/>
    </xf>
    <xf numFmtId="164" fontId="26" fillId="0" borderId="0" xfId="41" applyNumberFormat="1" applyFont="1" applyAlignment="1">
      <alignment horizontal="center"/>
    </xf>
    <xf numFmtId="174" fontId="26" fillId="0" borderId="0" xfId="28" applyNumberFormat="1" applyFont="1" applyFill="1" applyAlignment="1">
      <alignment horizontal="right"/>
    </xf>
    <xf numFmtId="174" fontId="26" fillId="24" borderId="0" xfId="28" applyNumberFormat="1" applyFont="1" applyFill="1" applyAlignment="1">
      <alignment horizontal="right"/>
    </xf>
    <xf numFmtId="174" fontId="26" fillId="0" borderId="0" xfId="28" applyNumberFormat="1" applyFont="1" applyAlignment="1">
      <alignment horizontal="right"/>
    </xf>
    <xf numFmtId="174" fontId="26" fillId="0" borderId="0" xfId="28" applyNumberFormat="1" applyFont="1" applyFill="1" applyBorder="1" applyAlignment="1">
      <alignment horizontal="right"/>
    </xf>
    <xf numFmtId="174" fontId="26" fillId="0" borderId="0" xfId="28" applyNumberFormat="1" applyFont="1" applyBorder="1" applyAlignment="1"/>
    <xf numFmtId="174" fontId="26" fillId="0" borderId="0" xfId="28" applyNumberFormat="1" applyFont="1" applyBorder="1" applyAlignment="1">
      <alignment horizontal="center"/>
    </xf>
    <xf numFmtId="165" fontId="26" fillId="0" borderId="0" xfId="41" applyNumberFormat="1" applyFont="1" applyFill="1" applyAlignment="1">
      <alignment horizontal="right"/>
    </xf>
    <xf numFmtId="174" fontId="26" fillId="0" borderId="0" xfId="28" applyNumberFormat="1" applyFont="1" applyFill="1" applyBorder="1" applyAlignment="1">
      <alignment horizontal="center"/>
    </xf>
    <xf numFmtId="174" fontId="26" fillId="0" borderId="0" xfId="41" applyNumberFormat="1" applyFont="1" applyAlignment="1"/>
    <xf numFmtId="0" fontId="26" fillId="0" borderId="11" xfId="41" applyFont="1" applyBorder="1" applyAlignment="1"/>
    <xf numFmtId="3" fontId="26" fillId="0" borderId="12" xfId="41" applyNumberFormat="1" applyFont="1" applyBorder="1" applyAlignment="1"/>
    <xf numFmtId="0" fontId="27" fillId="24" borderId="0" xfId="41" applyFont="1" applyFill="1" applyAlignment="1">
      <alignment horizontal="center" wrapText="1"/>
    </xf>
    <xf numFmtId="0" fontId="28" fillId="0" borderId="0" xfId="41" applyNumberFormat="1" applyFont="1" applyAlignment="1">
      <alignment horizontal="center"/>
    </xf>
    <xf numFmtId="3" fontId="28" fillId="0" borderId="0" xfId="41" applyNumberFormat="1" applyFont="1" applyAlignment="1"/>
    <xf numFmtId="3" fontId="29" fillId="0" borderId="0" xfId="41" applyNumberFormat="1" applyFont="1" applyAlignment="1"/>
    <xf numFmtId="171" fontId="26" fillId="0" borderId="0" xfId="41" applyNumberFormat="1" applyFont="1" applyFill="1" applyAlignment="1">
      <alignment horizontal="left"/>
    </xf>
    <xf numFmtId="3" fontId="26" fillId="0" borderId="0" xfId="41" quotePrefix="1" applyNumberFormat="1" applyFont="1" applyFill="1" applyAlignment="1"/>
    <xf numFmtId="0" fontId="30" fillId="0" borderId="0" xfId="41" applyFont="1" applyAlignment="1"/>
    <xf numFmtId="166" fontId="26" fillId="0" borderId="0" xfId="41" applyNumberFormat="1" applyFont="1" applyFill="1" applyAlignment="1">
      <alignment horizontal="right"/>
    </xf>
    <xf numFmtId="10" fontId="26" fillId="0" borderId="0" xfId="45" applyNumberFormat="1" applyFont="1" applyFill="1" applyAlignment="1">
      <alignment horizontal="center"/>
    </xf>
    <xf numFmtId="10" fontId="26" fillId="0" borderId="0" xfId="45" applyNumberFormat="1" applyFont="1" applyAlignment="1">
      <alignment horizontal="center"/>
    </xf>
    <xf numFmtId="166" fontId="26" fillId="0" borderId="0" xfId="41" applyNumberFormat="1" applyFont="1" applyAlignment="1">
      <alignment horizontal="center"/>
    </xf>
    <xf numFmtId="164" fontId="26" fillId="0" borderId="0" xfId="41" applyNumberFormat="1" applyFont="1" applyAlignment="1">
      <alignment horizontal="left"/>
    </xf>
    <xf numFmtId="10" fontId="26" fillId="0" borderId="0" xfId="41" applyNumberFormat="1" applyFont="1" applyFill="1" applyAlignment="1">
      <alignment horizontal="right"/>
    </xf>
    <xf numFmtId="169" fontId="26" fillId="0" borderId="0" xfId="41" applyNumberFormat="1" applyFont="1" applyFill="1" applyAlignment="1">
      <alignment horizontal="right"/>
    </xf>
    <xf numFmtId="10" fontId="26" fillId="0" borderId="0" xfId="41" applyNumberFormat="1" applyFont="1" applyFill="1" applyAlignment="1">
      <alignment horizontal="left"/>
    </xf>
    <xf numFmtId="167" fontId="26" fillId="0" borderId="0" xfId="41" applyNumberFormat="1" applyFont="1" applyAlignment="1"/>
    <xf numFmtId="174" fontId="26" fillId="0" borderId="0" xfId="28" applyNumberFormat="1" applyFont="1" applyFill="1" applyProtection="1">
      <protection locked="0"/>
    </xf>
    <xf numFmtId="174" fontId="26" fillId="0" borderId="12" xfId="28" applyNumberFormat="1" applyFont="1" applyFill="1" applyBorder="1" applyAlignment="1"/>
    <xf numFmtId="0" fontId="26" fillId="0" borderId="11" xfId="41" applyNumberFormat="1" applyFont="1" applyFill="1" applyBorder="1"/>
    <xf numFmtId="3" fontId="26" fillId="0" borderId="11" xfId="41" applyNumberFormat="1" applyFont="1" applyFill="1" applyBorder="1" applyAlignment="1"/>
    <xf numFmtId="3" fontId="26" fillId="0" borderId="0" xfId="41" applyNumberFormat="1" applyFont="1" applyFill="1" applyAlignment="1">
      <alignment horizontal="center"/>
    </xf>
    <xf numFmtId="49" fontId="26" fillId="0" borderId="0" xfId="41" applyNumberFormat="1" applyFont="1" applyFill="1"/>
    <xf numFmtId="49" fontId="26" fillId="0" borderId="0" xfId="41" applyNumberFormat="1" applyFont="1" applyFill="1" applyAlignment="1"/>
    <xf numFmtId="49" fontId="26" fillId="0" borderId="0" xfId="41" applyNumberFormat="1" applyFont="1" applyFill="1" applyAlignment="1">
      <alignment horizontal="center"/>
    </xf>
    <xf numFmtId="3" fontId="26" fillId="0" borderId="0" xfId="41" applyNumberFormat="1" applyFont="1" applyFill="1" applyAlignment="1">
      <alignment horizontal="right"/>
    </xf>
    <xf numFmtId="166" fontId="26" fillId="0" borderId="0" xfId="41" applyNumberFormat="1" applyFont="1" applyFill="1" applyAlignment="1"/>
    <xf numFmtId="165" fontId="26" fillId="0" borderId="0" xfId="41" applyNumberFormat="1" applyFont="1" applyFill="1"/>
    <xf numFmtId="166" fontId="26" fillId="0" borderId="0" xfId="41" applyNumberFormat="1" applyFont="1" applyFill="1"/>
    <xf numFmtId="0" fontId="17" fillId="0" borderId="0" xfId="41" applyNumberFormat="1" applyFont="1" applyAlignment="1"/>
    <xf numFmtId="3" fontId="17" fillId="0" borderId="0" xfId="41" applyNumberFormat="1" applyFont="1" applyAlignment="1"/>
    <xf numFmtId="3" fontId="26" fillId="0" borderId="11" xfId="41" applyNumberFormat="1" applyFont="1" applyBorder="1" applyAlignment="1"/>
    <xf numFmtId="3" fontId="26" fillId="0" borderId="11" xfId="41" applyNumberFormat="1" applyFont="1" applyBorder="1" applyAlignment="1">
      <alignment horizontal="center"/>
    </xf>
    <xf numFmtId="4" fontId="26" fillId="0" borderId="0" xfId="41" applyNumberFormat="1" applyFont="1" applyAlignment="1"/>
    <xf numFmtId="3" fontId="26" fillId="0" borderId="0" xfId="41" applyNumberFormat="1" applyFont="1" applyBorder="1" applyAlignment="1">
      <alignment horizontal="center"/>
    </xf>
    <xf numFmtId="0" fontId="26" fillId="0" borderId="0" xfId="41" quotePrefix="1" applyFont="1" applyAlignment="1">
      <alignment horizontal="center"/>
    </xf>
    <xf numFmtId="0" fontId="24" fillId="0" borderId="0" xfId="41" applyNumberFormat="1" applyFont="1" applyFill="1" applyBorder="1" applyAlignment="1"/>
    <xf numFmtId="0" fontId="24" fillId="0" borderId="0" xfId="41" applyNumberFormat="1" applyFont="1" applyFill="1" applyBorder="1" applyAlignment="1">
      <alignment horizontal="center"/>
    </xf>
    <xf numFmtId="0" fontId="31" fillId="0" borderId="0" xfId="41" applyFont="1" applyFill="1" applyBorder="1"/>
    <xf numFmtId="0" fontId="23" fillId="0" borderId="0" xfId="41" applyFont="1" applyFill="1" applyBorder="1"/>
    <xf numFmtId="0" fontId="24" fillId="0" borderId="0" xfId="41" applyFont="1" applyFill="1" applyBorder="1" applyAlignment="1"/>
    <xf numFmtId="0" fontId="26" fillId="0" borderId="0" xfId="41" applyFont="1" applyFill="1" applyBorder="1" applyAlignment="1"/>
    <xf numFmtId="49" fontId="27" fillId="0" borderId="0" xfId="41" applyNumberFormat="1" applyFont="1" applyFill="1" applyAlignment="1">
      <alignment horizontal="center" wrapText="1"/>
    </xf>
    <xf numFmtId="3" fontId="27" fillId="0" borderId="10" xfId="41" applyNumberFormat="1" applyFont="1" applyBorder="1" applyAlignment="1">
      <alignment horizontal="center"/>
    </xf>
    <xf numFmtId="0" fontId="26" fillId="0" borderId="10" xfId="41" applyFont="1" applyFill="1" applyBorder="1" applyAlignment="1">
      <alignment horizontal="center"/>
    </xf>
    <xf numFmtId="166" fontId="27" fillId="0" borderId="0" xfId="41" quotePrefix="1" applyNumberFormat="1" applyFont="1" applyFill="1" applyAlignment="1"/>
    <xf numFmtId="166" fontId="26" fillId="0" borderId="0" xfId="41" applyNumberFormat="1" applyFont="1" applyFill="1" applyAlignment="1">
      <alignment horizontal="center"/>
    </xf>
    <xf numFmtId="0" fontId="26" fillId="0" borderId="11" xfId="41" applyNumberFormat="1" applyFont="1" applyBorder="1" applyAlignment="1"/>
    <xf numFmtId="3" fontId="26" fillId="0" borderId="0" xfId="41" quotePrefix="1" applyNumberFormat="1" applyFont="1" applyAlignment="1"/>
    <xf numFmtId="9" fontId="26" fillId="0" borderId="0" xfId="41" applyNumberFormat="1" applyFont="1" applyAlignment="1"/>
    <xf numFmtId="169" fontId="26" fillId="0" borderId="0" xfId="41" applyNumberFormat="1" applyFont="1" applyAlignment="1"/>
    <xf numFmtId="169" fontId="26" fillId="0" borderId="11" xfId="41" applyNumberFormat="1" applyFont="1" applyBorder="1" applyAlignment="1"/>
    <xf numFmtId="0" fontId="26" fillId="0" borderId="0" xfId="41" applyNumberFormat="1" applyFont="1" applyBorder="1" applyAlignment="1">
      <alignment horizontal="center"/>
    </xf>
    <xf numFmtId="0" fontId="26" fillId="0" borderId="0" xfId="41" applyFont="1" applyFill="1" applyAlignment="1" applyProtection="1"/>
    <xf numFmtId="38" fontId="26" fillId="0" borderId="0" xfId="41" applyNumberFormat="1" applyFont="1" applyAlignment="1" applyProtection="1"/>
    <xf numFmtId="38" fontId="26" fillId="0" borderId="0" xfId="41" applyNumberFormat="1" applyFont="1" applyAlignment="1"/>
    <xf numFmtId="0" fontId="26" fillId="0" borderId="0" xfId="41" applyFont="1" applyBorder="1" applyAlignment="1"/>
    <xf numFmtId="0" fontId="26" fillId="0" borderId="0" xfId="41" applyFont="1" applyBorder="1" applyAlignment="1">
      <alignment horizontal="center"/>
    </xf>
    <xf numFmtId="174" fontId="26" fillId="24" borderId="0" xfId="28" applyNumberFormat="1" applyFont="1" applyFill="1" applyBorder="1" applyProtection="1">
      <protection locked="0"/>
    </xf>
    <xf numFmtId="0" fontId="26" fillId="0" borderId="11" xfId="41" applyNumberFormat="1" applyFont="1" applyBorder="1"/>
    <xf numFmtId="174" fontId="26" fillId="24" borderId="11" xfId="28" applyNumberFormat="1" applyFont="1" applyFill="1" applyBorder="1" applyProtection="1">
      <protection locked="0"/>
    </xf>
    <xf numFmtId="3" fontId="32" fillId="0" borderId="0" xfId="41" applyNumberFormat="1" applyFont="1" applyAlignment="1">
      <alignment horizontal="left"/>
    </xf>
    <xf numFmtId="3" fontId="32" fillId="0" borderId="0" xfId="41" applyNumberFormat="1" applyFont="1" applyAlignment="1">
      <alignment horizontal="center"/>
    </xf>
    <xf numFmtId="174" fontId="26" fillId="0" borderId="0" xfId="28" applyNumberFormat="1" applyFont="1" applyFill="1" applyBorder="1" applyProtection="1"/>
    <xf numFmtId="3" fontId="22" fillId="0" borderId="0" xfId="41" applyNumberFormat="1" applyFont="1" applyAlignment="1">
      <alignment horizontal="center"/>
    </xf>
    <xf numFmtId="172" fontId="26" fillId="0" borderId="0" xfId="41" applyNumberFormat="1" applyFont="1"/>
    <xf numFmtId="174" fontId="26" fillId="24" borderId="0" xfId="28" applyNumberFormat="1" applyFont="1" applyFill="1" applyBorder="1" applyProtection="1"/>
    <xf numFmtId="3" fontId="26" fillId="0" borderId="0" xfId="41" applyNumberFormat="1" applyFont="1" applyAlignment="1" applyProtection="1"/>
    <xf numFmtId="3" fontId="32" fillId="0" borderId="0" xfId="41" applyNumberFormat="1" applyFont="1" applyFill="1" applyAlignment="1">
      <alignment horizontal="left"/>
    </xf>
    <xf numFmtId="3" fontId="22" fillId="0" borderId="0" xfId="41" applyNumberFormat="1" applyFont="1" applyFill="1" applyAlignment="1">
      <alignment horizontal="center"/>
    </xf>
    <xf numFmtId="174" fontId="26" fillId="24" borderId="0" xfId="28" applyNumberFormat="1" applyFont="1" applyFill="1" applyBorder="1" applyAlignment="1" applyProtection="1">
      <protection locked="0"/>
    </xf>
    <xf numFmtId="0" fontId="26" fillId="0" borderId="0" xfId="41" applyNumberFormat="1" applyFont="1" applyBorder="1" applyAlignment="1"/>
    <xf numFmtId="0" fontId="26" fillId="0" borderId="0" xfId="41" applyNumberFormat="1" applyFont="1" applyBorder="1"/>
    <xf numFmtId="0" fontId="26" fillId="0" borderId="11" xfId="41" applyNumberFormat="1" applyFont="1" applyFill="1" applyBorder="1" applyAlignment="1"/>
    <xf numFmtId="174" fontId="26" fillId="24" borderId="10" xfId="28" applyNumberFormat="1" applyFont="1" applyFill="1" applyBorder="1" applyAlignment="1" applyProtection="1">
      <protection locked="0"/>
    </xf>
    <xf numFmtId="174" fontId="26" fillId="0" borderId="0" xfId="28" applyNumberFormat="1" applyFont="1" applyFill="1" applyBorder="1" applyAlignment="1" applyProtection="1"/>
    <xf numFmtId="173" fontId="26" fillId="0" borderId="0" xfId="41" applyNumberFormat="1" applyFont="1" applyAlignment="1"/>
    <xf numFmtId="0" fontId="33" fillId="0" borderId="0" xfId="41" applyNumberFormat="1" applyFont="1" applyFill="1"/>
    <xf numFmtId="3" fontId="33" fillId="0" borderId="0" xfId="41" applyNumberFormat="1" applyFont="1" applyFill="1" applyAlignment="1"/>
    <xf numFmtId="0" fontId="33" fillId="0" borderId="0" xfId="41" applyFont="1" applyAlignment="1">
      <alignment horizontal="center"/>
    </xf>
    <xf numFmtId="0" fontId="33" fillId="0" borderId="0" xfId="41" applyFont="1" applyAlignment="1"/>
    <xf numFmtId="0" fontId="33" fillId="0" borderId="0" xfId="41" applyFont="1" applyFill="1" applyAlignment="1"/>
    <xf numFmtId="0" fontId="34" fillId="0" borderId="0" xfId="41" applyNumberFormat="1" applyFont="1" applyFill="1" applyAlignment="1">
      <alignment horizontal="left"/>
    </xf>
    <xf numFmtId="0" fontId="35" fillId="0" borderId="0" xfId="41" applyFont="1" applyFill="1" applyAlignment="1"/>
    <xf numFmtId="174" fontId="26" fillId="0" borderId="0" xfId="28" applyNumberFormat="1" applyFont="1" applyFill="1"/>
    <xf numFmtId="174" fontId="26" fillId="0" borderId="0" xfId="28" applyNumberFormat="1" applyFont="1" applyFill="1" applyBorder="1"/>
    <xf numFmtId="174" fontId="26" fillId="0" borderId="11" xfId="28" applyNumberFormat="1" applyFont="1" applyFill="1" applyBorder="1"/>
    <xf numFmtId="169" fontId="26" fillId="0" borderId="0" xfId="41" applyNumberFormat="1" applyFont="1" applyFill="1" applyAlignment="1"/>
    <xf numFmtId="0" fontId="26" fillId="0" borderId="0" xfId="42" applyNumberFormat="1" applyFont="1" applyFill="1" applyAlignment="1"/>
    <xf numFmtId="3" fontId="26" fillId="0" borderId="0" xfId="42" applyNumberFormat="1" applyFont="1" applyFill="1" applyAlignment="1"/>
    <xf numFmtId="174" fontId="26" fillId="24" borderId="0" xfId="28" applyNumberFormat="1" applyFont="1" applyFill="1" applyBorder="1"/>
    <xf numFmtId="174" fontId="26" fillId="0" borderId="10" xfId="28" applyNumberFormat="1" applyFont="1" applyFill="1" applyBorder="1" applyAlignment="1"/>
    <xf numFmtId="0" fontId="6" fillId="25" borderId="13" xfId="41" applyFont="1" applyFill="1" applyBorder="1" applyAlignment="1"/>
    <xf numFmtId="0" fontId="6" fillId="25" borderId="0" xfId="41" applyFont="1" applyFill="1" applyBorder="1" applyAlignment="1"/>
    <xf numFmtId="0" fontId="6" fillId="25" borderId="0" xfId="41" applyFont="1" applyFill="1" applyBorder="1" applyAlignment="1">
      <alignment horizontal="center"/>
    </xf>
    <xf numFmtId="3" fontId="6" fillId="25" borderId="0" xfId="41" applyNumberFormat="1" applyFont="1" applyFill="1" applyBorder="1" applyAlignment="1"/>
    <xf numFmtId="0" fontId="6" fillId="25" borderId="0" xfId="41" applyNumberFormat="1" applyFont="1" applyFill="1" applyBorder="1" applyAlignment="1"/>
    <xf numFmtId="0" fontId="6" fillId="25" borderId="14" xfId="41" applyFont="1" applyFill="1" applyBorder="1" applyAlignment="1"/>
    <xf numFmtId="3" fontId="6" fillId="25" borderId="0" xfId="41" applyNumberFormat="1" applyFont="1" applyFill="1" applyBorder="1" applyAlignment="1">
      <alignment horizontal="center"/>
    </xf>
    <xf numFmtId="3" fontId="17" fillId="25" borderId="0" xfId="41" applyNumberFormat="1" applyFont="1" applyFill="1" applyBorder="1" applyAlignment="1"/>
    <xf numFmtId="170" fontId="6" fillId="25" borderId="15" xfId="41" applyNumberFormat="1" applyFont="1" applyFill="1" applyBorder="1" applyAlignment="1"/>
    <xf numFmtId="170" fontId="6" fillId="25" borderId="0" xfId="41" applyNumberFormat="1" applyFont="1" applyFill="1" applyBorder="1" applyAlignment="1"/>
    <xf numFmtId="170" fontId="6" fillId="25" borderId="0" xfId="41" applyNumberFormat="1" applyFont="1" applyFill="1" applyBorder="1" applyAlignment="1">
      <alignment horizontal="center"/>
    </xf>
    <xf numFmtId="0" fontId="17" fillId="25" borderId="0" xfId="41" applyFont="1" applyFill="1" applyBorder="1" applyAlignment="1"/>
    <xf numFmtId="0" fontId="36" fillId="25" borderId="0" xfId="41" applyFont="1" applyFill="1" applyBorder="1" applyAlignment="1"/>
    <xf numFmtId="0" fontId="6" fillId="25" borderId="13" xfId="41" applyNumberFormat="1" applyFont="1" applyFill="1" applyBorder="1" applyAlignment="1"/>
    <xf numFmtId="0" fontId="6" fillId="25" borderId="0" xfId="41" applyNumberFormat="1" applyFont="1" applyFill="1" applyBorder="1" applyAlignment="1">
      <alignment horizontal="center"/>
    </xf>
    <xf numFmtId="0" fontId="37" fillId="25" borderId="0" xfId="41" applyFont="1" applyFill="1" applyBorder="1"/>
    <xf numFmtId="0" fontId="17" fillId="25" borderId="0" xfId="41" applyFont="1" applyFill="1" applyBorder="1"/>
    <xf numFmtId="175" fontId="6" fillId="25" borderId="13" xfId="30" applyNumberFormat="1" applyFont="1" applyFill="1" applyBorder="1" applyAlignment="1"/>
    <xf numFmtId="175" fontId="6" fillId="25" borderId="0" xfId="30" applyNumberFormat="1" applyFont="1" applyFill="1" applyBorder="1" applyAlignment="1"/>
    <xf numFmtId="175" fontId="6" fillId="25" borderId="0" xfId="30" applyNumberFormat="1" applyFont="1" applyFill="1" applyBorder="1" applyAlignment="1">
      <alignment horizontal="center"/>
    </xf>
    <xf numFmtId="0" fontId="17" fillId="25" borderId="0" xfId="41" applyFont="1" applyFill="1" applyBorder="1" applyAlignment="1">
      <alignment horizontal="left" wrapText="1"/>
    </xf>
    <xf numFmtId="170" fontId="6" fillId="25" borderId="13" xfId="41" applyNumberFormat="1" applyFont="1" applyFill="1" applyBorder="1" applyAlignment="1"/>
    <xf numFmtId="170" fontId="6" fillId="25" borderId="10" xfId="41" applyNumberFormat="1" applyFont="1" applyFill="1" applyBorder="1" applyAlignment="1"/>
    <xf numFmtId="170" fontId="6" fillId="25" borderId="10" xfId="41" applyNumberFormat="1" applyFont="1" applyFill="1" applyBorder="1" applyAlignment="1">
      <alignment horizontal="center"/>
    </xf>
    <xf numFmtId="0" fontId="17" fillId="25" borderId="10" xfId="41" applyFont="1" applyFill="1" applyBorder="1" applyAlignment="1"/>
    <xf numFmtId="3" fontId="6" fillId="25" borderId="10" xfId="41" applyNumberFormat="1" applyFont="1" applyFill="1" applyBorder="1" applyAlignment="1"/>
    <xf numFmtId="0" fontId="6" fillId="25" borderId="10" xfId="41" applyNumberFormat="1" applyFont="1" applyFill="1" applyBorder="1" applyAlignment="1"/>
    <xf numFmtId="0" fontId="6" fillId="25" borderId="10" xfId="41" applyFont="1" applyFill="1" applyBorder="1" applyAlignment="1"/>
    <xf numFmtId="0" fontId="6" fillId="25" borderId="16" xfId="41" applyFont="1" applyFill="1" applyBorder="1" applyAlignment="1"/>
    <xf numFmtId="0" fontId="27" fillId="0" borderId="17" xfId="41" applyFont="1" applyBorder="1" applyAlignment="1"/>
    <xf numFmtId="0" fontId="26" fillId="0" borderId="18" xfId="41" applyFont="1" applyFill="1" applyBorder="1" applyAlignment="1"/>
    <xf numFmtId="0" fontId="26" fillId="0" borderId="19" xfId="41" applyFont="1" applyFill="1" applyBorder="1" applyAlignment="1"/>
    <xf numFmtId="0" fontId="26" fillId="0" borderId="13" xfId="41" applyFont="1" applyFill="1" applyBorder="1" applyAlignment="1"/>
    <xf numFmtId="0" fontId="26" fillId="0" borderId="14" xfId="41" applyFont="1" applyFill="1" applyBorder="1" applyAlignment="1"/>
    <xf numFmtId="174" fontId="6" fillId="25" borderId="15" xfId="28" applyNumberFormat="1" applyFont="1" applyFill="1" applyBorder="1" applyAlignment="1"/>
    <xf numFmtId="174" fontId="6" fillId="25" borderId="13" xfId="28" applyNumberFormat="1" applyFont="1" applyFill="1" applyBorder="1" applyAlignment="1"/>
    <xf numFmtId="0" fontId="26" fillId="0" borderId="0" xfId="41" quotePrefix="1" applyNumberFormat="1" applyFont="1" applyFill="1" applyAlignment="1">
      <alignment horizontal="left"/>
    </xf>
    <xf numFmtId="0" fontId="38" fillId="0" borderId="0" xfId="0" applyNumberFormat="1" applyFont="1" applyAlignment="1"/>
    <xf numFmtId="3" fontId="38" fillId="0" borderId="0" xfId="0" applyNumberFormat="1" applyFont="1" applyAlignment="1"/>
    <xf numFmtId="0" fontId="38" fillId="0" borderId="0" xfId="42" applyNumberFormat="1" applyFont="1" applyFill="1" applyAlignment="1"/>
    <xf numFmtId="3" fontId="38" fillId="0" borderId="0" xfId="42" applyNumberFormat="1" applyFont="1" applyFill="1" applyAlignment="1"/>
    <xf numFmtId="165" fontId="26" fillId="0" borderId="0" xfId="41" applyNumberFormat="1" applyFont="1" applyBorder="1" applyAlignment="1"/>
    <xf numFmtId="174" fontId="26" fillId="24" borderId="0" xfId="28" applyNumberFormat="1" applyFont="1" applyFill="1" applyBorder="1" applyAlignment="1"/>
    <xf numFmtId="174" fontId="26" fillId="24" borderId="10" xfId="28" applyNumberFormat="1" applyFont="1" applyFill="1" applyBorder="1"/>
    <xf numFmtId="0" fontId="26" fillId="0" borderId="0" xfId="41" applyNumberFormat="1" applyFont="1" applyFill="1" applyBorder="1" applyAlignment="1"/>
    <xf numFmtId="0" fontId="26" fillId="0" borderId="0" xfId="41" applyNumberFormat="1" applyFont="1" applyFill="1" applyBorder="1" applyAlignment="1">
      <alignment horizontal="left"/>
    </xf>
    <xf numFmtId="3" fontId="26" fillId="0" borderId="0" xfId="41" applyNumberFormat="1" applyFont="1" applyFill="1" applyBorder="1" applyAlignment="1"/>
    <xf numFmtId="0" fontId="26" fillId="26" borderId="0" xfId="41" applyFont="1" applyFill="1" applyAlignment="1"/>
    <xf numFmtId="0" fontId="26" fillId="26" borderId="0" xfId="41" applyFont="1" applyFill="1" applyAlignment="1">
      <alignment horizontal="center"/>
    </xf>
    <xf numFmtId="0" fontId="26" fillId="0" borderId="0" xfId="41" applyNumberFormat="1" applyFont="1" applyFill="1" applyAlignment="1">
      <alignment horizontal="right"/>
    </xf>
    <xf numFmtId="10" fontId="26" fillId="24" borderId="0" xfId="41" applyNumberFormat="1" applyFont="1" applyFill="1"/>
    <xf numFmtId="0" fontId="38" fillId="0" borderId="0" xfId="41" applyNumberFormat="1" applyFont="1" applyFill="1"/>
    <xf numFmtId="10" fontId="26" fillId="0" borderId="0" xfId="41" applyNumberFormat="1" applyFont="1" applyFill="1"/>
    <xf numFmtId="0" fontId="26" fillId="0" borderId="0" xfId="41" applyFont="1"/>
    <xf numFmtId="0" fontId="35" fillId="0" borderId="0" xfId="41" applyNumberFormat="1" applyFont="1" applyFill="1"/>
    <xf numFmtId="0" fontId="35" fillId="0" borderId="0" xfId="41" applyFont="1" applyFill="1" applyAlignment="1">
      <alignment horizontal="center"/>
    </xf>
    <xf numFmtId="0" fontId="26" fillId="0" borderId="0" xfId="41" applyNumberFormat="1" applyFont="1" applyFill="1" applyAlignment="1">
      <alignment vertical="top" wrapText="1"/>
    </xf>
    <xf numFmtId="0" fontId="32" fillId="0" borderId="0" xfId="41" applyNumberFormat="1" applyFont="1" applyFill="1" applyAlignment="1">
      <alignment horizontal="left"/>
    </xf>
    <xf numFmtId="0" fontId="32" fillId="0" borderId="0" xfId="41" applyNumberFormat="1" applyFont="1" applyFill="1" applyAlignment="1">
      <alignment horizontal="center"/>
    </xf>
    <xf numFmtId="0" fontId="26" fillId="0" borderId="11" xfId="41" applyNumberFormat="1" applyFont="1" applyFill="1" applyBorder="1" applyAlignment="1">
      <alignment horizontal="center"/>
    </xf>
    <xf numFmtId="0" fontId="26" fillId="0" borderId="0" xfId="41" applyFont="1" applyFill="1" applyAlignment="1">
      <alignment horizontal="center" vertical="top" wrapText="1"/>
    </xf>
    <xf numFmtId="0" fontId="26" fillId="0" borderId="0" xfId="41" applyFont="1" applyFill="1" applyAlignment="1">
      <alignment horizontal="center" vertical="top"/>
    </xf>
    <xf numFmtId="175" fontId="26" fillId="0" borderId="0" xfId="30" applyNumberFormat="1" applyFont="1" applyFill="1"/>
    <xf numFmtId="0" fontId="26" fillId="0" borderId="0" xfId="41" applyFont="1" applyFill="1" applyAlignment="1">
      <alignment horizontal="center" vertical="center" wrapText="1"/>
    </xf>
    <xf numFmtId="174" fontId="26" fillId="26" borderId="0" xfId="28" applyNumberFormat="1" applyFont="1" applyFill="1" applyBorder="1" applyAlignment="1"/>
    <xf numFmtId="174" fontId="26" fillId="26" borderId="10" xfId="28" applyNumberFormat="1" applyFont="1" applyFill="1" applyBorder="1" applyAlignment="1"/>
    <xf numFmtId="3" fontId="26" fillId="0" borderId="20" xfId="41" applyNumberFormat="1" applyFont="1" applyBorder="1" applyAlignment="1"/>
    <xf numFmtId="174" fontId="17" fillId="24" borderId="11" xfId="28" applyNumberFormat="1" applyFont="1" applyFill="1" applyBorder="1" applyAlignment="1"/>
    <xf numFmtId="0" fontId="26" fillId="27" borderId="0" xfId="0" applyNumberFormat="1" applyFont="1" applyFill="1" applyAlignment="1"/>
    <xf numFmtId="0" fontId="27" fillId="27" borderId="0" xfId="0" applyNumberFormat="1" applyFont="1" applyFill="1" applyAlignment="1">
      <alignment horizontal="center"/>
    </xf>
    <xf numFmtId="0" fontId="26" fillId="27" borderId="0" xfId="0" applyNumberFormat="1" applyFont="1" applyFill="1" applyAlignment="1">
      <alignment horizontal="right"/>
    </xf>
    <xf numFmtId="0" fontId="26" fillId="27" borderId="0" xfId="0" applyNumberFormat="1" applyFont="1" applyFill="1" applyAlignment="1">
      <alignment horizontal="left"/>
    </xf>
    <xf numFmtId="0" fontId="26" fillId="27" borderId="0" xfId="0" applyNumberFormat="1" applyFont="1" applyFill="1"/>
    <xf numFmtId="0" fontId="26" fillId="28" borderId="0" xfId="0" applyNumberFormat="1" applyFont="1" applyFill="1"/>
    <xf numFmtId="0" fontId="26" fillId="28" borderId="0" xfId="0" applyNumberFormat="1" applyFont="1" applyFill="1" applyAlignment="1">
      <alignment horizontal="right"/>
    </xf>
    <xf numFmtId="3" fontId="26" fillId="27" borderId="0" xfId="0" applyNumberFormat="1" applyFont="1" applyFill="1" applyAlignment="1"/>
    <xf numFmtId="0" fontId="0" fillId="0" borderId="0" xfId="0" applyNumberFormat="1"/>
    <xf numFmtId="49" fontId="26" fillId="24" borderId="0" xfId="0" applyNumberFormat="1" applyFont="1" applyFill="1"/>
    <xf numFmtId="49" fontId="26" fillId="27" borderId="0" xfId="0" applyNumberFormat="1" applyFont="1" applyFill="1"/>
    <xf numFmtId="0" fontId="22" fillId="27" borderId="0" xfId="0" applyNumberFormat="1" applyFont="1" applyFill="1"/>
    <xf numFmtId="49" fontId="22" fillId="27" borderId="0" xfId="0" applyNumberFormat="1" applyFont="1" applyFill="1"/>
    <xf numFmtId="3" fontId="22" fillId="27" borderId="0" xfId="0" applyNumberFormat="1" applyFont="1" applyFill="1"/>
    <xf numFmtId="0" fontId="26" fillId="27" borderId="0" xfId="0" applyNumberFormat="1" applyFont="1" applyFill="1" applyAlignment="1">
      <alignment horizontal="center"/>
    </xf>
    <xf numFmtId="174" fontId="26" fillId="27" borderId="0" xfId="28" quotePrefix="1" applyNumberFormat="1" applyFont="1" applyFill="1" applyAlignment="1">
      <alignment horizontal="center" vertical="center"/>
    </xf>
    <xf numFmtId="3" fontId="22" fillId="27" borderId="0" xfId="0" applyNumberFormat="1" applyFont="1" applyFill="1" applyAlignment="1"/>
    <xf numFmtId="49" fontId="26" fillId="27" borderId="0" xfId="0" applyNumberFormat="1" applyFont="1" applyFill="1" applyAlignment="1">
      <alignment horizontal="center"/>
    </xf>
    <xf numFmtId="49" fontId="26" fillId="27" borderId="0" xfId="0" applyNumberFormat="1" applyFont="1" applyFill="1" applyBorder="1" applyAlignment="1">
      <alignment horizontal="center"/>
    </xf>
    <xf numFmtId="0" fontId="22" fillId="27" borderId="0" xfId="0" applyNumberFormat="1" applyFont="1" applyFill="1" applyAlignment="1"/>
    <xf numFmtId="3" fontId="27" fillId="27" borderId="0" xfId="0" applyNumberFormat="1" applyFont="1" applyFill="1" applyAlignment="1">
      <alignment horizontal="center"/>
    </xf>
    <xf numFmtId="0" fontId="0" fillId="0" borderId="0" xfId="0" applyNumberFormat="1" applyAlignment="1"/>
    <xf numFmtId="3" fontId="27" fillId="27" borderId="0" xfId="0" applyNumberFormat="1" applyFont="1" applyFill="1" applyAlignment="1"/>
    <xf numFmtId="3" fontId="39" fillId="27" borderId="0" xfId="0" applyNumberFormat="1" applyFont="1" applyFill="1" applyAlignment="1"/>
    <xf numFmtId="0" fontId="27" fillId="0" borderId="0" xfId="0" applyNumberFormat="1" applyFont="1" applyAlignment="1">
      <alignment horizontal="center"/>
    </xf>
    <xf numFmtId="0" fontId="27" fillId="27" borderId="0" xfId="0" applyNumberFormat="1" applyFont="1" applyFill="1" applyBorder="1" applyAlignment="1">
      <alignment horizontal="center"/>
    </xf>
    <xf numFmtId="0" fontId="39" fillId="27" borderId="0" xfId="0" applyNumberFormat="1" applyFont="1" applyFill="1" applyAlignment="1"/>
    <xf numFmtId="10" fontId="22" fillId="27" borderId="0" xfId="0" applyNumberFormat="1" applyFont="1" applyFill="1" applyAlignment="1"/>
    <xf numFmtId="3" fontId="26" fillId="27" borderId="0" xfId="0" applyNumberFormat="1" applyFont="1" applyFill="1" applyAlignment="1">
      <alignment horizontal="center"/>
    </xf>
    <xf numFmtId="174" fontId="22" fillId="24" borderId="0" xfId="28" applyNumberFormat="1" applyFont="1" applyFill="1" applyAlignment="1"/>
    <xf numFmtId="165" fontId="22" fillId="27" borderId="0" xfId="0" applyNumberFormat="1" applyFont="1" applyFill="1" applyAlignment="1"/>
    <xf numFmtId="0" fontId="0" fillId="27" borderId="0" xfId="0" applyNumberFormat="1" applyFill="1" applyAlignment="1"/>
    <xf numFmtId="0" fontId="26" fillId="0" borderId="0" xfId="0" applyNumberFormat="1" applyFont="1" applyFill="1" applyBorder="1" applyAlignment="1"/>
    <xf numFmtId="0" fontId="26" fillId="27" borderId="0" xfId="0" applyNumberFormat="1" applyFont="1" applyFill="1" applyAlignment="1">
      <alignment vertical="top"/>
    </xf>
    <xf numFmtId="174" fontId="22" fillId="24" borderId="0" xfId="28" applyNumberFormat="1" applyFont="1" applyFill="1" applyBorder="1" applyAlignment="1"/>
    <xf numFmtId="166" fontId="22" fillId="27" borderId="0" xfId="0" applyNumberFormat="1" applyFont="1" applyFill="1" applyAlignment="1"/>
    <xf numFmtId="0" fontId="0" fillId="27" borderId="0" xfId="0" applyNumberFormat="1" applyFont="1" applyFill="1" applyAlignment="1"/>
    <xf numFmtId="164" fontId="26" fillId="27" borderId="0" xfId="0" applyNumberFormat="1" applyFont="1" applyFill="1" applyAlignment="1">
      <alignment horizontal="center"/>
    </xf>
    <xf numFmtId="3" fontId="22" fillId="27" borderId="0" xfId="0" applyNumberFormat="1" applyFont="1" applyFill="1" applyAlignment="1">
      <alignment horizontal="center"/>
    </xf>
    <xf numFmtId="10" fontId="22" fillId="27" borderId="0" xfId="0" applyNumberFormat="1" applyFont="1" applyFill="1" applyBorder="1" applyAlignment="1"/>
    <xf numFmtId="3" fontId="22" fillId="27" borderId="0" xfId="0" applyNumberFormat="1" applyFont="1" applyFill="1" applyBorder="1" applyAlignment="1"/>
    <xf numFmtId="10" fontId="22" fillId="0" borderId="0" xfId="0" applyNumberFormat="1" applyFont="1" applyFill="1" applyAlignment="1"/>
    <xf numFmtId="0" fontId="22" fillId="27" borderId="0" xfId="0" applyNumberFormat="1" applyFont="1" applyFill="1" applyAlignment="1">
      <alignment horizontal="center"/>
    </xf>
    <xf numFmtId="10" fontId="26" fillId="27" borderId="0" xfId="0" applyNumberFormat="1" applyFont="1" applyFill="1" applyAlignment="1"/>
    <xf numFmtId="0" fontId="0" fillId="0" borderId="0" xfId="0" applyNumberFormat="1" applyFill="1" applyBorder="1" applyAlignment="1"/>
    <xf numFmtId="0" fontId="0" fillId="0" borderId="0" xfId="0" applyNumberFormat="1" applyFill="1" applyBorder="1" applyAlignment="1">
      <alignment horizontal="right"/>
    </xf>
    <xf numFmtId="0" fontId="22" fillId="0" borderId="0" xfId="0" applyNumberFormat="1" applyFont="1" applyFill="1" applyBorder="1" applyAlignment="1"/>
    <xf numFmtId="3" fontId="22" fillId="0" borderId="0" xfId="0" applyNumberFormat="1" applyFont="1" applyFill="1" applyBorder="1" applyAlignment="1"/>
    <xf numFmtId="0" fontId="22" fillId="0" borderId="0" xfId="0" applyNumberFormat="1" applyFont="1" applyFill="1" applyBorder="1" applyAlignment="1">
      <alignment horizontal="right"/>
    </xf>
    <xf numFmtId="49" fontId="22" fillId="0" borderId="0" xfId="0" applyNumberFormat="1" applyFont="1" applyFill="1" applyBorder="1" applyAlignment="1"/>
    <xf numFmtId="0" fontId="39" fillId="0" borderId="0" xfId="0" applyNumberFormat="1" applyFont="1" applyFill="1" applyBorder="1" applyAlignment="1"/>
    <xf numFmtId="0" fontId="22" fillId="0" borderId="0" xfId="0" applyNumberFormat="1" applyFont="1" applyFill="1" applyBorder="1"/>
    <xf numFmtId="177" fontId="39" fillId="0" borderId="0" xfId="0" applyNumberFormat="1" applyFont="1" applyFill="1" applyBorder="1" applyAlignment="1">
      <alignment horizontal="center"/>
    </xf>
    <xf numFmtId="0" fontId="40" fillId="0" borderId="21" xfId="0" applyNumberFormat="1" applyFont="1" applyFill="1" applyBorder="1" applyAlignment="1"/>
    <xf numFmtId="0" fontId="40" fillId="0" borderId="21" xfId="0" applyNumberFormat="1" applyFont="1" applyFill="1" applyBorder="1" applyAlignment="1">
      <alignment horizontal="center" wrapText="1"/>
    </xf>
    <xf numFmtId="0" fontId="39" fillId="0" borderId="21" xfId="0" applyNumberFormat="1" applyFont="1" applyFill="1" applyBorder="1" applyAlignment="1">
      <alignment horizontal="center" wrapText="1"/>
    </xf>
    <xf numFmtId="0" fontId="40" fillId="0" borderId="22" xfId="0" applyNumberFormat="1" applyFont="1" applyFill="1" applyBorder="1" applyAlignment="1">
      <alignment horizontal="center" wrapText="1"/>
    </xf>
    <xf numFmtId="3" fontId="39" fillId="0" borderId="22" xfId="0" applyNumberFormat="1" applyFont="1" applyFill="1" applyBorder="1" applyAlignment="1">
      <alignment horizontal="center" wrapText="1"/>
    </xf>
    <xf numFmtId="3" fontId="39" fillId="0" borderId="21" xfId="0" applyNumberFormat="1" applyFont="1" applyFill="1" applyBorder="1" applyAlignment="1">
      <alignment horizontal="center" wrapText="1"/>
    </xf>
    <xf numFmtId="0" fontId="22" fillId="0" borderId="21" xfId="0" applyNumberFormat="1" applyFont="1" applyFill="1" applyBorder="1"/>
    <xf numFmtId="0" fontId="22" fillId="0" borderId="21" xfId="0" applyNumberFormat="1" applyFont="1" applyFill="1" applyBorder="1" applyAlignment="1">
      <alignment horizontal="center"/>
    </xf>
    <xf numFmtId="0" fontId="22" fillId="0" borderId="21" xfId="0" applyNumberFormat="1" applyFont="1" applyFill="1" applyBorder="1" applyAlignment="1">
      <alignment horizontal="center" wrapText="1"/>
    </xf>
    <xf numFmtId="0" fontId="22" fillId="0" borderId="22" xfId="0" applyNumberFormat="1" applyFont="1" applyFill="1" applyBorder="1" applyAlignment="1">
      <alignment horizontal="center"/>
    </xf>
    <xf numFmtId="3" fontId="22" fillId="0" borderId="21" xfId="0" applyNumberFormat="1" applyFont="1" applyFill="1" applyBorder="1" applyAlignment="1">
      <alignment horizontal="center"/>
    </xf>
    <xf numFmtId="3" fontId="22" fillId="0" borderId="22" xfId="0" applyNumberFormat="1" applyFont="1" applyFill="1" applyBorder="1" applyAlignment="1">
      <alignment horizontal="center" wrapText="1"/>
    </xf>
    <xf numFmtId="0" fontId="22" fillId="0" borderId="23" xfId="0" applyNumberFormat="1" applyFont="1" applyFill="1" applyBorder="1"/>
    <xf numFmtId="3" fontId="22" fillId="0" borderId="23" xfId="0" applyNumberFormat="1" applyFont="1" applyFill="1" applyBorder="1" applyAlignment="1"/>
    <xf numFmtId="0" fontId="0" fillId="0" borderId="0" xfId="0" applyNumberFormat="1" applyFill="1" applyBorder="1" applyAlignment="1">
      <alignment horizontal="center"/>
    </xf>
    <xf numFmtId="175" fontId="41" fillId="24" borderId="0" xfId="30" applyNumberFormat="1" applyFont="1" applyFill="1" applyBorder="1" applyAlignment="1"/>
    <xf numFmtId="10" fontId="0" fillId="0" borderId="0" xfId="45" applyNumberFormat="1" applyFont="1" applyFill="1" applyBorder="1" applyAlignment="1"/>
    <xf numFmtId="44" fontId="0" fillId="0" borderId="23" xfId="30" applyFont="1" applyFill="1" applyBorder="1" applyAlignment="1"/>
    <xf numFmtId="44" fontId="6" fillId="0" borderId="23" xfId="30" applyFont="1" applyFill="1" applyBorder="1" applyAlignment="1"/>
    <xf numFmtId="0" fontId="42" fillId="0" borderId="0" xfId="0" applyNumberFormat="1" applyFont="1" applyFill="1" applyBorder="1" applyAlignment="1"/>
    <xf numFmtId="0" fontId="42" fillId="0" borderId="0" xfId="0" applyNumberFormat="1" applyFont="1" applyFill="1" applyBorder="1" applyAlignment="1">
      <alignment horizontal="center"/>
    </xf>
    <xf numFmtId="0" fontId="42" fillId="0" borderId="23" xfId="0" applyNumberFormat="1" applyFont="1" applyFill="1" applyBorder="1" applyAlignment="1"/>
    <xf numFmtId="0" fontId="42" fillId="0" borderId="10" xfId="0" applyNumberFormat="1" applyFont="1" applyFill="1" applyBorder="1" applyAlignment="1"/>
    <xf numFmtId="0" fontId="42" fillId="0" borderId="24" xfId="0" applyNumberFormat="1" applyFont="1" applyFill="1" applyBorder="1" applyAlignment="1"/>
    <xf numFmtId="0" fontId="22" fillId="0" borderId="0" xfId="0" applyNumberFormat="1" applyFont="1" applyFill="1" applyBorder="1" applyAlignment="1">
      <alignment horizontal="center"/>
    </xf>
    <xf numFmtId="175" fontId="22" fillId="0" borderId="0" xfId="30" applyNumberFormat="1" applyFont="1" applyFill="1" applyBorder="1" applyAlignment="1"/>
    <xf numFmtId="0" fontId="6" fillId="0" borderId="0" xfId="0" applyNumberFormat="1" applyFont="1" applyFill="1" applyBorder="1" applyAlignment="1"/>
    <xf numFmtId="0" fontId="0" fillId="27" borderId="0" xfId="0" applyNumberFormat="1" applyFill="1" applyAlignment="1">
      <alignment horizontal="center"/>
    </xf>
    <xf numFmtId="0" fontId="0" fillId="27" borderId="11" xfId="0" applyNumberFormat="1" applyFill="1" applyBorder="1" applyAlignment="1">
      <alignment horizontal="center"/>
    </xf>
    <xf numFmtId="3" fontId="0" fillId="27" borderId="0" xfId="0" applyNumberFormat="1" applyFill="1" applyAlignment="1">
      <alignment horizontal="center"/>
    </xf>
    <xf numFmtId="49" fontId="0" fillId="27" borderId="0" xfId="0" applyNumberFormat="1" applyFill="1" applyAlignment="1">
      <alignment horizontal="center"/>
    </xf>
    <xf numFmtId="49" fontId="0" fillId="27" borderId="0" xfId="0" applyNumberFormat="1" applyFont="1" applyFill="1" applyAlignment="1">
      <alignment horizontal="center"/>
    </xf>
    <xf numFmtId="0" fontId="43" fillId="27" borderId="0" xfId="0" applyNumberFormat="1" applyFont="1" applyFill="1" applyAlignment="1"/>
    <xf numFmtId="49" fontId="26" fillId="0" borderId="0" xfId="0" applyNumberFormat="1" applyFont="1" applyFill="1" applyBorder="1" applyAlignment="1">
      <alignment horizontal="left"/>
    </xf>
    <xf numFmtId="0" fontId="26" fillId="0" borderId="0" xfId="0" applyNumberFormat="1" applyFont="1" applyAlignment="1"/>
    <xf numFmtId="0" fontId="0" fillId="0" borderId="0" xfId="0" applyNumberFormat="1" applyFill="1" applyBorder="1" applyAlignment="1" applyProtection="1">
      <alignment horizontal="center"/>
      <protection locked="0"/>
    </xf>
    <xf numFmtId="0" fontId="40" fillId="0" borderId="25" xfId="0" applyNumberFormat="1" applyFont="1" applyFill="1" applyBorder="1" applyAlignment="1">
      <alignment horizontal="center" wrapText="1"/>
    </xf>
    <xf numFmtId="0" fontId="22" fillId="0" borderId="25" xfId="0" applyNumberFormat="1" applyFont="1" applyFill="1" applyBorder="1" applyAlignment="1">
      <alignment horizontal="center" wrapText="1"/>
    </xf>
    <xf numFmtId="0" fontId="22" fillId="0" borderId="13" xfId="0" applyNumberFormat="1" applyFont="1" applyFill="1" applyBorder="1"/>
    <xf numFmtId="0" fontId="0" fillId="0" borderId="13" xfId="0" applyNumberFormat="1" applyFill="1" applyBorder="1" applyAlignment="1"/>
    <xf numFmtId="0" fontId="0" fillId="0" borderId="15" xfId="0" applyNumberFormat="1" applyFill="1" applyBorder="1" applyAlignment="1"/>
    <xf numFmtId="0" fontId="0" fillId="0" borderId="10" xfId="0" applyNumberFormat="1" applyFill="1" applyBorder="1" applyAlignment="1"/>
    <xf numFmtId="49" fontId="22" fillId="0" borderId="0" xfId="0" applyNumberFormat="1" applyFont="1" applyFill="1" applyBorder="1" applyAlignment="1">
      <alignment horizontal="center"/>
    </xf>
    <xf numFmtId="0" fontId="43" fillId="0" borderId="0" xfId="0" applyNumberFormat="1" applyFont="1" applyFill="1" applyBorder="1" applyAlignment="1"/>
    <xf numFmtId="0" fontId="6" fillId="0" borderId="13" xfId="0" applyNumberFormat="1" applyFont="1" applyFill="1" applyBorder="1" applyAlignment="1"/>
    <xf numFmtId="1" fontId="22" fillId="0" borderId="0" xfId="28" applyNumberFormat="1" applyFont="1" applyFill="1" applyBorder="1" applyAlignment="1">
      <alignment horizontal="center"/>
    </xf>
    <xf numFmtId="0" fontId="22" fillId="0" borderId="11" xfId="0" applyNumberFormat="1" applyFont="1" applyFill="1" applyBorder="1" applyAlignment="1"/>
    <xf numFmtId="0" fontId="17" fillId="0" borderId="0" xfId="0" applyNumberFormat="1" applyFont="1" applyFill="1" applyBorder="1" applyAlignment="1">
      <alignment horizontal="center" vertical="center"/>
    </xf>
    <xf numFmtId="0" fontId="17" fillId="0" borderId="0" xfId="0" applyNumberFormat="1" applyFont="1" applyFill="1" applyBorder="1" applyAlignment="1"/>
    <xf numFmtId="0" fontId="17" fillId="0" borderId="0" xfId="0" applyNumberFormat="1" applyFont="1" applyFill="1" applyBorder="1" applyAlignment="1">
      <alignment horizontal="center" vertical="top"/>
    </xf>
    <xf numFmtId="0" fontId="17"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17" fillId="24" borderId="10" xfId="28" applyNumberFormat="1" applyFont="1" applyFill="1" applyBorder="1"/>
    <xf numFmtId="0" fontId="17" fillId="24" borderId="10" xfId="28" applyNumberFormat="1" applyFont="1" applyFill="1" applyBorder="1" applyAlignment="1"/>
    <xf numFmtId="3" fontId="6" fillId="25" borderId="13" xfId="41" applyNumberFormat="1" applyFont="1" applyFill="1" applyBorder="1" applyAlignment="1"/>
    <xf numFmtId="0" fontId="0" fillId="0" borderId="0" xfId="0" applyNumberFormat="1" applyFont="1" applyFill="1" applyBorder="1" applyAlignment="1">
      <alignment horizontal="right"/>
    </xf>
    <xf numFmtId="0" fontId="26" fillId="24" borderId="0" xfId="41" applyNumberFormat="1" applyFont="1" applyFill="1" applyAlignment="1">
      <alignment horizontal="right"/>
    </xf>
    <xf numFmtId="0" fontId="0" fillId="0" borderId="15" xfId="0" applyNumberFormat="1" applyFont="1" applyFill="1" applyBorder="1" applyAlignment="1"/>
    <xf numFmtId="0" fontId="0" fillId="0" borderId="10" xfId="0" applyNumberFormat="1" applyFont="1" applyFill="1" applyBorder="1" applyAlignment="1"/>
    <xf numFmtId="173" fontId="0" fillId="0" borderId="0" xfId="0" applyFont="1" applyAlignment="1"/>
    <xf numFmtId="0" fontId="0" fillId="0" borderId="0" xfId="0" applyNumberFormat="1" applyFont="1" applyFill="1" applyBorder="1" applyAlignment="1"/>
    <xf numFmtId="0" fontId="22" fillId="0" borderId="10" xfId="0" applyNumberFormat="1" applyFont="1" applyFill="1" applyBorder="1" applyAlignment="1"/>
    <xf numFmtId="10" fontId="0" fillId="0" borderId="10" xfId="45" applyNumberFormat="1" applyFont="1" applyFill="1" applyBorder="1" applyAlignment="1"/>
    <xf numFmtId="10" fontId="0" fillId="0" borderId="14" xfId="45" applyNumberFormat="1" applyFont="1" applyFill="1" applyBorder="1" applyAlignment="1"/>
    <xf numFmtId="175" fontId="0" fillId="0" borderId="23" xfId="30" applyNumberFormat="1" applyFont="1" applyFill="1" applyBorder="1" applyAlignment="1"/>
    <xf numFmtId="175" fontId="44" fillId="0" borderId="13" xfId="30" applyNumberFormat="1" applyFont="1" applyFill="1" applyBorder="1" applyAlignment="1"/>
    <xf numFmtId="175" fontId="44" fillId="0" borderId="15" xfId="30" applyNumberFormat="1" applyFont="1" applyFill="1" applyBorder="1" applyAlignment="1"/>
    <xf numFmtId="175" fontId="0" fillId="0" borderId="0" xfId="30" applyNumberFormat="1" applyFont="1" applyFill="1" applyBorder="1" applyAlignment="1"/>
    <xf numFmtId="175" fontId="0" fillId="0" borderId="15" xfId="30" applyNumberFormat="1" applyFont="1" applyFill="1" applyBorder="1" applyAlignment="1"/>
    <xf numFmtId="175" fontId="0" fillId="0" borderId="13" xfId="30" applyNumberFormat="1" applyFont="1" applyFill="1" applyBorder="1" applyAlignment="1"/>
    <xf numFmtId="175" fontId="22" fillId="0" borderId="23" xfId="30" applyNumberFormat="1" applyFont="1" applyFill="1" applyBorder="1" applyAlignment="1"/>
    <xf numFmtId="175" fontId="22" fillId="0" borderId="24" xfId="30" applyNumberFormat="1" applyFont="1" applyFill="1" applyBorder="1" applyAlignment="1"/>
    <xf numFmtId="175" fontId="22" fillId="24" borderId="0" xfId="30" applyNumberFormat="1" applyFont="1" applyFill="1" applyBorder="1" applyAlignment="1"/>
    <xf numFmtId="175" fontId="22" fillId="24" borderId="13" xfId="30" applyNumberFormat="1" applyFont="1" applyFill="1" applyBorder="1" applyAlignment="1"/>
    <xf numFmtId="175" fontId="22" fillId="24" borderId="23" xfId="30" applyNumberFormat="1" applyFont="1" applyFill="1" applyBorder="1" applyAlignment="1"/>
    <xf numFmtId="175" fontId="22" fillId="24" borderId="10" xfId="30" applyNumberFormat="1" applyFont="1" applyFill="1" applyBorder="1" applyAlignment="1"/>
    <xf numFmtId="175" fontId="22" fillId="24" borderId="15" xfId="30" applyNumberFormat="1" applyFont="1" applyFill="1" applyBorder="1" applyAlignment="1"/>
    <xf numFmtId="175" fontId="22" fillId="24" borderId="24" xfId="30" applyNumberFormat="1" applyFont="1" applyFill="1" applyBorder="1" applyAlignment="1"/>
    <xf numFmtId="174" fontId="0" fillId="27" borderId="0" xfId="0" applyNumberFormat="1" applyFont="1" applyFill="1" applyAlignment="1"/>
    <xf numFmtId="0" fontId="0" fillId="27" borderId="0" xfId="0" applyNumberFormat="1" applyFont="1" applyFill="1" applyBorder="1" applyAlignment="1"/>
    <xf numFmtId="0" fontId="26" fillId="0" borderId="0" xfId="41" applyNumberFormat="1" applyFont="1" applyFill="1" applyAlignment="1">
      <alignment horizontal="left" vertical="top" wrapText="1"/>
    </xf>
    <xf numFmtId="0" fontId="26" fillId="0" borderId="0" xfId="41" applyNumberFormat="1" applyFont="1" applyFill="1" applyAlignment="1">
      <alignment horizontal="left" vertical="center" wrapText="1"/>
    </xf>
    <xf numFmtId="0" fontId="26" fillId="0" borderId="0" xfId="42" applyNumberFormat="1" applyFont="1" applyFill="1" applyAlignment="1">
      <alignment horizontal="left" vertical="top" wrapText="1"/>
    </xf>
    <xf numFmtId="0" fontId="17" fillId="0" borderId="0" xfId="0" applyNumberFormat="1" applyFont="1" applyFill="1" applyBorder="1" applyAlignment="1">
      <alignment horizontal="left" vertical="center"/>
    </xf>
    <xf numFmtId="0" fontId="0" fillId="0" borderId="0" xfId="0" applyNumberFormat="1" applyFill="1" applyBorder="1" applyAlignment="1">
      <alignment horizontal="left" vertical="center"/>
    </xf>
    <xf numFmtId="0" fontId="17" fillId="0" borderId="0" xfId="0" applyNumberFormat="1" applyFont="1" applyFill="1" applyBorder="1" applyAlignment="1">
      <alignment horizontal="left" vertical="center" wrapText="1"/>
    </xf>
    <xf numFmtId="0" fontId="0" fillId="0" borderId="0" xfId="0" applyNumberFormat="1" applyFill="1" applyBorder="1" applyAlignment="1">
      <alignment horizontal="left" vertical="center" wrapText="1"/>
    </xf>
    <xf numFmtId="0" fontId="0" fillId="0" borderId="0" xfId="0" applyNumberFormat="1" applyFont="1" applyFill="1" applyBorder="1" applyAlignment="1">
      <alignment horizontal="left" vertical="center"/>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urrency" xfId="30" builtinId="4"/>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 2" xfId="40"/>
    <cellStyle name="Normal_ATE-4  Attachment  O Populated (3)" xfId="41"/>
    <cellStyle name="Normal_Attachment O &amp; GG Final 11_11_09" xfId="42"/>
    <cellStyle name="Note" xfId="43" builtinId="10" customBuiltin="1"/>
    <cellStyle name="Output" xfId="44" builtinId="21" customBuiltin="1"/>
    <cellStyle name="Percent" xfId="45" builtinId="5"/>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8"/>
  <sheetViews>
    <sheetView tabSelected="1" topLeftCell="A15" zoomScale="90" zoomScaleNormal="90" workbookViewId="0">
      <selection activeCell="E150" sqref="E150"/>
    </sheetView>
  </sheetViews>
  <sheetFormatPr defaultColWidth="7.109375" defaultRowHeight="15.75"/>
  <cols>
    <col min="1" max="1" width="6" style="1" customWidth="1"/>
    <col min="2" max="2" width="1.44140625" style="1" customWidth="1"/>
    <col min="3" max="3" width="31.6640625" style="1" customWidth="1"/>
    <col min="4" max="4" width="34.33203125" style="1" customWidth="1"/>
    <col min="5" max="5" width="16.77734375" style="1" customWidth="1"/>
    <col min="6" max="6" width="6.77734375" style="1" customWidth="1"/>
    <col min="7" max="7" width="5.6640625" style="1" customWidth="1"/>
    <col min="8" max="8" width="14.109375" style="1" customWidth="1"/>
    <col min="9" max="9" width="9.33203125" style="1" customWidth="1"/>
    <col min="10" max="10" width="13.77734375" style="1" customWidth="1"/>
    <col min="11" max="11" width="2.33203125" style="1" customWidth="1"/>
    <col min="12" max="12" width="9" style="7" customWidth="1"/>
    <col min="13" max="13" width="15.88671875" style="1" customWidth="1"/>
    <col min="14" max="14" width="3" style="1" customWidth="1"/>
    <col min="15" max="15" width="8" style="7" customWidth="1"/>
    <col min="16" max="16" width="13.109375" style="1" customWidth="1"/>
    <col min="17" max="17" width="7.109375" style="1" customWidth="1"/>
    <col min="18" max="18" width="11.77734375" style="1" customWidth="1"/>
    <col min="19" max="20" width="7.109375" style="1" customWidth="1"/>
    <col min="21" max="21" width="10.109375" style="1" customWidth="1"/>
    <col min="22" max="25" width="7.109375" style="1" customWidth="1"/>
    <col min="26" max="26" width="25.88671875" style="1" customWidth="1"/>
    <col min="27" max="16384" width="7.109375" style="1"/>
  </cols>
  <sheetData>
    <row r="1" spans="1:18">
      <c r="C1" s="2"/>
      <c r="D1" s="2"/>
      <c r="E1" s="3"/>
      <c r="F1" s="2"/>
      <c r="G1" s="2"/>
      <c r="H1" s="2"/>
      <c r="I1" s="4"/>
      <c r="J1" s="4"/>
      <c r="K1" s="4"/>
      <c r="P1" s="7" t="s">
        <v>25</v>
      </c>
    </row>
    <row r="2" spans="1:18">
      <c r="C2" s="2" t="s">
        <v>26</v>
      </c>
      <c r="D2" s="2"/>
      <c r="E2" s="3" t="s">
        <v>0</v>
      </c>
      <c r="F2" s="2"/>
      <c r="G2" s="2"/>
      <c r="H2" s="2"/>
      <c r="I2" s="4"/>
      <c r="K2" s="10"/>
      <c r="L2" s="20"/>
      <c r="N2" s="234"/>
      <c r="O2" s="234"/>
      <c r="P2" s="364" t="s">
        <v>555</v>
      </c>
    </row>
    <row r="3" spans="1:18">
      <c r="C3" s="2"/>
      <c r="D3" s="9" t="s">
        <v>3</v>
      </c>
      <c r="E3" s="9" t="s">
        <v>27</v>
      </c>
      <c r="F3" s="9"/>
      <c r="G3" s="9"/>
      <c r="H3" s="9"/>
      <c r="I3" s="4"/>
      <c r="J3" s="4"/>
      <c r="K3" s="4"/>
    </row>
    <row r="4" spans="1:18">
      <c r="C4" s="4"/>
      <c r="D4" s="4"/>
      <c r="E4" s="4"/>
      <c r="F4" s="4"/>
      <c r="G4" s="4"/>
      <c r="H4" s="4"/>
      <c r="I4" s="4"/>
      <c r="J4" s="4"/>
      <c r="K4" s="4"/>
    </row>
    <row r="5" spans="1:18" ht="31.5">
      <c r="A5" s="6"/>
      <c r="C5" s="4"/>
      <c r="D5" s="10"/>
      <c r="E5" s="11" t="s">
        <v>28</v>
      </c>
      <c r="F5" s="12"/>
      <c r="G5" s="4"/>
      <c r="H5" s="4"/>
      <c r="I5" s="4"/>
      <c r="J5" s="4"/>
      <c r="K5" s="4"/>
      <c r="L5" s="13" t="s">
        <v>29</v>
      </c>
      <c r="M5" s="14" t="s">
        <v>30</v>
      </c>
      <c r="N5" s="15"/>
      <c r="O5" s="13" t="s">
        <v>31</v>
      </c>
      <c r="P5" s="14" t="s">
        <v>32</v>
      </c>
    </row>
    <row r="6" spans="1:18">
      <c r="A6" s="6"/>
      <c r="C6" s="4"/>
      <c r="D6" s="4"/>
      <c r="E6" s="16"/>
      <c r="F6" s="4"/>
      <c r="G6" s="4"/>
      <c r="H6" s="4"/>
      <c r="I6" s="4"/>
      <c r="J6" s="4"/>
      <c r="K6" s="4"/>
    </row>
    <row r="7" spans="1:18">
      <c r="A7" s="6" t="s">
        <v>1</v>
      </c>
      <c r="C7" s="4"/>
      <c r="D7" s="4"/>
      <c r="E7" s="16"/>
      <c r="F7" s="4"/>
      <c r="G7" s="4"/>
      <c r="H7" s="4"/>
      <c r="I7" s="4"/>
      <c r="J7" s="6" t="s">
        <v>33</v>
      </c>
      <c r="K7" s="4"/>
    </row>
    <row r="8" spans="1:18" ht="16.5" thickBot="1">
      <c r="A8" s="17" t="s">
        <v>2</v>
      </c>
      <c r="C8" s="4"/>
      <c r="D8" s="4"/>
      <c r="E8" s="4"/>
      <c r="F8" s="4"/>
      <c r="G8" s="4"/>
      <c r="H8" s="4"/>
      <c r="I8" s="4"/>
      <c r="J8" s="17" t="s">
        <v>34</v>
      </c>
      <c r="K8" s="4"/>
    </row>
    <row r="9" spans="1:18">
      <c r="A9" s="6">
        <v>1</v>
      </c>
      <c r="C9" s="4" t="s">
        <v>35</v>
      </c>
      <c r="D9" s="4"/>
      <c r="E9" s="18"/>
      <c r="F9" s="4"/>
      <c r="G9" s="4"/>
      <c r="H9" s="4"/>
      <c r="I9" s="4"/>
      <c r="J9" s="19">
        <f>J192</f>
        <v>56318270.319849409</v>
      </c>
      <c r="K9" s="10"/>
      <c r="L9" s="20"/>
      <c r="M9" s="19">
        <f>M192</f>
        <v>39893000.996896185</v>
      </c>
      <c r="N9" s="19"/>
      <c r="O9" s="21"/>
      <c r="P9" s="249">
        <f>P192</f>
        <v>16425269.32295322</v>
      </c>
    </row>
    <row r="10" spans="1:18">
      <c r="A10" s="6"/>
      <c r="C10" s="4"/>
      <c r="D10" s="4"/>
      <c r="E10" s="4"/>
      <c r="F10" s="4"/>
      <c r="G10" s="4"/>
      <c r="H10" s="4"/>
      <c r="I10" s="4"/>
      <c r="J10" s="18"/>
      <c r="K10" s="4"/>
    </row>
    <row r="11" spans="1:18">
      <c r="A11" s="6"/>
      <c r="C11" s="4"/>
      <c r="D11" s="4"/>
      <c r="E11" s="4"/>
      <c r="F11" s="4"/>
      <c r="G11" s="4"/>
      <c r="H11" s="4"/>
      <c r="I11" s="4"/>
      <c r="J11" s="18"/>
      <c r="K11" s="4"/>
    </row>
    <row r="12" spans="1:18" ht="16.5" thickBot="1">
      <c r="A12" s="6" t="s">
        <v>3</v>
      </c>
      <c r="C12" s="2" t="s">
        <v>36</v>
      </c>
      <c r="D12" s="22" t="s">
        <v>37</v>
      </c>
      <c r="E12" s="17" t="s">
        <v>38</v>
      </c>
      <c r="F12" s="9"/>
      <c r="G12" s="23" t="s">
        <v>4</v>
      </c>
      <c r="H12" s="23"/>
      <c r="I12" s="4"/>
      <c r="J12" s="18"/>
      <c r="K12" s="4"/>
      <c r="P12" s="24"/>
    </row>
    <row r="13" spans="1:18">
      <c r="A13" s="6">
        <v>2</v>
      </c>
      <c r="C13" s="2" t="s">
        <v>39</v>
      </c>
      <c r="D13" s="9" t="s">
        <v>40</v>
      </c>
      <c r="E13" s="24">
        <f>J292</f>
        <v>620067</v>
      </c>
      <c r="F13" s="9"/>
      <c r="G13" s="9" t="s">
        <v>41</v>
      </c>
      <c r="H13" s="25">
        <f>J207</f>
        <v>0.92252396022876682</v>
      </c>
      <c r="I13" s="9"/>
      <c r="J13" s="24">
        <f>+H13*E13</f>
        <v>572026.6644471708</v>
      </c>
      <c r="K13" s="4"/>
      <c r="L13" s="7" t="s">
        <v>42</v>
      </c>
      <c r="M13" s="24">
        <f>J13-P13</f>
        <v>572026.6644471708</v>
      </c>
      <c r="N13" s="9"/>
      <c r="O13" s="7" t="s">
        <v>42</v>
      </c>
      <c r="P13" s="26">
        <v>0</v>
      </c>
    </row>
    <row r="14" spans="1:18">
      <c r="A14" s="6">
        <v>3</v>
      </c>
      <c r="C14" s="2" t="s">
        <v>43</v>
      </c>
      <c r="D14" s="9" t="s">
        <v>44</v>
      </c>
      <c r="E14" s="24">
        <f>J299</f>
        <v>5356097</v>
      </c>
      <c r="F14" s="9"/>
      <c r="G14" s="9" t="str">
        <f t="shared" ref="G14:H16" si="0">+G13</f>
        <v>TP</v>
      </c>
      <c r="H14" s="25">
        <f t="shared" si="0"/>
        <v>0.92252396022876682</v>
      </c>
      <c r="I14" s="9"/>
      <c r="J14" s="24">
        <f>+H14*E14</f>
        <v>4941127.8158094175</v>
      </c>
      <c r="K14" s="4"/>
      <c r="L14" s="7" t="s">
        <v>42</v>
      </c>
      <c r="M14" s="24">
        <f>J14-P14</f>
        <v>4632094.8158094175</v>
      </c>
      <c r="N14" s="9"/>
      <c r="O14" s="7" t="s">
        <v>42</v>
      </c>
      <c r="P14" s="26">
        <v>309033</v>
      </c>
    </row>
    <row r="15" spans="1:18">
      <c r="A15" s="6">
        <v>4</v>
      </c>
      <c r="C15" s="27" t="s">
        <v>45</v>
      </c>
      <c r="D15" s="9"/>
      <c r="E15" s="26">
        <v>0</v>
      </c>
      <c r="F15" s="9"/>
      <c r="G15" s="9" t="str">
        <f t="shared" si="0"/>
        <v>TP</v>
      </c>
      <c r="H15" s="25">
        <f t="shared" si="0"/>
        <v>0.92252396022876682</v>
      </c>
      <c r="I15" s="9"/>
      <c r="J15" s="24">
        <f>+H15*E15</f>
        <v>0</v>
      </c>
      <c r="K15" s="4"/>
      <c r="L15" s="7" t="s">
        <v>42</v>
      </c>
      <c r="M15" s="24">
        <f>J15-P15</f>
        <v>0</v>
      </c>
      <c r="N15" s="9"/>
      <c r="O15" s="7" t="s">
        <v>42</v>
      </c>
      <c r="P15" s="28">
        <v>0</v>
      </c>
      <c r="Q15" s="29"/>
      <c r="R15" s="29"/>
    </row>
    <row r="16" spans="1:18" ht="16.5" thickBot="1">
      <c r="A16" s="6">
        <v>5</v>
      </c>
      <c r="C16" s="27" t="s">
        <v>46</v>
      </c>
      <c r="D16" s="9"/>
      <c r="E16" s="26">
        <v>0</v>
      </c>
      <c r="F16" s="9"/>
      <c r="G16" s="9" t="str">
        <f t="shared" si="0"/>
        <v>TP</v>
      </c>
      <c r="H16" s="25">
        <f t="shared" si="0"/>
        <v>0.92252396022876682</v>
      </c>
      <c r="I16" s="9"/>
      <c r="J16" s="30">
        <f>+H16*E16</f>
        <v>0</v>
      </c>
      <c r="K16" s="4"/>
      <c r="L16" s="7" t="s">
        <v>42</v>
      </c>
      <c r="M16" s="30">
        <f>J16-P16</f>
        <v>0</v>
      </c>
      <c r="N16" s="32"/>
      <c r="O16" s="7" t="s">
        <v>42</v>
      </c>
      <c r="P16" s="254">
        <v>0</v>
      </c>
      <c r="Q16" s="29"/>
      <c r="R16" s="29"/>
    </row>
    <row r="17" spans="1:18">
      <c r="A17" s="6">
        <v>6</v>
      </c>
      <c r="C17" s="2" t="s">
        <v>47</v>
      </c>
      <c r="D17" s="4"/>
      <c r="E17" s="33" t="s">
        <v>3</v>
      </c>
      <c r="F17" s="9"/>
      <c r="G17" s="9"/>
      <c r="H17" s="25"/>
      <c r="I17" s="9"/>
      <c r="J17" s="24">
        <f>SUM(J13:J16)</f>
        <v>5513154.4802565882</v>
      </c>
      <c r="K17" s="4"/>
      <c r="M17" s="34">
        <f>SUM(M13:M16)</f>
        <v>5204121.4802565882</v>
      </c>
      <c r="N17" s="35"/>
      <c r="O17" s="36"/>
      <c r="P17" s="34">
        <f>SUM(P13:P16)</f>
        <v>309033</v>
      </c>
      <c r="Q17" s="29"/>
      <c r="R17" s="29"/>
    </row>
    <row r="18" spans="1:18">
      <c r="A18" s="6"/>
      <c r="C18" s="2"/>
      <c r="D18" s="4"/>
      <c r="E18" s="33"/>
      <c r="F18" s="9"/>
      <c r="G18" s="9"/>
      <c r="H18" s="25"/>
      <c r="I18" s="9"/>
      <c r="J18" s="24"/>
      <c r="K18" s="4"/>
      <c r="M18" s="34"/>
      <c r="N18" s="35"/>
      <c r="O18" s="36"/>
      <c r="P18" s="34"/>
      <c r="Q18" s="29"/>
      <c r="R18" s="29"/>
    </row>
    <row r="19" spans="1:18">
      <c r="A19" s="6" t="s">
        <v>48</v>
      </c>
      <c r="C19" s="2" t="s">
        <v>49</v>
      </c>
      <c r="D19" s="4"/>
      <c r="E19" s="33"/>
      <c r="F19" s="9"/>
      <c r="G19" s="9"/>
      <c r="H19" s="25"/>
      <c r="I19" s="9"/>
      <c r="J19" s="51"/>
      <c r="K19" s="4"/>
      <c r="M19" s="37"/>
      <c r="N19" s="35"/>
      <c r="O19" s="36"/>
      <c r="P19" s="37"/>
      <c r="Q19" s="29"/>
      <c r="R19" s="29"/>
    </row>
    <row r="20" spans="1:18">
      <c r="A20" s="6" t="s">
        <v>50</v>
      </c>
      <c r="C20" s="2" t="s">
        <v>51</v>
      </c>
      <c r="D20" s="4"/>
      <c r="E20" s="33"/>
      <c r="F20" s="9"/>
      <c r="G20" s="9"/>
      <c r="H20" s="25"/>
      <c r="I20" s="9"/>
      <c r="J20" s="186"/>
      <c r="K20" s="4"/>
      <c r="M20" s="39"/>
      <c r="N20" s="35"/>
      <c r="O20" s="36"/>
      <c r="P20" s="39"/>
      <c r="Q20" s="29"/>
      <c r="R20" s="29"/>
    </row>
    <row r="21" spans="1:18">
      <c r="A21" s="6" t="s">
        <v>52</v>
      </c>
      <c r="C21" s="2" t="s">
        <v>53</v>
      </c>
      <c r="D21" s="4" t="s">
        <v>54</v>
      </c>
      <c r="E21" s="33"/>
      <c r="F21" s="9"/>
      <c r="G21" s="9"/>
      <c r="H21" s="25"/>
      <c r="I21" s="9"/>
      <c r="J21" s="51">
        <f>SUM(M21:P21)</f>
        <v>0</v>
      </c>
      <c r="K21" s="4"/>
      <c r="M21" s="26">
        <f>M19-M20</f>
        <v>0</v>
      </c>
      <c r="N21" s="35"/>
      <c r="O21" s="36"/>
      <c r="P21" s="26">
        <f>P19-P20</f>
        <v>0</v>
      </c>
      <c r="Q21" s="29"/>
      <c r="R21" s="29"/>
    </row>
    <row r="22" spans="1:18">
      <c r="A22" s="6"/>
      <c r="C22" s="2"/>
      <c r="D22" s="4"/>
      <c r="E22" s="33"/>
      <c r="F22" s="9"/>
      <c r="G22" s="9"/>
      <c r="H22" s="25"/>
      <c r="I22" s="9"/>
      <c r="J22" s="24"/>
      <c r="K22" s="4"/>
      <c r="M22" s="34"/>
      <c r="N22" s="35"/>
      <c r="O22" s="36"/>
      <c r="P22" s="34"/>
      <c r="Q22" s="29"/>
      <c r="R22" s="29"/>
    </row>
    <row r="23" spans="1:18">
      <c r="A23" s="6" t="s">
        <v>55</v>
      </c>
      <c r="C23" s="2" t="s">
        <v>56</v>
      </c>
      <c r="D23" s="4"/>
      <c r="E23" s="33"/>
      <c r="F23" s="9"/>
      <c r="G23" s="9"/>
      <c r="H23" s="25"/>
      <c r="I23" s="9"/>
      <c r="J23" s="51"/>
      <c r="K23" s="4"/>
      <c r="M23" s="37"/>
      <c r="N23" s="35"/>
      <c r="O23" s="36"/>
      <c r="P23" s="37"/>
      <c r="Q23" s="29"/>
      <c r="R23" s="29"/>
    </row>
    <row r="24" spans="1:18">
      <c r="A24" s="6" t="s">
        <v>57</v>
      </c>
      <c r="C24" s="2" t="s">
        <v>58</v>
      </c>
      <c r="D24" s="4"/>
      <c r="E24" s="33"/>
      <c r="F24" s="9"/>
      <c r="G24" s="9"/>
      <c r="H24" s="25"/>
      <c r="I24" s="9"/>
      <c r="J24" s="186"/>
      <c r="K24" s="4"/>
      <c r="M24" s="39"/>
      <c r="N24" s="35"/>
      <c r="O24" s="36"/>
      <c r="P24" s="39"/>
      <c r="Q24" s="29"/>
      <c r="R24" s="29"/>
    </row>
    <row r="25" spans="1:18">
      <c r="A25" s="6" t="s">
        <v>59</v>
      </c>
      <c r="C25" s="2" t="s">
        <v>60</v>
      </c>
      <c r="D25" s="4" t="s">
        <v>61</v>
      </c>
      <c r="E25" s="33"/>
      <c r="F25" s="9"/>
      <c r="G25" s="9"/>
      <c r="H25" s="25"/>
      <c r="I25" s="9"/>
      <c r="J25" s="51"/>
      <c r="K25" s="4"/>
      <c r="M25" s="26">
        <f>-M23+M24</f>
        <v>0</v>
      </c>
      <c r="N25" s="35"/>
      <c r="O25" s="36"/>
      <c r="P25" s="26">
        <f>-P23+P24</f>
        <v>0</v>
      </c>
      <c r="Q25" s="29"/>
      <c r="R25" s="29"/>
    </row>
    <row r="26" spans="1:18">
      <c r="A26" s="6"/>
      <c r="C26" s="2"/>
      <c r="D26" s="4"/>
      <c r="E26" s="33"/>
      <c r="F26" s="9"/>
      <c r="G26" s="9"/>
      <c r="H26" s="25"/>
      <c r="I26" s="9"/>
      <c r="J26" s="51"/>
      <c r="K26" s="4"/>
      <c r="M26" s="26"/>
      <c r="N26" s="35"/>
      <c r="O26" s="36"/>
      <c r="P26" s="26"/>
      <c r="Q26" s="29"/>
      <c r="R26" s="29"/>
    </row>
    <row r="27" spans="1:18">
      <c r="A27" s="6" t="s">
        <v>62</v>
      </c>
      <c r="C27" s="2" t="s">
        <v>63</v>
      </c>
      <c r="D27" s="4"/>
      <c r="E27" s="33"/>
      <c r="F27" s="9"/>
      <c r="G27" s="9"/>
      <c r="H27" s="25"/>
      <c r="I27" s="9"/>
      <c r="J27" s="186"/>
      <c r="K27" s="4"/>
      <c r="M27" s="39"/>
      <c r="N27" s="35"/>
      <c r="O27" s="36"/>
      <c r="P27" s="39"/>
      <c r="Q27" s="29"/>
      <c r="R27" s="29"/>
    </row>
    <row r="28" spans="1:18">
      <c r="A28" s="6" t="s">
        <v>64</v>
      </c>
      <c r="C28" s="2" t="s">
        <v>65</v>
      </c>
      <c r="D28" s="4" t="s">
        <v>66</v>
      </c>
      <c r="E28" s="33"/>
      <c r="F28" s="9"/>
      <c r="G28" s="9"/>
      <c r="H28" s="25"/>
      <c r="I28" s="9"/>
      <c r="J28" s="51">
        <f>SUM(M28:P28)</f>
        <v>0</v>
      </c>
      <c r="K28" s="4"/>
      <c r="M28" s="26">
        <f>M27*M25</f>
        <v>0</v>
      </c>
      <c r="N28" s="35"/>
      <c r="O28" s="36"/>
      <c r="P28" s="26">
        <f>P27*P25</f>
        <v>0</v>
      </c>
      <c r="Q28" s="29"/>
      <c r="R28" s="29"/>
    </row>
    <row r="29" spans="1:18">
      <c r="A29" s="6"/>
      <c r="C29" s="2"/>
      <c r="D29" s="4"/>
      <c r="E29" s="33"/>
      <c r="F29" s="9"/>
      <c r="G29" s="9"/>
      <c r="H29" s="25"/>
      <c r="I29" s="9"/>
      <c r="J29" s="24"/>
      <c r="K29" s="4"/>
      <c r="M29" s="34"/>
      <c r="N29" s="35"/>
      <c r="O29" s="36"/>
      <c r="P29" s="40"/>
      <c r="Q29" s="29"/>
      <c r="R29" s="29"/>
    </row>
    <row r="30" spans="1:18">
      <c r="A30" s="6" t="s">
        <v>67</v>
      </c>
      <c r="C30" s="2" t="s">
        <v>68</v>
      </c>
      <c r="D30" s="4"/>
      <c r="E30" s="33"/>
      <c r="F30" s="9"/>
      <c r="G30" s="9"/>
      <c r="H30" s="25"/>
      <c r="I30" s="9"/>
      <c r="J30" s="51">
        <f>SUM(M30:P30)</f>
        <v>0</v>
      </c>
      <c r="K30" s="4"/>
      <c r="M30" s="37"/>
      <c r="N30" s="35"/>
      <c r="O30" s="36"/>
      <c r="P30" s="37"/>
      <c r="Q30" s="29"/>
      <c r="R30" s="29"/>
    </row>
    <row r="31" spans="1:18">
      <c r="A31" s="6"/>
      <c r="C31" s="2"/>
      <c r="D31" s="4"/>
      <c r="E31" s="33"/>
      <c r="F31" s="9"/>
      <c r="G31" s="9"/>
      <c r="H31" s="25"/>
      <c r="I31" s="9"/>
      <c r="J31" s="24"/>
      <c r="K31" s="4"/>
      <c r="M31" s="34"/>
      <c r="N31" s="35"/>
      <c r="O31" s="36"/>
      <c r="P31" s="34"/>
      <c r="Q31" s="29"/>
      <c r="R31" s="29"/>
    </row>
    <row r="32" spans="1:18">
      <c r="A32" s="6">
        <v>7</v>
      </c>
      <c r="C32" s="2" t="s">
        <v>69</v>
      </c>
      <c r="D32" s="4" t="s">
        <v>432</v>
      </c>
      <c r="E32" s="33" t="s">
        <v>3</v>
      </c>
      <c r="F32" s="9"/>
      <c r="G32" s="9"/>
      <c r="H32" s="9"/>
      <c r="I32" s="9"/>
      <c r="J32" s="41">
        <f>+J9-J17+J21+J28+J30</f>
        <v>50805115.839592822</v>
      </c>
      <c r="K32" s="4"/>
      <c r="M32" s="41">
        <f>+M9-M17+M21+M28+M30</f>
        <v>34688879.516639598</v>
      </c>
      <c r="N32" s="42"/>
      <c r="O32" s="43"/>
      <c r="P32" s="41">
        <f>+P9-P17+P21+P28+P30</f>
        <v>16116236.32295322</v>
      </c>
      <c r="Q32" s="29"/>
      <c r="R32" s="29"/>
    </row>
    <row r="33" spans="1:18">
      <c r="A33" s="6" t="s">
        <v>70</v>
      </c>
      <c r="C33" s="1" t="s">
        <v>71</v>
      </c>
      <c r="D33" s="4"/>
      <c r="E33" s="33"/>
      <c r="F33" s="9"/>
      <c r="G33" s="9"/>
      <c r="H33" s="9"/>
      <c r="I33" s="9"/>
      <c r="J33" s="31">
        <f>M33+P33</f>
        <v>0</v>
      </c>
      <c r="K33" s="4"/>
      <c r="L33" s="7" t="s">
        <v>42</v>
      </c>
      <c r="M33" s="360">
        <v>0</v>
      </c>
      <c r="N33" s="44"/>
      <c r="O33" s="7" t="s">
        <v>42</v>
      </c>
      <c r="P33" s="361">
        <v>0</v>
      </c>
      <c r="Q33" s="29"/>
      <c r="R33" s="29"/>
    </row>
    <row r="34" spans="1:18">
      <c r="A34" s="6" t="s">
        <v>72</v>
      </c>
      <c r="C34" s="45" t="s">
        <v>73</v>
      </c>
      <c r="D34" s="9"/>
      <c r="J34" s="24">
        <f>J32-J33</f>
        <v>50805115.839592822</v>
      </c>
      <c r="K34" s="4"/>
      <c r="M34" s="24">
        <f>M32-M33</f>
        <v>34688879.516639598</v>
      </c>
      <c r="N34" s="44"/>
      <c r="O34" s="46"/>
      <c r="P34" s="24">
        <f>P32-P33</f>
        <v>16116236.32295322</v>
      </c>
      <c r="Q34" s="29"/>
      <c r="R34" s="29"/>
    </row>
    <row r="35" spans="1:18">
      <c r="A35" s="6"/>
      <c r="D35" s="9"/>
      <c r="J35" s="24"/>
      <c r="K35" s="4"/>
      <c r="M35" s="34"/>
      <c r="N35" s="44"/>
      <c r="O35" s="46"/>
      <c r="P35" s="47"/>
      <c r="Q35" s="29"/>
      <c r="R35" s="29"/>
    </row>
    <row r="36" spans="1:18">
      <c r="A36" s="6"/>
      <c r="C36" s="2" t="s">
        <v>74</v>
      </c>
      <c r="D36" s="4"/>
      <c r="E36" s="18"/>
      <c r="F36" s="4"/>
      <c r="G36" s="4"/>
      <c r="H36" s="4"/>
      <c r="I36" s="4"/>
      <c r="J36" s="48"/>
      <c r="K36" s="4"/>
      <c r="M36" s="34"/>
      <c r="N36" s="44"/>
      <c r="O36" s="46"/>
      <c r="P36" s="47"/>
      <c r="Q36" s="29"/>
      <c r="R36" s="29"/>
    </row>
    <row r="37" spans="1:18">
      <c r="A37" s="6">
        <v>8</v>
      </c>
      <c r="C37" s="2" t="s">
        <v>75</v>
      </c>
      <c r="E37" s="18"/>
      <c r="F37" s="4"/>
      <c r="G37" s="4"/>
      <c r="H37" s="10" t="s">
        <v>76</v>
      </c>
      <c r="I37" s="4"/>
      <c r="J37" s="179">
        <f>M37</f>
        <v>1516900</v>
      </c>
      <c r="K37" s="4"/>
      <c r="L37" s="7" t="s">
        <v>42</v>
      </c>
      <c r="M37" s="26">
        <v>1516900</v>
      </c>
      <c r="N37" s="9"/>
      <c r="O37" s="7" t="s">
        <v>42</v>
      </c>
      <c r="P37" s="26">
        <v>0</v>
      </c>
      <c r="Q37" s="29"/>
      <c r="R37" s="29"/>
    </row>
    <row r="38" spans="1:18">
      <c r="A38" s="6">
        <v>9</v>
      </c>
      <c r="C38" s="2" t="s">
        <v>77</v>
      </c>
      <c r="D38" s="9"/>
      <c r="E38" s="9"/>
      <c r="F38" s="9"/>
      <c r="G38" s="9"/>
      <c r="H38" s="22" t="s">
        <v>78</v>
      </c>
      <c r="I38" s="9"/>
      <c r="J38" s="179">
        <v>0</v>
      </c>
      <c r="K38" s="4"/>
      <c r="L38" s="7" t="s">
        <v>42</v>
      </c>
      <c r="M38" s="26">
        <f>J38</f>
        <v>0</v>
      </c>
      <c r="N38" s="9"/>
      <c r="O38" s="7" t="s">
        <v>42</v>
      </c>
      <c r="P38" s="26">
        <v>0</v>
      </c>
    </row>
    <row r="39" spans="1:18">
      <c r="A39" s="6">
        <v>10</v>
      </c>
      <c r="C39" s="27" t="s">
        <v>79</v>
      </c>
      <c r="D39" s="4"/>
      <c r="E39" s="4"/>
      <c r="F39" s="4"/>
      <c r="H39" s="10" t="s">
        <v>5</v>
      </c>
      <c r="I39" s="4"/>
      <c r="J39" s="179">
        <v>0</v>
      </c>
      <c r="K39" s="4"/>
      <c r="L39" s="7" t="s">
        <v>42</v>
      </c>
      <c r="M39" s="26">
        <f>J39</f>
        <v>0</v>
      </c>
      <c r="N39" s="9"/>
      <c r="O39" s="7" t="s">
        <v>42</v>
      </c>
      <c r="P39" s="26">
        <v>0</v>
      </c>
    </row>
    <row r="40" spans="1:18">
      <c r="A40" s="6">
        <v>11</v>
      </c>
      <c r="C40" s="2" t="s">
        <v>80</v>
      </c>
      <c r="D40" s="4"/>
      <c r="E40" s="4"/>
      <c r="F40" s="4"/>
      <c r="H40" s="10" t="s">
        <v>6</v>
      </c>
      <c r="I40" s="4"/>
      <c r="J40" s="180">
        <v>0</v>
      </c>
      <c r="K40" s="4"/>
      <c r="L40" s="7" t="s">
        <v>42</v>
      </c>
      <c r="M40" s="26">
        <v>0</v>
      </c>
      <c r="N40" s="9"/>
      <c r="O40" s="7" t="s">
        <v>42</v>
      </c>
      <c r="P40" s="26">
        <v>0</v>
      </c>
    </row>
    <row r="41" spans="1:18">
      <c r="A41" s="6">
        <v>12</v>
      </c>
      <c r="C41" s="27" t="s">
        <v>81</v>
      </c>
      <c r="D41" s="4"/>
      <c r="E41" s="4"/>
      <c r="F41" s="4"/>
      <c r="G41" s="4"/>
      <c r="H41" s="4"/>
      <c r="I41" s="4"/>
      <c r="J41" s="180">
        <f>M41+P41</f>
        <v>513800</v>
      </c>
      <c r="K41" s="4"/>
      <c r="L41" s="7" t="s">
        <v>42</v>
      </c>
      <c r="M41" s="26">
        <v>13800</v>
      </c>
      <c r="N41" s="9"/>
      <c r="O41" s="7" t="s">
        <v>42</v>
      </c>
      <c r="P41" s="26">
        <v>500000</v>
      </c>
    </row>
    <row r="42" spans="1:18">
      <c r="A42" s="6">
        <v>13</v>
      </c>
      <c r="C42" s="27" t="s">
        <v>82</v>
      </c>
      <c r="D42" s="4"/>
      <c r="E42" s="4"/>
      <c r="F42" s="4"/>
      <c r="G42" s="4"/>
      <c r="H42" s="10"/>
      <c r="I42" s="4"/>
      <c r="J42" s="180">
        <v>0</v>
      </c>
      <c r="K42" s="4"/>
      <c r="L42" s="7" t="s">
        <v>42</v>
      </c>
      <c r="M42" s="26">
        <f>J42</f>
        <v>0</v>
      </c>
      <c r="N42" s="9"/>
      <c r="O42" s="7" t="s">
        <v>42</v>
      </c>
      <c r="P42" s="26">
        <v>0</v>
      </c>
    </row>
    <row r="43" spans="1:18" ht="16.5" thickBot="1">
      <c r="A43" s="6">
        <v>14</v>
      </c>
      <c r="C43" s="27" t="s">
        <v>83</v>
      </c>
      <c r="D43" s="4"/>
      <c r="E43" s="4"/>
      <c r="F43" s="4"/>
      <c r="G43" s="4"/>
      <c r="H43" s="4"/>
      <c r="I43" s="4"/>
      <c r="J43" s="181">
        <v>0</v>
      </c>
      <c r="K43" s="4"/>
      <c r="L43" s="7" t="s">
        <v>42</v>
      </c>
      <c r="M43" s="38">
        <f>J43</f>
        <v>0</v>
      </c>
      <c r="N43" s="32"/>
      <c r="O43" s="7" t="s">
        <v>42</v>
      </c>
      <c r="P43" s="38">
        <v>0</v>
      </c>
    </row>
    <row r="44" spans="1:18">
      <c r="A44" s="6">
        <v>15</v>
      </c>
      <c r="C44" s="2" t="s">
        <v>84</v>
      </c>
      <c r="D44" s="4"/>
      <c r="E44" s="4"/>
      <c r="F44" s="4"/>
      <c r="G44" s="4"/>
      <c r="H44" s="4"/>
      <c r="I44" s="4"/>
      <c r="J44" s="48">
        <f>SUM(J37:J43)</f>
        <v>2030700</v>
      </c>
      <c r="K44" s="4"/>
      <c r="M44" s="24">
        <f>SUM(M37:M43)</f>
        <v>1530700</v>
      </c>
      <c r="N44" s="9"/>
      <c r="O44" s="50"/>
      <c r="P44" s="51">
        <f>SUM(P37:P43)</f>
        <v>500000</v>
      </c>
    </row>
    <row r="45" spans="1:18">
      <c r="A45" s="6"/>
      <c r="C45" s="2"/>
      <c r="D45" s="4"/>
      <c r="E45" s="4"/>
      <c r="F45" s="4"/>
      <c r="G45" s="4"/>
      <c r="H45" s="4"/>
      <c r="I45" s="4"/>
      <c r="J45" s="18"/>
      <c r="K45" s="4"/>
    </row>
    <row r="46" spans="1:18">
      <c r="A46" s="6">
        <v>16</v>
      </c>
      <c r="C46" s="2" t="s">
        <v>85</v>
      </c>
      <c r="D46" s="4" t="s">
        <v>86</v>
      </c>
      <c r="E46" s="52"/>
      <c r="F46" s="4"/>
      <c r="G46" s="4"/>
      <c r="H46" s="4"/>
      <c r="I46" s="4"/>
      <c r="K46" s="4"/>
      <c r="M46" s="53">
        <f>M34/M44</f>
        <v>22.66210199035709</v>
      </c>
      <c r="N46" s="54"/>
      <c r="O46" s="55"/>
      <c r="P46" s="53">
        <f>P34/P44</f>
        <v>32.232472645906441</v>
      </c>
    </row>
    <row r="47" spans="1:18">
      <c r="A47" s="6">
        <v>17</v>
      </c>
      <c r="C47" s="2" t="s">
        <v>87</v>
      </c>
      <c r="D47" s="4" t="s">
        <v>88</v>
      </c>
      <c r="E47" s="52"/>
      <c r="F47" s="4"/>
      <c r="G47" s="4"/>
      <c r="H47" s="4"/>
      <c r="I47" s="4"/>
      <c r="K47" s="4"/>
      <c r="M47" s="53">
        <f>M46/12</f>
        <v>1.8885084991964243</v>
      </c>
      <c r="N47" s="54"/>
      <c r="O47" s="55"/>
      <c r="P47" s="53">
        <f>P46/12</f>
        <v>2.6860393871588699</v>
      </c>
    </row>
    <row r="48" spans="1:18">
      <c r="A48" s="6">
        <v>18</v>
      </c>
      <c r="C48" s="2" t="s">
        <v>89</v>
      </c>
      <c r="D48" s="3" t="s">
        <v>90</v>
      </c>
      <c r="E48" s="52"/>
      <c r="F48" s="4"/>
      <c r="G48" s="4"/>
      <c r="H48" s="4"/>
      <c r="I48" s="4"/>
      <c r="J48" s="56"/>
      <c r="K48" s="4"/>
      <c r="M48" s="56">
        <f>+M46/52</f>
        <v>0.43580965366071328</v>
      </c>
      <c r="N48" s="56"/>
      <c r="O48" s="57"/>
      <c r="P48" s="56">
        <f>+P46/52</f>
        <v>0.61985524319050844</v>
      </c>
    </row>
    <row r="49" spans="1:16">
      <c r="A49" s="6"/>
      <c r="C49" s="2"/>
      <c r="D49" s="3"/>
      <c r="E49" s="52"/>
      <c r="F49" s="4"/>
      <c r="G49" s="4"/>
      <c r="H49" s="4"/>
      <c r="I49" s="4"/>
      <c r="J49" s="56"/>
      <c r="K49" s="4"/>
      <c r="M49" s="56"/>
      <c r="N49" s="56"/>
      <c r="O49" s="57"/>
      <c r="P49" s="56"/>
    </row>
    <row r="50" spans="1:16">
      <c r="A50" s="6"/>
      <c r="C50" s="2"/>
      <c r="D50" s="3"/>
      <c r="E50" s="52"/>
      <c r="F50" s="4"/>
      <c r="G50" s="4"/>
      <c r="H50" s="4"/>
      <c r="I50" s="4"/>
      <c r="J50" s="56"/>
      <c r="K50" s="4"/>
      <c r="M50" s="57" t="s">
        <v>91</v>
      </c>
      <c r="N50" s="57"/>
      <c r="O50" s="57"/>
      <c r="P50" s="57" t="s">
        <v>91</v>
      </c>
    </row>
    <row r="51" spans="1:16">
      <c r="A51" s="6">
        <v>19</v>
      </c>
      <c r="C51" s="2" t="s">
        <v>92</v>
      </c>
      <c r="D51" s="3" t="s">
        <v>93</v>
      </c>
      <c r="E51" s="52"/>
      <c r="F51" s="4" t="s">
        <v>94</v>
      </c>
      <c r="H51" s="4"/>
      <c r="I51" s="4"/>
      <c r="J51" s="56"/>
      <c r="K51" s="4"/>
      <c r="M51" s="58">
        <f>+M46/260</f>
        <v>8.7161930732142651E-2</v>
      </c>
      <c r="N51" s="58"/>
      <c r="O51" s="59"/>
      <c r="P51" s="58">
        <f>+P46/260</f>
        <v>0.1239710486381017</v>
      </c>
    </row>
    <row r="52" spans="1:16">
      <c r="A52" s="6">
        <v>20</v>
      </c>
      <c r="C52" s="2" t="s">
        <v>95</v>
      </c>
      <c r="D52" s="3" t="s">
        <v>96</v>
      </c>
      <c r="E52" s="52"/>
      <c r="F52" s="4" t="s">
        <v>97</v>
      </c>
      <c r="H52" s="4"/>
      <c r="I52" s="4"/>
      <c r="J52" s="56"/>
      <c r="K52" s="4"/>
      <c r="M52" s="58">
        <f>+M46/4160*1000</f>
        <v>5.4476206707589157</v>
      </c>
      <c r="N52" s="58"/>
      <c r="O52" s="59"/>
      <c r="P52" s="58">
        <f>+P46/4160*1000</f>
        <v>7.7481905398813558</v>
      </c>
    </row>
    <row r="53" spans="1:16">
      <c r="A53" s="6"/>
      <c r="C53" s="2"/>
      <c r="D53" s="4"/>
      <c r="E53" s="4"/>
      <c r="F53" s="4" t="s">
        <v>98</v>
      </c>
      <c r="H53" s="4"/>
      <c r="I53" s="4"/>
      <c r="K53" s="4"/>
      <c r="M53" s="45"/>
      <c r="N53" s="45"/>
      <c r="O53" s="20"/>
      <c r="P53" s="45"/>
    </row>
    <row r="54" spans="1:16">
      <c r="A54" s="6"/>
      <c r="C54" s="2"/>
      <c r="D54" s="4"/>
      <c r="E54" s="60"/>
      <c r="F54" s="4"/>
      <c r="G54" s="4"/>
      <c r="H54" s="4"/>
      <c r="I54" s="4"/>
      <c r="J54" s="7"/>
      <c r="K54" s="4"/>
      <c r="M54" s="20" t="s">
        <v>99</v>
      </c>
      <c r="N54" s="45"/>
      <c r="O54" s="20"/>
      <c r="P54" s="20" t="s">
        <v>99</v>
      </c>
    </row>
    <row r="55" spans="1:16">
      <c r="A55" s="6"/>
      <c r="C55" s="2"/>
      <c r="D55" s="3"/>
      <c r="E55" s="52"/>
      <c r="F55" s="4"/>
      <c r="G55" s="4"/>
      <c r="H55" s="4"/>
      <c r="I55" s="4"/>
      <c r="J55" s="56"/>
      <c r="K55" s="4"/>
      <c r="M55" s="58"/>
      <c r="N55" s="58"/>
      <c r="O55" s="59"/>
      <c r="P55" s="58"/>
    </row>
    <row r="56" spans="1:16">
      <c r="A56" s="6">
        <v>21</v>
      </c>
      <c r="C56" s="2" t="s">
        <v>92</v>
      </c>
      <c r="D56" s="3" t="s">
        <v>100</v>
      </c>
      <c r="E56" s="52"/>
      <c r="F56" s="4" t="s">
        <v>94</v>
      </c>
      <c r="H56" s="4"/>
      <c r="I56" s="4"/>
      <c r="J56" s="56"/>
      <c r="K56" s="4"/>
      <c r="M56" s="58">
        <f>+M46/365</f>
        <v>6.2087950658512574E-2</v>
      </c>
      <c r="N56" s="58"/>
      <c r="O56" s="59"/>
      <c r="P56" s="58">
        <f>+P46/365</f>
        <v>8.8308144235360111E-2</v>
      </c>
    </row>
    <row r="57" spans="1:16">
      <c r="A57" s="6">
        <v>22</v>
      </c>
      <c r="C57" s="2" t="s">
        <v>95</v>
      </c>
      <c r="D57" s="3" t="s">
        <v>101</v>
      </c>
      <c r="E57" s="52"/>
      <c r="F57" s="4" t="s">
        <v>97</v>
      </c>
      <c r="H57" s="4"/>
      <c r="I57" s="4"/>
      <c r="J57" s="56"/>
      <c r="K57" s="4"/>
      <c r="M57" s="58">
        <f>+M46/8760*1000</f>
        <v>2.5869979441046906</v>
      </c>
      <c r="N57" s="58"/>
      <c r="O57" s="59"/>
      <c r="P57" s="58">
        <f>+P46/8760*1000</f>
        <v>3.6795060098066714</v>
      </c>
    </row>
    <row r="58" spans="1:16">
      <c r="A58" s="6"/>
      <c r="C58" s="2"/>
      <c r="D58" s="4" t="s">
        <v>102</v>
      </c>
      <c r="E58" s="4"/>
      <c r="F58" s="4" t="s">
        <v>98</v>
      </c>
      <c r="H58" s="4"/>
      <c r="I58" s="4"/>
      <c r="K58" s="4"/>
      <c r="M58" s="45"/>
      <c r="N58" s="45"/>
      <c r="O58" s="20"/>
      <c r="P58" s="45"/>
    </row>
    <row r="59" spans="1:16">
      <c r="A59" s="6"/>
      <c r="C59" s="2"/>
      <c r="D59" s="4"/>
      <c r="E59" s="4"/>
      <c r="F59" s="4"/>
      <c r="H59" s="4"/>
      <c r="I59" s="4"/>
      <c r="K59" s="4"/>
      <c r="M59" s="45"/>
      <c r="N59" s="45"/>
      <c r="O59" s="20"/>
      <c r="P59" s="45"/>
    </row>
    <row r="60" spans="1:16">
      <c r="A60" s="6">
        <v>23</v>
      </c>
      <c r="C60" s="2" t="s">
        <v>103</v>
      </c>
      <c r="D60" s="4" t="s">
        <v>104</v>
      </c>
      <c r="E60" s="61">
        <v>0</v>
      </c>
      <c r="F60" s="62" t="s">
        <v>105</v>
      </c>
      <c r="G60" s="62"/>
      <c r="H60" s="62"/>
      <c r="I60" s="62"/>
      <c r="J60" s="62">
        <f>E60</f>
        <v>0</v>
      </c>
      <c r="K60" s="62" t="s">
        <v>105</v>
      </c>
      <c r="M60" s="45"/>
      <c r="N60" s="45"/>
      <c r="O60" s="20"/>
      <c r="P60" s="45"/>
    </row>
    <row r="61" spans="1:16">
      <c r="A61" s="6">
        <v>24</v>
      </c>
      <c r="C61" s="2"/>
      <c r="D61" s="4"/>
      <c r="E61" s="61">
        <v>0</v>
      </c>
      <c r="F61" s="62" t="s">
        <v>106</v>
      </c>
      <c r="G61" s="62"/>
      <c r="H61" s="62"/>
      <c r="I61" s="62"/>
      <c r="J61" s="62">
        <f>E61</f>
        <v>0</v>
      </c>
      <c r="K61" s="62" t="s">
        <v>106</v>
      </c>
      <c r="M61" s="45"/>
      <c r="N61" s="45"/>
      <c r="O61" s="20"/>
      <c r="P61" s="45"/>
    </row>
    <row r="62" spans="1:16">
      <c r="A62" s="6"/>
      <c r="C62" s="2"/>
      <c r="D62" s="4"/>
      <c r="E62" s="4"/>
      <c r="F62" s="62"/>
      <c r="G62" s="62"/>
      <c r="H62" s="62"/>
      <c r="I62" s="62"/>
      <c r="J62" s="62"/>
      <c r="K62" s="62"/>
      <c r="M62" s="45"/>
      <c r="N62" s="45"/>
      <c r="O62" s="20"/>
      <c r="P62" s="45"/>
    </row>
    <row r="63" spans="1:16">
      <c r="A63" s="6"/>
      <c r="C63" s="2"/>
      <c r="D63" s="4"/>
      <c r="E63" s="4"/>
      <c r="F63" s="62"/>
      <c r="G63" s="62"/>
      <c r="H63" s="62"/>
      <c r="I63" s="62"/>
      <c r="J63" s="62"/>
      <c r="K63" s="62"/>
      <c r="M63" s="45"/>
      <c r="N63" s="45"/>
      <c r="O63" s="20"/>
      <c r="P63" s="45"/>
    </row>
    <row r="64" spans="1:16">
      <c r="A64" s="6"/>
      <c r="C64" s="2"/>
      <c r="D64" s="4"/>
      <c r="E64" s="4"/>
      <c r="F64" s="62"/>
      <c r="G64" s="62"/>
      <c r="H64" s="62"/>
      <c r="I64" s="62"/>
      <c r="J64" s="62"/>
      <c r="K64" s="62"/>
      <c r="M64" s="45"/>
      <c r="N64" s="45"/>
      <c r="O64" s="20"/>
      <c r="P64" s="45"/>
    </row>
    <row r="65" spans="1:16">
      <c r="A65" s="6"/>
      <c r="C65" s="2"/>
      <c r="D65" s="4"/>
      <c r="E65" s="65"/>
      <c r="F65" s="62"/>
      <c r="G65" s="62"/>
      <c r="H65" s="62"/>
      <c r="I65" s="62"/>
      <c r="J65" s="62"/>
      <c r="K65" s="62"/>
      <c r="M65" s="45"/>
      <c r="N65" s="45"/>
      <c r="O65" s="20"/>
      <c r="P65" s="45"/>
    </row>
    <row r="66" spans="1:16">
      <c r="C66" s="2" t="s">
        <v>26</v>
      </c>
      <c r="D66" s="2"/>
      <c r="E66" s="3" t="s">
        <v>0</v>
      </c>
      <c r="F66" s="2"/>
      <c r="G66" s="2"/>
      <c r="H66" s="2"/>
      <c r="I66" s="4"/>
      <c r="J66" s="45"/>
      <c r="K66" s="10"/>
      <c r="L66" s="20"/>
      <c r="P66" s="7" t="s">
        <v>107</v>
      </c>
    </row>
    <row r="67" spans="1:16">
      <c r="C67" s="2"/>
      <c r="D67" s="9" t="s">
        <v>3</v>
      </c>
      <c r="E67" s="9" t="s">
        <v>27</v>
      </c>
      <c r="F67" s="9"/>
      <c r="G67" s="9"/>
      <c r="H67" s="9"/>
      <c r="I67" s="4"/>
      <c r="J67" s="4"/>
      <c r="K67" s="4"/>
      <c r="N67" s="234"/>
      <c r="O67" s="235"/>
      <c r="P67" s="364" t="str">
        <f>P2</f>
        <v>For the 12 months ended 12/31/12</v>
      </c>
    </row>
    <row r="68" spans="1:16">
      <c r="C68" s="2"/>
      <c r="D68" s="9"/>
      <c r="E68" s="9"/>
      <c r="F68" s="9"/>
      <c r="G68" s="9"/>
      <c r="H68" s="9"/>
      <c r="I68" s="4"/>
      <c r="J68" s="4"/>
      <c r="K68" s="4"/>
    </row>
    <row r="69" spans="1:16" ht="31.5">
      <c r="C69" s="2"/>
      <c r="D69" s="4"/>
      <c r="E69" s="66" t="str">
        <f>E5</f>
        <v>Allete, Inc. dba Minnesota Power</v>
      </c>
      <c r="F69" s="9"/>
      <c r="G69" s="9"/>
      <c r="H69" s="9"/>
      <c r="I69" s="9"/>
      <c r="J69" s="9"/>
      <c r="K69" s="9"/>
    </row>
    <row r="70" spans="1:16">
      <c r="C70" s="6" t="s">
        <v>7</v>
      </c>
      <c r="D70" s="6" t="s">
        <v>8</v>
      </c>
      <c r="E70" s="6" t="s">
        <v>9</v>
      </c>
      <c r="F70" s="9" t="s">
        <v>3</v>
      </c>
      <c r="G70" s="9"/>
      <c r="H70" s="67" t="s">
        <v>10</v>
      </c>
      <c r="I70" s="9"/>
      <c r="J70" s="68" t="s">
        <v>108</v>
      </c>
      <c r="K70" s="9"/>
      <c r="L70" s="68" t="s">
        <v>109</v>
      </c>
      <c r="M70" s="68" t="s">
        <v>110</v>
      </c>
      <c r="O70" s="68" t="s">
        <v>111</v>
      </c>
      <c r="P70" s="68" t="s">
        <v>112</v>
      </c>
    </row>
    <row r="71" spans="1:16">
      <c r="C71" s="2"/>
      <c r="D71" s="69" t="s">
        <v>113</v>
      </c>
      <c r="E71" s="9"/>
      <c r="F71" s="9"/>
      <c r="G71" s="9"/>
      <c r="H71" s="6"/>
      <c r="I71" s="9"/>
      <c r="J71" s="5" t="s">
        <v>11</v>
      </c>
      <c r="K71" s="9"/>
      <c r="L71" s="15" t="s">
        <v>114</v>
      </c>
      <c r="M71" s="15" t="s">
        <v>30</v>
      </c>
      <c r="N71" s="15"/>
      <c r="O71" s="15" t="s">
        <v>115</v>
      </c>
      <c r="P71" s="15" t="s">
        <v>32</v>
      </c>
    </row>
    <row r="72" spans="1:16">
      <c r="A72" s="6" t="s">
        <v>1</v>
      </c>
      <c r="C72" s="2"/>
      <c r="D72" s="14" t="s">
        <v>12</v>
      </c>
      <c r="E72" s="70" t="s">
        <v>116</v>
      </c>
      <c r="F72" s="71"/>
      <c r="G72" s="70" t="s">
        <v>117</v>
      </c>
      <c r="H72" s="72"/>
      <c r="I72" s="73"/>
      <c r="J72" s="74" t="s">
        <v>118</v>
      </c>
      <c r="K72" s="9"/>
      <c r="L72" s="14" t="s">
        <v>4</v>
      </c>
      <c r="M72" s="72" t="s">
        <v>119</v>
      </c>
      <c r="O72" s="14" t="s">
        <v>4</v>
      </c>
      <c r="P72" s="72" t="s">
        <v>120</v>
      </c>
    </row>
    <row r="73" spans="1:16" ht="16.5" thickBot="1">
      <c r="A73" s="17" t="s">
        <v>2</v>
      </c>
      <c r="C73" s="75" t="s">
        <v>121</v>
      </c>
      <c r="D73" s="9"/>
      <c r="E73" s="9"/>
      <c r="F73" s="9"/>
      <c r="G73" s="9"/>
      <c r="H73" s="9"/>
      <c r="I73" s="9"/>
      <c r="J73" s="9"/>
      <c r="K73" s="9"/>
    </row>
    <row r="74" spans="1:16">
      <c r="A74" s="6"/>
      <c r="C74" s="2"/>
      <c r="D74" s="22"/>
      <c r="E74" s="9"/>
      <c r="F74" s="9"/>
      <c r="G74" s="9"/>
      <c r="H74" s="9"/>
      <c r="I74" s="9"/>
      <c r="J74" s="9"/>
      <c r="K74" s="9"/>
    </row>
    <row r="75" spans="1:16">
      <c r="A75" s="6"/>
      <c r="C75" s="2" t="s">
        <v>433</v>
      </c>
      <c r="D75" s="22"/>
      <c r="E75" s="9"/>
      <c r="F75" s="9"/>
      <c r="G75" s="9"/>
      <c r="H75" s="22"/>
      <c r="I75" s="9"/>
      <c r="J75" s="9"/>
      <c r="K75" s="9"/>
    </row>
    <row r="76" spans="1:16">
      <c r="A76" s="6">
        <v>1</v>
      </c>
      <c r="C76" s="2" t="s">
        <v>122</v>
      </c>
      <c r="D76" s="22" t="s">
        <v>123</v>
      </c>
      <c r="E76" s="26">
        <v>1712498167</v>
      </c>
      <c r="F76" s="9"/>
      <c r="G76" s="9" t="s">
        <v>124</v>
      </c>
      <c r="H76" s="76" t="s">
        <v>3</v>
      </c>
      <c r="I76" s="9"/>
      <c r="J76" s="9" t="s">
        <v>3</v>
      </c>
      <c r="K76" s="9"/>
    </row>
    <row r="77" spans="1:16" s="45" customFormat="1">
      <c r="A77" s="63">
        <v>2</v>
      </c>
      <c r="C77" s="64" t="s">
        <v>125</v>
      </c>
      <c r="D77" s="22" t="s">
        <v>126</v>
      </c>
      <c r="E77" s="26">
        <v>417599623</v>
      </c>
      <c r="F77" s="22"/>
      <c r="G77" s="22" t="s">
        <v>41</v>
      </c>
      <c r="H77" s="77">
        <f>J207</f>
        <v>0.92252396022876682</v>
      </c>
      <c r="I77" s="22"/>
      <c r="J77" s="51">
        <f>+H77*E77</f>
        <v>385245658</v>
      </c>
      <c r="K77" s="51"/>
      <c r="L77" s="78" t="s">
        <v>42</v>
      </c>
      <c r="M77" s="51">
        <f>J77-P77</f>
        <v>268916885</v>
      </c>
      <c r="N77" s="51"/>
      <c r="O77" s="78" t="s">
        <v>42</v>
      </c>
      <c r="P77" s="26">
        <v>116328773</v>
      </c>
    </row>
    <row r="78" spans="1:16">
      <c r="A78" s="6">
        <v>3</v>
      </c>
      <c r="C78" s="2" t="s">
        <v>127</v>
      </c>
      <c r="D78" s="22" t="s">
        <v>128</v>
      </c>
      <c r="E78" s="26">
        <v>469780539</v>
      </c>
      <c r="F78" s="9"/>
      <c r="G78" s="9" t="s">
        <v>124</v>
      </c>
      <c r="H78" s="76" t="s">
        <v>3</v>
      </c>
      <c r="I78" s="9"/>
      <c r="J78" s="24" t="s">
        <v>3</v>
      </c>
      <c r="K78" s="24"/>
      <c r="L78" s="79"/>
      <c r="M78" s="24"/>
      <c r="N78" s="24"/>
      <c r="O78" s="79"/>
      <c r="P78" s="24"/>
    </row>
    <row r="79" spans="1:16">
      <c r="A79" s="6">
        <v>4</v>
      </c>
      <c r="C79" s="2" t="s">
        <v>129</v>
      </c>
      <c r="D79" s="22" t="s">
        <v>130</v>
      </c>
      <c r="E79" s="26">
        <f>SUM(46042397+163563670)</f>
        <v>209606067</v>
      </c>
      <c r="F79" s="9"/>
      <c r="G79" s="9" t="s">
        <v>131</v>
      </c>
      <c r="H79" s="76">
        <f>J233</f>
        <v>0.13803364648061991</v>
      </c>
      <c r="I79" s="9"/>
      <c r="J79" s="24">
        <f>+H79*E79</f>
        <v>28932689.75247113</v>
      </c>
      <c r="K79" s="24"/>
      <c r="L79" s="78" t="s">
        <v>132</v>
      </c>
      <c r="M79" s="51">
        <f>J79-P79</f>
        <v>20196175.197141241</v>
      </c>
      <c r="N79" s="51"/>
      <c r="O79" s="78" t="s">
        <v>133</v>
      </c>
      <c r="P79" s="24">
        <f>J79*$J$211</f>
        <v>8736514.5553298891</v>
      </c>
    </row>
    <row r="80" spans="1:16" ht="16.5" thickBot="1">
      <c r="A80" s="6">
        <v>5</v>
      </c>
      <c r="C80" s="2" t="s">
        <v>134</v>
      </c>
      <c r="D80" s="22" t="s">
        <v>135</v>
      </c>
      <c r="E80" s="80">
        <v>0</v>
      </c>
      <c r="F80" s="9"/>
      <c r="G80" s="9" t="s">
        <v>136</v>
      </c>
      <c r="H80" s="77">
        <f>L262</f>
        <v>0.13803364648061991</v>
      </c>
      <c r="I80" s="22"/>
      <c r="J80" s="81">
        <f>+H80*E80</f>
        <v>0</v>
      </c>
      <c r="K80" s="51"/>
      <c r="L80" s="78" t="s">
        <v>132</v>
      </c>
      <c r="M80" s="81">
        <f>J80-P80</f>
        <v>0</v>
      </c>
      <c r="N80" s="82"/>
      <c r="O80" s="78" t="s">
        <v>133</v>
      </c>
      <c r="P80" s="30">
        <f>J80*$J$211</f>
        <v>0</v>
      </c>
    </row>
    <row r="81" spans="1:16">
      <c r="A81" s="6">
        <v>6</v>
      </c>
      <c r="C81" s="2" t="s">
        <v>137</v>
      </c>
      <c r="D81" s="22"/>
      <c r="E81" s="24">
        <f>SUM(E76:E80)</f>
        <v>2809484396</v>
      </c>
      <c r="F81" s="9"/>
      <c r="G81" s="9" t="s">
        <v>138</v>
      </c>
      <c r="H81" s="83">
        <f>IF(J81&gt;0,J81/E81,0)</f>
        <v>0.14742148002037564</v>
      </c>
      <c r="I81" s="22"/>
      <c r="J81" s="51">
        <f>SUM(J76:J80)</f>
        <v>414178347.75247115</v>
      </c>
      <c r="K81" s="51"/>
      <c r="L81" s="78"/>
      <c r="M81" s="51">
        <f>SUM(M76:M80)</f>
        <v>289113060.19714123</v>
      </c>
      <c r="N81" s="51"/>
      <c r="O81" s="78"/>
      <c r="P81" s="51">
        <f>SUM(P77:P80)</f>
        <v>125065287.55532989</v>
      </c>
    </row>
    <row r="82" spans="1:16">
      <c r="C82" s="2"/>
      <c r="D82" s="22"/>
      <c r="E82" s="24"/>
      <c r="F82" s="9"/>
      <c r="G82" s="9"/>
      <c r="H82" s="84"/>
      <c r="I82" s="9"/>
      <c r="J82" s="24"/>
      <c r="K82" s="24"/>
      <c r="L82" s="78"/>
      <c r="M82" s="51"/>
      <c r="N82" s="51"/>
      <c r="O82" s="78"/>
      <c r="P82" s="24"/>
    </row>
    <row r="83" spans="1:16">
      <c r="C83" s="2" t="s">
        <v>434</v>
      </c>
      <c r="D83" s="22"/>
      <c r="E83" s="24"/>
      <c r="F83" s="9"/>
      <c r="G83" s="9"/>
      <c r="H83" s="9"/>
      <c r="I83" s="9"/>
      <c r="J83" s="24"/>
      <c r="K83" s="24"/>
      <c r="L83" s="78"/>
      <c r="M83" s="51"/>
      <c r="N83" s="51"/>
      <c r="O83" s="78"/>
      <c r="P83" s="24"/>
    </row>
    <row r="84" spans="1:16">
      <c r="A84" s="6">
        <v>7</v>
      </c>
      <c r="C84" s="2" t="str">
        <f>+C76</f>
        <v xml:space="preserve">  Production</v>
      </c>
      <c r="D84" s="22" t="s">
        <v>139</v>
      </c>
      <c r="E84" s="26">
        <v>554825776</v>
      </c>
      <c r="F84" s="9"/>
      <c r="G84" s="9" t="str">
        <f t="shared" ref="G84:H88" si="1">+G76</f>
        <v>NA</v>
      </c>
      <c r="H84" s="76" t="str">
        <f t="shared" si="1"/>
        <v xml:space="preserve"> </v>
      </c>
      <c r="I84" s="9"/>
      <c r="J84" s="24" t="s">
        <v>3</v>
      </c>
      <c r="K84" s="24"/>
      <c r="L84" s="78"/>
      <c r="M84" s="51"/>
      <c r="N84" s="51"/>
      <c r="O84" s="78"/>
      <c r="P84" s="24"/>
    </row>
    <row r="85" spans="1:16" s="45" customFormat="1">
      <c r="A85" s="63">
        <v>8</v>
      </c>
      <c r="C85" s="64" t="str">
        <f>+C77</f>
        <v xml:space="preserve">  Transmission</v>
      </c>
      <c r="D85" s="22" t="s">
        <v>140</v>
      </c>
      <c r="E85" s="26">
        <v>171871192</v>
      </c>
      <c r="F85" s="22"/>
      <c r="G85" s="22" t="str">
        <f t="shared" si="1"/>
        <v>TP</v>
      </c>
      <c r="H85" s="77">
        <f t="shared" si="1"/>
        <v>0.92252396022876682</v>
      </c>
      <c r="I85" s="22"/>
      <c r="J85" s="51">
        <f>+H85*E85</f>
        <v>158555292.69307876</v>
      </c>
      <c r="K85" s="51"/>
      <c r="L85" s="78" t="s">
        <v>42</v>
      </c>
      <c r="M85" s="85">
        <f>J85-P85</f>
        <v>111706869.69307876</v>
      </c>
      <c r="N85" s="85"/>
      <c r="O85" s="78" t="s">
        <v>42</v>
      </c>
      <c r="P85" s="86">
        <v>46848423</v>
      </c>
    </row>
    <row r="86" spans="1:16">
      <c r="A86" s="6">
        <v>9</v>
      </c>
      <c r="C86" s="2" t="str">
        <f>+C78</f>
        <v xml:space="preserve">  Distribution</v>
      </c>
      <c r="D86" s="22" t="s">
        <v>141</v>
      </c>
      <c r="E86" s="26">
        <v>191239014</v>
      </c>
      <c r="F86" s="9"/>
      <c r="G86" s="9" t="str">
        <f t="shared" si="1"/>
        <v>NA</v>
      </c>
      <c r="H86" s="76" t="str">
        <f t="shared" si="1"/>
        <v xml:space="preserve"> </v>
      </c>
      <c r="I86" s="9"/>
      <c r="J86" s="24" t="s">
        <v>3</v>
      </c>
      <c r="K86" s="24"/>
      <c r="L86" s="78"/>
      <c r="M86" s="85"/>
      <c r="N86" s="85"/>
      <c r="O86" s="78"/>
      <c r="P86" s="87"/>
    </row>
    <row r="87" spans="1:16">
      <c r="A87" s="6">
        <v>10</v>
      </c>
      <c r="C87" s="2" t="str">
        <f>+C79</f>
        <v xml:space="preserve">  General &amp; Intangible</v>
      </c>
      <c r="D87" s="22" t="s">
        <v>445</v>
      </c>
      <c r="E87" s="26">
        <f>SUM(78664712+34152000)</f>
        <v>112816712</v>
      </c>
      <c r="F87" s="9"/>
      <c r="G87" s="9" t="str">
        <f t="shared" si="1"/>
        <v>W/S</v>
      </c>
      <c r="H87" s="76">
        <f t="shared" si="1"/>
        <v>0.13803364648061991</v>
      </c>
      <c r="I87" s="9"/>
      <c r="J87" s="24">
        <f>+H87*E87</f>
        <v>15572502.14131391</v>
      </c>
      <c r="K87" s="24"/>
      <c r="L87" s="78" t="s">
        <v>142</v>
      </c>
      <c r="M87" s="51">
        <f>J87-P87</f>
        <v>10870229.632796969</v>
      </c>
      <c r="N87" s="88"/>
      <c r="O87" s="78" t="s">
        <v>133</v>
      </c>
      <c r="P87" s="24">
        <f>J87*$J$211</f>
        <v>4702272.5085169412</v>
      </c>
    </row>
    <row r="88" spans="1:16" ht="16.5" thickBot="1">
      <c r="A88" s="6">
        <v>11</v>
      </c>
      <c r="C88" s="2" t="str">
        <f>+C80</f>
        <v xml:space="preserve">  Common</v>
      </c>
      <c r="D88" s="22" t="s">
        <v>135</v>
      </c>
      <c r="E88" s="80">
        <v>0</v>
      </c>
      <c r="F88" s="9"/>
      <c r="G88" s="9" t="str">
        <f t="shared" si="1"/>
        <v>CE</v>
      </c>
      <c r="H88" s="76">
        <f t="shared" si="1"/>
        <v>0.13803364648061991</v>
      </c>
      <c r="I88" s="9"/>
      <c r="J88" s="30">
        <f>+H88*E88</f>
        <v>0</v>
      </c>
      <c r="K88" s="24"/>
      <c r="L88" s="78" t="s">
        <v>132</v>
      </c>
      <c r="M88" s="81">
        <f>J88-P88</f>
        <v>0</v>
      </c>
      <c r="N88" s="82"/>
      <c r="O88" s="78" t="s">
        <v>133</v>
      </c>
      <c r="P88" s="30">
        <f>J88*$J$211</f>
        <v>0</v>
      </c>
    </row>
    <row r="89" spans="1:16">
      <c r="A89" s="6">
        <v>12</v>
      </c>
      <c r="C89" s="2" t="s">
        <v>143</v>
      </c>
      <c r="D89" s="22"/>
      <c r="E89" s="24">
        <f>SUM(E84:E88)</f>
        <v>1030752694</v>
      </c>
      <c r="F89" s="9"/>
      <c r="G89" s="9"/>
      <c r="H89" s="9"/>
      <c r="I89" s="9"/>
      <c r="J89" s="24">
        <f>SUM(J84:J88)</f>
        <v>174127794.83439267</v>
      </c>
      <c r="K89" s="24"/>
      <c r="L89" s="79"/>
      <c r="M89" s="85">
        <f>SUM(M85:M88)</f>
        <v>122577099.32587573</v>
      </c>
      <c r="N89" s="85"/>
      <c r="O89" s="78"/>
      <c r="P89" s="85">
        <f>SUM(P85:P88)</f>
        <v>51550695.508516937</v>
      </c>
    </row>
    <row r="90" spans="1:16">
      <c r="A90" s="6"/>
      <c r="D90" s="22" t="s">
        <v>3</v>
      </c>
      <c r="E90" s="24"/>
      <c r="F90" s="9"/>
      <c r="G90" s="9"/>
      <c r="H90" s="84"/>
      <c r="I90" s="9"/>
      <c r="J90" s="24"/>
      <c r="K90" s="24"/>
      <c r="L90" s="79"/>
      <c r="M90" s="24"/>
      <c r="N90" s="24"/>
      <c r="O90" s="79"/>
      <c r="P90" s="24"/>
    </row>
    <row r="91" spans="1:16">
      <c r="A91" s="6"/>
      <c r="C91" s="2" t="s">
        <v>144</v>
      </c>
      <c r="D91" s="22"/>
      <c r="E91" s="24"/>
      <c r="F91" s="9"/>
      <c r="G91" s="9"/>
      <c r="H91" s="9"/>
      <c r="I91" s="9"/>
      <c r="J91" s="24"/>
      <c r="K91" s="24"/>
      <c r="L91" s="79"/>
      <c r="M91" s="24"/>
      <c r="N91" s="24"/>
      <c r="O91" s="79"/>
      <c r="P91" s="24"/>
    </row>
    <row r="92" spans="1:16">
      <c r="A92" s="6">
        <v>13</v>
      </c>
      <c r="C92" s="2" t="str">
        <f>+C84</f>
        <v xml:space="preserve">  Production</v>
      </c>
      <c r="D92" s="22" t="s">
        <v>145</v>
      </c>
      <c r="E92" s="24">
        <f>E76-E84</f>
        <v>1157672391</v>
      </c>
      <c r="F92" s="9"/>
      <c r="G92" s="9"/>
      <c r="H92" s="84"/>
      <c r="I92" s="9"/>
      <c r="J92" s="24" t="s">
        <v>3</v>
      </c>
      <c r="K92" s="24"/>
      <c r="L92" s="79"/>
      <c r="M92" s="24"/>
      <c r="N92" s="24"/>
      <c r="O92" s="79"/>
      <c r="P92" s="24"/>
    </row>
    <row r="93" spans="1:16" s="45" customFormat="1">
      <c r="A93" s="63">
        <v>14</v>
      </c>
      <c r="C93" s="64" t="str">
        <f>+C85</f>
        <v xml:space="preserve">  Transmission</v>
      </c>
      <c r="D93" s="22" t="s">
        <v>146</v>
      </c>
      <c r="E93" s="51">
        <f>E77-E85</f>
        <v>245728431</v>
      </c>
      <c r="F93" s="22"/>
      <c r="G93" s="22"/>
      <c r="H93" s="77"/>
      <c r="I93" s="22"/>
      <c r="J93" s="51">
        <f>J77-J85</f>
        <v>226690365.30692124</v>
      </c>
      <c r="K93" s="51"/>
      <c r="L93" s="78"/>
      <c r="M93" s="51">
        <f>M77-M85</f>
        <v>157210015.30692124</v>
      </c>
      <c r="N93" s="51"/>
      <c r="O93" s="78"/>
      <c r="P93" s="51">
        <f>P77-P85</f>
        <v>69480350</v>
      </c>
    </row>
    <row r="94" spans="1:16">
      <c r="A94" s="6">
        <v>15</v>
      </c>
      <c r="C94" s="2" t="str">
        <f>+C86</f>
        <v xml:space="preserve">  Distribution</v>
      </c>
      <c r="D94" s="22" t="s">
        <v>147</v>
      </c>
      <c r="E94" s="24">
        <f>E78-E86</f>
        <v>278541525</v>
      </c>
      <c r="F94" s="9"/>
      <c r="G94" s="9"/>
      <c r="H94" s="84"/>
      <c r="I94" s="9"/>
      <c r="J94" s="24" t="s">
        <v>3</v>
      </c>
      <c r="K94" s="24"/>
      <c r="L94" s="79"/>
      <c r="M94" s="24" t="s">
        <v>3</v>
      </c>
      <c r="N94" s="24"/>
      <c r="O94" s="79"/>
      <c r="P94" s="24" t="s">
        <v>3</v>
      </c>
    </row>
    <row r="95" spans="1:16">
      <c r="A95" s="6">
        <v>16</v>
      </c>
      <c r="C95" s="2" t="str">
        <f>+C87</f>
        <v xml:space="preserve">  General &amp; Intangible</v>
      </c>
      <c r="D95" s="22" t="s">
        <v>148</v>
      </c>
      <c r="E95" s="24">
        <f>E79-E87</f>
        <v>96789355</v>
      </c>
      <c r="F95" s="9"/>
      <c r="G95" s="9"/>
      <c r="H95" s="84"/>
      <c r="I95" s="9"/>
      <c r="J95" s="24">
        <f>J79-J87</f>
        <v>13360187.61115722</v>
      </c>
      <c r="K95" s="24"/>
      <c r="L95" s="79"/>
      <c r="M95" s="24">
        <f>M79-M87</f>
        <v>9325945.564344272</v>
      </c>
      <c r="N95" s="24"/>
      <c r="O95" s="79"/>
      <c r="P95" s="24">
        <f>P79-P87</f>
        <v>4034242.0468129478</v>
      </c>
    </row>
    <row r="96" spans="1:16" ht="16.5" thickBot="1">
      <c r="A96" s="6">
        <v>17</v>
      </c>
      <c r="C96" s="2" t="str">
        <f>+C88</f>
        <v xml:space="preserve">  Common</v>
      </c>
      <c r="D96" s="22" t="s">
        <v>149</v>
      </c>
      <c r="E96" s="30">
        <f>E80-E88</f>
        <v>0</v>
      </c>
      <c r="F96" s="9"/>
      <c r="G96" s="9"/>
      <c r="H96" s="84"/>
      <c r="I96" s="9"/>
      <c r="J96" s="30">
        <f>J80-J88</f>
        <v>0</v>
      </c>
      <c r="K96" s="24"/>
      <c r="L96" s="79"/>
      <c r="M96" s="30">
        <v>0</v>
      </c>
      <c r="N96" s="89"/>
      <c r="O96" s="90"/>
      <c r="P96" s="81">
        <f>P80-P88</f>
        <v>0</v>
      </c>
    </row>
    <row r="97" spans="1:18">
      <c r="A97" s="6">
        <v>18</v>
      </c>
      <c r="C97" s="2" t="s">
        <v>150</v>
      </c>
      <c r="D97" s="22"/>
      <c r="E97" s="24">
        <f>SUM(E92:E96)</f>
        <v>1778731702</v>
      </c>
      <c r="F97" s="9"/>
      <c r="G97" s="9" t="s">
        <v>151</v>
      </c>
      <c r="H97" s="84">
        <f>IF(J97&gt;0,J97/E97,0)</f>
        <v>0.13495602099415355</v>
      </c>
      <c r="I97" s="9"/>
      <c r="J97" s="24">
        <f>SUM(J92:J96)</f>
        <v>240050552.91807845</v>
      </c>
      <c r="K97" s="24"/>
      <c r="L97" s="79"/>
      <c r="M97" s="51">
        <f>SUM(M93:M96)</f>
        <v>166535960.87126553</v>
      </c>
      <c r="N97" s="51"/>
      <c r="O97" s="78"/>
      <c r="P97" s="51">
        <f>SUM(P93:P96)</f>
        <v>73514592.046812952</v>
      </c>
    </row>
    <row r="98" spans="1:18">
      <c r="A98" s="6"/>
      <c r="C98" s="2"/>
      <c r="D98" s="22"/>
      <c r="E98" s="24"/>
      <c r="F98" s="9"/>
      <c r="G98" s="9"/>
      <c r="H98" s="84"/>
      <c r="I98" s="9"/>
      <c r="J98" s="24"/>
      <c r="K98" s="24"/>
      <c r="L98" s="79"/>
      <c r="M98" s="51"/>
      <c r="N98" s="51"/>
      <c r="O98" s="78"/>
      <c r="P98" s="51"/>
    </row>
    <row r="99" spans="1:18">
      <c r="A99" s="6" t="s">
        <v>401</v>
      </c>
      <c r="C99" s="224" t="s">
        <v>402</v>
      </c>
      <c r="D99" s="225"/>
      <c r="E99" s="24"/>
      <c r="F99" s="9"/>
      <c r="G99" s="9"/>
      <c r="H99" s="84"/>
      <c r="I99" s="9"/>
      <c r="J99" s="24"/>
      <c r="K99" s="24"/>
      <c r="L99" s="79"/>
      <c r="M99" s="51"/>
      <c r="N99" s="51"/>
      <c r="O99" s="78"/>
      <c r="P99" s="51"/>
    </row>
    <row r="100" spans="1:18">
      <c r="A100" s="6"/>
      <c r="C100" s="226" t="s">
        <v>410</v>
      </c>
      <c r="D100" s="227" t="s">
        <v>411</v>
      </c>
      <c r="E100" s="251">
        <v>23468276</v>
      </c>
      <c r="F100" s="9"/>
      <c r="G100" s="151" t="s">
        <v>3</v>
      </c>
      <c r="H100" s="228">
        <v>1</v>
      </c>
      <c r="I100" s="32"/>
      <c r="J100" s="51">
        <f>+H100*E100</f>
        <v>23468276</v>
      </c>
      <c r="K100" s="82"/>
      <c r="L100" s="92" t="s">
        <v>42</v>
      </c>
      <c r="M100" s="82">
        <f>J100-P100</f>
        <v>23468276</v>
      </c>
      <c r="N100" s="82"/>
      <c r="O100" s="92" t="s">
        <v>42</v>
      </c>
      <c r="P100" s="229">
        <v>0</v>
      </c>
    </row>
    <row r="101" spans="1:18">
      <c r="A101" s="6"/>
      <c r="C101" s="183"/>
      <c r="D101" s="184"/>
      <c r="E101" s="51"/>
      <c r="F101" s="9"/>
      <c r="I101" s="9"/>
      <c r="J101" s="24"/>
      <c r="K101" s="24"/>
      <c r="L101" s="79"/>
      <c r="M101" s="24"/>
      <c r="N101" s="24"/>
      <c r="O101" s="79"/>
      <c r="P101" s="24"/>
    </row>
    <row r="102" spans="1:18">
      <c r="A102" s="6"/>
      <c r="C102" s="2" t="s">
        <v>152</v>
      </c>
      <c r="D102" s="22"/>
      <c r="E102" s="24"/>
      <c r="F102" s="9"/>
      <c r="G102" s="9"/>
      <c r="H102" s="9"/>
      <c r="I102" s="9"/>
      <c r="J102" s="24"/>
      <c r="K102" s="24"/>
      <c r="L102" s="79"/>
      <c r="M102" s="24"/>
      <c r="N102" s="24"/>
      <c r="O102" s="79"/>
      <c r="P102" s="24"/>
    </row>
    <row r="103" spans="1:18">
      <c r="A103" s="6">
        <v>19</v>
      </c>
      <c r="C103" s="64" t="s">
        <v>153</v>
      </c>
      <c r="D103" s="22" t="s">
        <v>154</v>
      </c>
      <c r="E103" s="49">
        <v>-39607355</v>
      </c>
      <c r="F103" s="22"/>
      <c r="G103" s="22" t="str">
        <f>+G84</f>
        <v>NA</v>
      </c>
      <c r="H103" s="91" t="s">
        <v>155</v>
      </c>
      <c r="I103" s="9"/>
      <c r="J103" s="24">
        <v>0</v>
      </c>
      <c r="K103" s="24"/>
      <c r="L103" s="79" t="s">
        <v>3</v>
      </c>
      <c r="M103" s="89">
        <v>0</v>
      </c>
      <c r="N103" s="89"/>
      <c r="O103" s="90"/>
      <c r="P103" s="89">
        <v>0</v>
      </c>
    </row>
    <row r="104" spans="1:18">
      <c r="A104" s="6">
        <v>20</v>
      </c>
      <c r="C104" s="64" t="s">
        <v>156</v>
      </c>
      <c r="D104" s="22" t="s">
        <v>157</v>
      </c>
      <c r="E104" s="49">
        <v>-454202414</v>
      </c>
      <c r="F104" s="9"/>
      <c r="G104" s="9" t="s">
        <v>158</v>
      </c>
      <c r="H104" s="76">
        <f>+H97</f>
        <v>0.13495602099415355</v>
      </c>
      <c r="I104" s="9"/>
      <c r="J104" s="24">
        <f t="shared" ref="J104:J109" si="2">E104*H104</f>
        <v>-61297350.519379221</v>
      </c>
      <c r="K104" s="24"/>
      <c r="L104" s="78" t="s">
        <v>159</v>
      </c>
      <c r="M104" s="82">
        <f t="shared" ref="M104:M109" si="3">J104-P104</f>
        <v>-42525264.130890459</v>
      </c>
      <c r="N104" s="82"/>
      <c r="O104" s="92" t="s">
        <v>160</v>
      </c>
      <c r="P104" s="89">
        <f>J104*$J$215</f>
        <v>-18772086.388488762</v>
      </c>
      <c r="R104" s="93"/>
    </row>
    <row r="105" spans="1:18">
      <c r="A105" s="6">
        <v>21</v>
      </c>
      <c r="C105" s="64" t="s">
        <v>161</v>
      </c>
      <c r="D105" s="22" t="s">
        <v>162</v>
      </c>
      <c r="E105" s="49">
        <v>-120629196</v>
      </c>
      <c r="F105" s="9"/>
      <c r="G105" s="9" t="s">
        <v>158</v>
      </c>
      <c r="H105" s="76">
        <f>+H104</f>
        <v>0.13495602099415355</v>
      </c>
      <c r="I105" s="9"/>
      <c r="J105" s="24">
        <f t="shared" si="2"/>
        <v>-16279636.307883862</v>
      </c>
      <c r="K105" s="24"/>
      <c r="L105" s="78" t="s">
        <v>159</v>
      </c>
      <c r="M105" s="82">
        <f t="shared" si="3"/>
        <v>-11294058.031573903</v>
      </c>
      <c r="N105" s="82"/>
      <c r="O105" s="92" t="s">
        <v>160</v>
      </c>
      <c r="P105" s="89">
        <f>J105*$J$215</f>
        <v>-4985578.2763099605</v>
      </c>
      <c r="R105" s="93"/>
    </row>
    <row r="106" spans="1:18">
      <c r="A106" s="6">
        <v>22</v>
      </c>
      <c r="C106" s="64" t="s">
        <v>163</v>
      </c>
      <c r="D106" s="22" t="s">
        <v>164</v>
      </c>
      <c r="E106" s="49">
        <v>215983600</v>
      </c>
      <c r="F106" s="9"/>
      <c r="G106" s="9" t="str">
        <f>+G105</f>
        <v>NP</v>
      </c>
      <c r="H106" s="76">
        <f>+H105</f>
        <v>0.13495602099415355</v>
      </c>
      <c r="I106" s="9"/>
      <c r="J106" s="24">
        <f t="shared" si="2"/>
        <v>29148287.255992863</v>
      </c>
      <c r="K106" s="24"/>
      <c r="L106" s="78" t="s">
        <v>159</v>
      </c>
      <c r="M106" s="82">
        <f t="shared" si="3"/>
        <v>20221732.326461375</v>
      </c>
      <c r="N106" s="82"/>
      <c r="O106" s="92" t="s">
        <v>160</v>
      </c>
      <c r="P106" s="89">
        <f>J106*$J$215</f>
        <v>8926554.9295314867</v>
      </c>
      <c r="R106" s="93"/>
    </row>
    <row r="107" spans="1:18">
      <c r="A107" s="6">
        <v>23</v>
      </c>
      <c r="C107" s="45" t="s">
        <v>165</v>
      </c>
      <c r="D107" s="45" t="s">
        <v>166</v>
      </c>
      <c r="E107" s="185">
        <v>-11631479</v>
      </c>
      <c r="F107" s="9"/>
      <c r="G107" s="9" t="s">
        <v>158</v>
      </c>
      <c r="H107" s="76">
        <f>+H105</f>
        <v>0.13495602099415355</v>
      </c>
      <c r="I107" s="9"/>
      <c r="J107" s="89">
        <f t="shared" si="2"/>
        <v>-1569738.1241170561</v>
      </c>
      <c r="K107" s="24"/>
      <c r="L107" s="78" t="s">
        <v>159</v>
      </c>
      <c r="M107" s="82">
        <f t="shared" si="3"/>
        <v>-1089011.6420823461</v>
      </c>
      <c r="N107" s="82"/>
      <c r="O107" s="92" t="s">
        <v>160</v>
      </c>
      <c r="P107" s="89">
        <f>J107*$J$215</f>
        <v>-480726.48203470994</v>
      </c>
      <c r="R107" s="93"/>
    </row>
    <row r="108" spans="1:18">
      <c r="A108" s="6" t="s">
        <v>403</v>
      </c>
      <c r="C108" s="45" t="s">
        <v>418</v>
      </c>
      <c r="D108" s="45"/>
      <c r="E108" s="185">
        <v>-2681826</v>
      </c>
      <c r="F108" s="9"/>
      <c r="G108" s="9"/>
      <c r="H108" s="76">
        <v>1</v>
      </c>
      <c r="I108" s="9"/>
      <c r="J108" s="89">
        <f t="shared" si="2"/>
        <v>-2681826</v>
      </c>
      <c r="K108" s="24"/>
      <c r="L108" s="78" t="s">
        <v>42</v>
      </c>
      <c r="M108" s="82">
        <f t="shared" si="3"/>
        <v>-2681826</v>
      </c>
      <c r="N108" s="82"/>
      <c r="O108" s="92" t="s">
        <v>42</v>
      </c>
      <c r="P108" s="251">
        <v>0</v>
      </c>
      <c r="R108" s="93"/>
    </row>
    <row r="109" spans="1:18">
      <c r="A109" s="6" t="s">
        <v>413</v>
      </c>
      <c r="C109" s="45" t="s">
        <v>419</v>
      </c>
      <c r="D109" s="45"/>
      <c r="E109" s="230">
        <v>0</v>
      </c>
      <c r="F109" s="9"/>
      <c r="G109" s="9" t="s">
        <v>3</v>
      </c>
      <c r="H109" s="76">
        <v>1</v>
      </c>
      <c r="I109" s="9"/>
      <c r="J109" s="31">
        <f t="shared" si="2"/>
        <v>0</v>
      </c>
      <c r="K109" s="24"/>
      <c r="L109" s="78" t="s">
        <v>42</v>
      </c>
      <c r="M109" s="186">
        <f t="shared" si="3"/>
        <v>0</v>
      </c>
      <c r="N109" s="82"/>
      <c r="O109" s="92" t="s">
        <v>42</v>
      </c>
      <c r="P109" s="252">
        <v>0</v>
      </c>
      <c r="R109" s="93"/>
    </row>
    <row r="110" spans="1:18">
      <c r="A110" s="6"/>
      <c r="C110" s="45"/>
      <c r="D110" s="45"/>
      <c r="E110" s="180"/>
      <c r="F110" s="9"/>
      <c r="G110" s="9"/>
      <c r="H110" s="76"/>
      <c r="I110" s="9"/>
      <c r="J110" s="89"/>
      <c r="K110" s="24"/>
      <c r="L110" s="78"/>
      <c r="M110" s="82"/>
      <c r="N110" s="82"/>
      <c r="O110" s="92"/>
      <c r="P110" s="89"/>
      <c r="R110" s="93"/>
    </row>
    <row r="111" spans="1:18">
      <c r="A111" s="6">
        <v>24</v>
      </c>
      <c r="C111" s="2" t="s">
        <v>167</v>
      </c>
      <c r="D111" s="22"/>
      <c r="E111" s="24">
        <f>SUM(E103:E110)</f>
        <v>-412768670</v>
      </c>
      <c r="F111" s="9"/>
      <c r="G111" s="9"/>
      <c r="H111" s="24" t="s">
        <v>3</v>
      </c>
      <c r="I111" s="9"/>
      <c r="J111" s="24">
        <f>SUM(J103:J110)</f>
        <v>-52680263.695387281</v>
      </c>
      <c r="K111" s="24"/>
      <c r="L111" s="78"/>
      <c r="M111" s="24">
        <f>SUM(M103:M110)</f>
        <v>-37368427.478085339</v>
      </c>
      <c r="N111" s="51"/>
      <c r="O111" s="78"/>
      <c r="P111" s="24">
        <f>SUM(P103:P110)</f>
        <v>-15311836.217301944</v>
      </c>
      <c r="R111" s="93"/>
    </row>
    <row r="112" spans="1:18">
      <c r="A112" s="6"/>
      <c r="D112" s="22"/>
      <c r="E112" s="24"/>
      <c r="F112" s="9"/>
      <c r="G112" s="9"/>
      <c r="H112" s="84"/>
      <c r="I112" s="9"/>
      <c r="J112" s="24"/>
      <c r="K112" s="24"/>
      <c r="L112" s="78"/>
      <c r="M112" s="51"/>
      <c r="N112" s="51"/>
      <c r="O112" s="78"/>
      <c r="P112" s="24"/>
    </row>
    <row r="113" spans="1:16">
      <c r="A113" s="6">
        <v>25</v>
      </c>
      <c r="C113" s="2" t="s">
        <v>168</v>
      </c>
      <c r="D113" s="22" t="s">
        <v>169</v>
      </c>
      <c r="E113" s="26">
        <v>19426</v>
      </c>
      <c r="F113" s="9"/>
      <c r="G113" s="9" t="str">
        <f>+G85</f>
        <v>TP</v>
      </c>
      <c r="H113" s="76">
        <f>+H85</f>
        <v>0.92252396022876682</v>
      </c>
      <c r="I113" s="9"/>
      <c r="J113" s="24">
        <f>+H113*E113</f>
        <v>17920.950451404024</v>
      </c>
      <c r="K113" s="24"/>
      <c r="L113" s="78" t="s">
        <v>42</v>
      </c>
      <c r="M113" s="51">
        <f>J113-P113</f>
        <v>17920.950451404024</v>
      </c>
      <c r="N113" s="51"/>
      <c r="O113" s="78" t="s">
        <v>42</v>
      </c>
      <c r="P113" s="26">
        <v>0</v>
      </c>
    </row>
    <row r="114" spans="1:16">
      <c r="A114" s="6"/>
      <c r="C114" s="2"/>
      <c r="D114" s="9"/>
      <c r="E114" s="24"/>
      <c r="F114" s="9"/>
      <c r="G114" s="9"/>
      <c r="H114" s="9"/>
      <c r="I114" s="9"/>
      <c r="J114" s="24"/>
      <c r="K114" s="24"/>
      <c r="L114" s="78"/>
      <c r="M114" s="51"/>
      <c r="N114" s="51"/>
      <c r="O114" s="78"/>
      <c r="P114" s="24"/>
    </row>
    <row r="115" spans="1:16">
      <c r="A115" s="6"/>
      <c r="C115" s="2" t="s">
        <v>170</v>
      </c>
      <c r="D115" s="9" t="s">
        <v>3</v>
      </c>
      <c r="E115" s="24"/>
      <c r="F115" s="9"/>
      <c r="G115" s="9"/>
      <c r="H115" s="9"/>
      <c r="I115" s="9"/>
      <c r="J115" s="24"/>
      <c r="K115" s="24"/>
      <c r="L115" s="78"/>
      <c r="M115" s="51"/>
      <c r="N115" s="51"/>
      <c r="O115" s="78"/>
      <c r="P115" s="24"/>
    </row>
    <row r="116" spans="1:16">
      <c r="A116" s="6">
        <v>26</v>
      </c>
      <c r="C116" s="2" t="s">
        <v>171</v>
      </c>
      <c r="D116" s="1" t="s">
        <v>172</v>
      </c>
      <c r="E116" s="24">
        <f>+E146/8</f>
        <v>9949555.375</v>
      </c>
      <c r="F116" s="9"/>
      <c r="G116" s="9"/>
      <c r="H116" s="84"/>
      <c r="I116" s="9"/>
      <c r="J116" s="24">
        <f>+J146/8</f>
        <v>3047299.0040921653</v>
      </c>
      <c r="K116" s="48"/>
      <c r="L116" s="78" t="s">
        <v>3</v>
      </c>
      <c r="M116" s="24">
        <f>+M146/8</f>
        <v>2500086.0169405215</v>
      </c>
      <c r="N116" s="82"/>
      <c r="O116" s="78" t="s">
        <v>3</v>
      </c>
      <c r="P116" s="24">
        <f>+P146/8</f>
        <v>547212.98715164361</v>
      </c>
    </row>
    <row r="117" spans="1:16" s="45" customFormat="1">
      <c r="A117" s="63">
        <v>27</v>
      </c>
      <c r="C117" s="64" t="s">
        <v>173</v>
      </c>
      <c r="D117" s="22" t="s">
        <v>174</v>
      </c>
      <c r="E117" s="26">
        <v>2857642</v>
      </c>
      <c r="F117" s="22"/>
      <c r="G117" s="22" t="s">
        <v>175</v>
      </c>
      <c r="H117" s="77">
        <f>J225</f>
        <v>0.82511622655722527</v>
      </c>
      <c r="I117" s="22"/>
      <c r="J117" s="51">
        <f>+H117*E117</f>
        <v>2357886.7838914422</v>
      </c>
      <c r="K117" s="51" t="s">
        <v>3</v>
      </c>
      <c r="L117" s="78" t="s">
        <v>142</v>
      </c>
      <c r="M117" s="82">
        <f>J117-P117</f>
        <v>1645899.3266752271</v>
      </c>
      <c r="N117" s="82"/>
      <c r="O117" s="92" t="s">
        <v>133</v>
      </c>
      <c r="P117" s="89">
        <f>J117*$J$211</f>
        <v>711987.45721621509</v>
      </c>
    </row>
    <row r="118" spans="1:16" ht="16.5" thickBot="1">
      <c r="A118" s="6">
        <v>28</v>
      </c>
      <c r="C118" s="2" t="s">
        <v>176</v>
      </c>
      <c r="D118" s="9" t="s">
        <v>177</v>
      </c>
      <c r="E118" s="80">
        <v>6489132</v>
      </c>
      <c r="F118" s="9"/>
      <c r="G118" s="9" t="s">
        <v>178</v>
      </c>
      <c r="H118" s="76">
        <f>+H81</f>
        <v>0.14742148002037564</v>
      </c>
      <c r="I118" s="9"/>
      <c r="J118" s="30">
        <f>+H118*E118</f>
        <v>956637.44348758017</v>
      </c>
      <c r="K118" s="24"/>
      <c r="L118" s="78" t="s">
        <v>142</v>
      </c>
      <c r="M118" s="186">
        <f>J118-P118</f>
        <v>667771.2156772539</v>
      </c>
      <c r="N118" s="82"/>
      <c r="O118" s="92" t="s">
        <v>133</v>
      </c>
      <c r="P118" s="31">
        <f>J118*$J$211</f>
        <v>288866.22781032627</v>
      </c>
    </row>
    <row r="119" spans="1:16">
      <c r="A119" s="6">
        <v>29</v>
      </c>
      <c r="C119" s="2" t="s">
        <v>179</v>
      </c>
      <c r="D119" s="4"/>
      <c r="E119" s="24">
        <f>E116+E117+E118</f>
        <v>19296329.375</v>
      </c>
      <c r="F119" s="4"/>
      <c r="G119" s="4"/>
      <c r="H119" s="4"/>
      <c r="I119" s="4"/>
      <c r="J119" s="24">
        <f>J116+J117+J118</f>
        <v>6361823.2314711874</v>
      </c>
      <c r="K119" s="48"/>
      <c r="L119" s="79"/>
      <c r="M119" s="24">
        <f>SUM(M116:M118)</f>
        <v>4813756.5592930028</v>
      </c>
      <c r="N119" s="24"/>
      <c r="O119" s="79"/>
      <c r="P119" s="24">
        <f>SUM(P116:P118)</f>
        <v>1548066.6721781848</v>
      </c>
    </row>
    <row r="120" spans="1:16" ht="16.5" thickBot="1">
      <c r="D120" s="9"/>
      <c r="E120" s="94"/>
      <c r="F120" s="9"/>
      <c r="G120" s="9"/>
      <c r="H120" s="9"/>
      <c r="I120" s="9"/>
      <c r="J120" s="30"/>
      <c r="K120" s="24"/>
      <c r="L120" s="79"/>
      <c r="M120" s="24"/>
      <c r="N120" s="24"/>
      <c r="O120" s="79"/>
      <c r="P120" s="24"/>
    </row>
    <row r="121" spans="1:16" ht="16.5" thickBot="1">
      <c r="A121" s="6">
        <v>30</v>
      </c>
      <c r="C121" s="2" t="s">
        <v>422</v>
      </c>
      <c r="D121" s="9"/>
      <c r="E121" s="95">
        <f>+E119+E113+E111+E97+E100</f>
        <v>1408747063.375</v>
      </c>
      <c r="F121" s="9"/>
      <c r="G121" s="9"/>
      <c r="H121" s="84"/>
      <c r="I121" s="9"/>
      <c r="J121" s="95">
        <f>+J119+J113+J111+J97+J100</f>
        <v>217218309.40461376</v>
      </c>
      <c r="K121" s="24"/>
      <c r="L121" s="79"/>
      <c r="M121" s="253">
        <f>+M119+M113+M111+M97+M100</f>
        <v>157467486.9029246</v>
      </c>
      <c r="N121" s="89"/>
      <c r="O121" s="90"/>
      <c r="P121" s="253">
        <f>+P119+P113+P111+P97+P100</f>
        <v>59750822.501689196</v>
      </c>
    </row>
    <row r="122" spans="1:16" ht="16.5" thickTop="1">
      <c r="A122" s="6"/>
      <c r="C122" s="2"/>
      <c r="D122" s="9"/>
      <c r="E122" s="32"/>
      <c r="F122" s="9"/>
      <c r="G122" s="9"/>
      <c r="H122" s="84"/>
      <c r="I122" s="9"/>
      <c r="J122" s="32"/>
      <c r="K122" s="9"/>
    </row>
    <row r="123" spans="1:16">
      <c r="A123" s="6"/>
      <c r="C123" s="2"/>
      <c r="D123" s="9"/>
      <c r="E123" s="32"/>
      <c r="F123" s="9"/>
      <c r="G123" s="9"/>
      <c r="H123" s="84"/>
      <c r="I123" s="9"/>
      <c r="J123" s="32"/>
      <c r="K123" s="9"/>
    </row>
    <row r="124" spans="1:16">
      <c r="A124" s="6"/>
      <c r="C124" s="2"/>
      <c r="D124" s="9"/>
      <c r="E124" s="32"/>
      <c r="F124" s="9"/>
      <c r="G124" s="9"/>
      <c r="H124" s="84"/>
      <c r="I124" s="9"/>
      <c r="J124" s="32"/>
      <c r="K124" s="9"/>
    </row>
    <row r="125" spans="1:16">
      <c r="A125" s="6"/>
      <c r="C125" s="2"/>
      <c r="D125" s="9"/>
      <c r="E125" s="32"/>
      <c r="F125" s="9"/>
      <c r="G125" s="9"/>
      <c r="H125" s="84"/>
      <c r="I125" s="9"/>
      <c r="J125" s="32"/>
      <c r="K125" s="9"/>
    </row>
    <row r="126" spans="1:16">
      <c r="A126" s="6"/>
      <c r="C126" s="2"/>
      <c r="D126" s="9"/>
      <c r="E126" s="32"/>
      <c r="F126" s="9"/>
      <c r="G126" s="9"/>
      <c r="H126" s="84"/>
      <c r="I126" s="9"/>
      <c r="J126" s="32"/>
      <c r="K126" s="9"/>
    </row>
    <row r="127" spans="1:16" ht="21.75" customHeight="1">
      <c r="C127" s="2"/>
      <c r="D127" s="2"/>
      <c r="E127" s="3"/>
      <c r="F127" s="2"/>
      <c r="G127" s="2"/>
      <c r="H127" s="2"/>
      <c r="I127" s="4"/>
      <c r="J127" s="4"/>
      <c r="K127" s="4"/>
      <c r="P127" s="7" t="s">
        <v>180</v>
      </c>
    </row>
    <row r="128" spans="1:16" ht="21.75" customHeight="1">
      <c r="C128" s="2" t="s">
        <v>26</v>
      </c>
      <c r="D128" s="2"/>
      <c r="E128" s="3" t="s">
        <v>0</v>
      </c>
      <c r="F128" s="2"/>
      <c r="G128" s="2"/>
      <c r="H128" s="2"/>
      <c r="I128" s="4"/>
      <c r="J128" s="45"/>
      <c r="K128" s="10"/>
      <c r="L128" s="20"/>
      <c r="N128" s="234"/>
      <c r="O128" s="235"/>
      <c r="P128" s="364" t="str">
        <f>P2</f>
        <v>For the 12 months ended 12/31/12</v>
      </c>
    </row>
    <row r="129" spans="1:16">
      <c r="C129" s="2"/>
      <c r="D129" s="9" t="s">
        <v>3</v>
      </c>
      <c r="E129" s="9" t="s">
        <v>27</v>
      </c>
      <c r="F129" s="9"/>
      <c r="G129" s="9"/>
      <c r="H129" s="9"/>
      <c r="I129" s="4"/>
      <c r="J129" s="4"/>
      <c r="K129" s="4"/>
    </row>
    <row r="130" spans="1:16" ht="6" customHeight="1">
      <c r="C130" s="2"/>
      <c r="D130" s="9"/>
      <c r="E130" s="9"/>
      <c r="F130" s="9"/>
      <c r="G130" s="9"/>
      <c r="H130" s="9"/>
      <c r="I130" s="4"/>
      <c r="J130" s="4"/>
      <c r="K130" s="4"/>
    </row>
    <row r="131" spans="1:16" ht="31.5">
      <c r="A131" s="6"/>
      <c r="E131" s="96" t="str">
        <f>E5</f>
        <v>Allete, Inc. dba Minnesota Power</v>
      </c>
      <c r="K131" s="9"/>
    </row>
    <row r="132" spans="1:16">
      <c r="A132" s="6"/>
      <c r="C132" s="6" t="s">
        <v>7</v>
      </c>
      <c r="D132" s="6" t="s">
        <v>8</v>
      </c>
      <c r="E132" s="6" t="s">
        <v>9</v>
      </c>
      <c r="F132" s="9" t="s">
        <v>3</v>
      </c>
      <c r="G132" s="9"/>
      <c r="H132" s="67" t="s">
        <v>10</v>
      </c>
      <c r="I132" s="9"/>
      <c r="J132" s="68" t="s">
        <v>108</v>
      </c>
      <c r="K132" s="9"/>
      <c r="L132" s="68" t="s">
        <v>109</v>
      </c>
      <c r="M132" s="68" t="s">
        <v>110</v>
      </c>
      <c r="O132" s="68" t="s">
        <v>111</v>
      </c>
      <c r="P132" s="68" t="s">
        <v>112</v>
      </c>
    </row>
    <row r="133" spans="1:16" ht="15.75" customHeight="1">
      <c r="A133" s="6" t="s">
        <v>1</v>
      </c>
      <c r="C133" s="6"/>
      <c r="D133" s="69" t="s">
        <v>113</v>
      </c>
      <c r="E133" s="4"/>
      <c r="F133" s="4"/>
      <c r="G133" s="4"/>
      <c r="H133" s="4"/>
      <c r="I133" s="4"/>
      <c r="J133" s="5" t="s">
        <v>11</v>
      </c>
      <c r="K133" s="9"/>
      <c r="L133" s="15" t="s">
        <v>114</v>
      </c>
      <c r="M133" s="15" t="s">
        <v>30</v>
      </c>
      <c r="N133" s="15"/>
      <c r="O133" s="15" t="s">
        <v>115</v>
      </c>
      <c r="P133" s="15" t="s">
        <v>32</v>
      </c>
    </row>
    <row r="134" spans="1:16" ht="16.5" thickBot="1">
      <c r="A134" s="17" t="s">
        <v>2</v>
      </c>
      <c r="C134" s="2"/>
      <c r="D134" s="14" t="s">
        <v>12</v>
      </c>
      <c r="E134" s="70" t="s">
        <v>116</v>
      </c>
      <c r="F134" s="71"/>
      <c r="G134" s="70" t="s">
        <v>117</v>
      </c>
      <c r="H134" s="72"/>
      <c r="I134" s="73"/>
      <c r="J134" s="74" t="s">
        <v>118</v>
      </c>
      <c r="K134" s="9"/>
      <c r="L134" s="14" t="s">
        <v>4</v>
      </c>
      <c r="M134" s="72" t="s">
        <v>119</v>
      </c>
      <c r="O134" s="14" t="s">
        <v>4</v>
      </c>
      <c r="P134" s="72" t="s">
        <v>120</v>
      </c>
    </row>
    <row r="135" spans="1:16" ht="6.75" customHeight="1">
      <c r="C135" s="2"/>
      <c r="D135" s="9"/>
      <c r="E135" s="97"/>
      <c r="F135" s="98"/>
      <c r="G135" s="5"/>
      <c r="I135" s="98"/>
      <c r="J135" s="97"/>
      <c r="K135" s="9"/>
    </row>
    <row r="136" spans="1:16">
      <c r="A136" s="6"/>
      <c r="C136" s="2" t="s">
        <v>435</v>
      </c>
      <c r="D136" s="9"/>
      <c r="E136" s="9"/>
      <c r="F136" s="9"/>
      <c r="G136" s="9"/>
      <c r="H136" s="9"/>
      <c r="I136" s="9"/>
      <c r="J136" s="9"/>
      <c r="K136" s="9"/>
    </row>
    <row r="137" spans="1:16">
      <c r="A137" s="6">
        <v>1</v>
      </c>
      <c r="C137" s="64" t="s">
        <v>181</v>
      </c>
      <c r="D137" s="22" t="s">
        <v>182</v>
      </c>
      <c r="E137" s="26">
        <v>48782073</v>
      </c>
      <c r="F137" s="22"/>
      <c r="G137" s="22" t="s">
        <v>175</v>
      </c>
      <c r="H137" s="77">
        <f>J225</f>
        <v>0.82511622655722527</v>
      </c>
      <c r="I137" s="22"/>
      <c r="J137" s="51">
        <f t="shared" ref="J137:J145" si="4">+H137*E137</f>
        <v>40250879.997399099</v>
      </c>
      <c r="K137" s="48"/>
      <c r="L137" s="78" t="s">
        <v>42</v>
      </c>
      <c r="M137" s="51">
        <f t="shared" ref="M137:M145" si="5">J137-P137</f>
        <v>29273564.997399099</v>
      </c>
      <c r="N137" s="51"/>
      <c r="O137" s="78" t="s">
        <v>42</v>
      </c>
      <c r="P137" s="26">
        <v>10977315</v>
      </c>
    </row>
    <row r="138" spans="1:16">
      <c r="A138" s="63" t="s">
        <v>13</v>
      </c>
      <c r="B138" s="45"/>
      <c r="C138" s="64" t="s">
        <v>183</v>
      </c>
      <c r="D138" s="22"/>
      <c r="E138" s="26">
        <v>2177069</v>
      </c>
      <c r="F138" s="9"/>
      <c r="G138" s="99"/>
      <c r="H138" s="76">
        <v>1</v>
      </c>
      <c r="I138" s="9"/>
      <c r="J138" s="24">
        <f t="shared" si="4"/>
        <v>2177069</v>
      </c>
      <c r="K138" s="48"/>
      <c r="L138" s="78" t="s">
        <v>42</v>
      </c>
      <c r="M138" s="51">
        <f t="shared" si="5"/>
        <v>2177069</v>
      </c>
      <c r="N138" s="51"/>
      <c r="O138" s="78" t="s">
        <v>42</v>
      </c>
      <c r="P138" s="26">
        <v>0</v>
      </c>
    </row>
    <row r="139" spans="1:16">
      <c r="A139" s="6">
        <v>2</v>
      </c>
      <c r="C139" s="2" t="s">
        <v>184</v>
      </c>
      <c r="D139" s="22" t="s">
        <v>185</v>
      </c>
      <c r="E139" s="26">
        <v>27697217</v>
      </c>
      <c r="F139" s="9"/>
      <c r="G139" s="9" t="s">
        <v>175</v>
      </c>
      <c r="H139" s="76">
        <f>J225</f>
        <v>0.82511622655722527</v>
      </c>
      <c r="I139" s="9"/>
      <c r="J139" s="24">
        <f t="shared" si="4"/>
        <v>22853423.177176632</v>
      </c>
      <c r="K139" s="48"/>
      <c r="L139" s="78" t="s">
        <v>42</v>
      </c>
      <c r="M139" s="51">
        <f t="shared" si="5"/>
        <v>13762032.177176632</v>
      </c>
      <c r="N139" s="51"/>
      <c r="O139" s="78" t="s">
        <v>42</v>
      </c>
      <c r="P139" s="26">
        <v>9091391</v>
      </c>
    </row>
    <row r="140" spans="1:16">
      <c r="A140" s="6">
        <v>3</v>
      </c>
      <c r="C140" s="2" t="s">
        <v>186</v>
      </c>
      <c r="D140" s="22" t="s">
        <v>187</v>
      </c>
      <c r="E140" s="26">
        <v>62651751</v>
      </c>
      <c r="F140" s="9"/>
      <c r="G140" s="9" t="s">
        <v>131</v>
      </c>
      <c r="H140" s="76">
        <f>+H87</f>
        <v>0.13803364648061991</v>
      </c>
      <c r="I140" s="9"/>
      <c r="J140" s="24">
        <f t="shared" si="4"/>
        <v>8648049.648925826</v>
      </c>
      <c r="K140" s="24"/>
      <c r="L140" s="78" t="s">
        <v>142</v>
      </c>
      <c r="M140" s="51">
        <f t="shared" si="5"/>
        <v>6036684.7091485634</v>
      </c>
      <c r="N140" s="82"/>
      <c r="O140" s="78" t="s">
        <v>133</v>
      </c>
      <c r="P140" s="24">
        <f>J140*$J$211</f>
        <v>2611364.939777263</v>
      </c>
    </row>
    <row r="141" spans="1:16">
      <c r="A141" s="6">
        <v>4</v>
      </c>
      <c r="C141" s="2" t="s">
        <v>188</v>
      </c>
      <c r="D141" s="22"/>
      <c r="E141" s="26">
        <v>547556</v>
      </c>
      <c r="F141" s="9"/>
      <c r="G141" s="9" t="str">
        <f>+G140</f>
        <v>W/S</v>
      </c>
      <c r="H141" s="76">
        <f>+H140</f>
        <v>0.13803364648061991</v>
      </c>
      <c r="I141" s="9"/>
      <c r="J141" s="24">
        <f t="shared" si="4"/>
        <v>75581.151332342313</v>
      </c>
      <c r="K141" s="24"/>
      <c r="L141" s="78" t="s">
        <v>142</v>
      </c>
      <c r="M141" s="51">
        <f t="shared" si="5"/>
        <v>52758.668031521578</v>
      </c>
      <c r="N141" s="82"/>
      <c r="O141" s="78" t="s">
        <v>133</v>
      </c>
      <c r="P141" s="24">
        <f>J141*$J$211</f>
        <v>22822.483300820735</v>
      </c>
    </row>
    <row r="142" spans="1:16">
      <c r="A142" s="6">
        <v>5</v>
      </c>
      <c r="C142" s="64" t="s">
        <v>189</v>
      </c>
      <c r="D142" s="22"/>
      <c r="E142" s="26">
        <v>2321523</v>
      </c>
      <c r="F142" s="9"/>
      <c r="G142" s="9" t="str">
        <f>+G141</f>
        <v>W/S</v>
      </c>
      <c r="H142" s="76">
        <f>+H141</f>
        <v>0.13803364648061991</v>
      </c>
      <c r="I142" s="9"/>
      <c r="J142" s="24">
        <f t="shared" si="4"/>
        <v>320448.28507862816</v>
      </c>
      <c r="K142" s="24"/>
      <c r="L142" s="78" t="s">
        <v>142</v>
      </c>
      <c r="M142" s="51">
        <f t="shared" si="5"/>
        <v>223685.7258153359</v>
      </c>
      <c r="N142" s="82"/>
      <c r="O142" s="78" t="s">
        <v>133</v>
      </c>
      <c r="P142" s="24">
        <f>J142*$J$211</f>
        <v>96762.559263292263</v>
      </c>
    </row>
    <row r="143" spans="1:16">
      <c r="A143" s="6" t="s">
        <v>190</v>
      </c>
      <c r="C143" s="64" t="s">
        <v>191</v>
      </c>
      <c r="D143" s="22"/>
      <c r="E143" s="26">
        <v>0</v>
      </c>
      <c r="F143" s="9"/>
      <c r="G143" s="100" t="str">
        <f>+G137</f>
        <v>TE</v>
      </c>
      <c r="H143" s="77">
        <f>+H137</f>
        <v>0.82511622655722527</v>
      </c>
      <c r="I143" s="9"/>
      <c r="J143" s="24">
        <f t="shared" si="4"/>
        <v>0</v>
      </c>
      <c r="K143" s="24"/>
      <c r="L143" s="78" t="s">
        <v>42</v>
      </c>
      <c r="M143" s="51">
        <f t="shared" si="5"/>
        <v>0</v>
      </c>
      <c r="N143" s="51"/>
      <c r="O143" s="78" t="s">
        <v>42</v>
      </c>
      <c r="P143" s="26">
        <v>0</v>
      </c>
    </row>
    <row r="144" spans="1:16">
      <c r="A144" s="6">
        <v>6</v>
      </c>
      <c r="C144" s="64" t="s">
        <v>134</v>
      </c>
      <c r="D144" s="101" t="s">
        <v>192</v>
      </c>
      <c r="E144" s="26">
        <v>0</v>
      </c>
      <c r="F144" s="9"/>
      <c r="G144" s="9" t="s">
        <v>136</v>
      </c>
      <c r="H144" s="76">
        <f>+H88</f>
        <v>0.13803364648061991</v>
      </c>
      <c r="I144" s="9"/>
      <c r="J144" s="24">
        <f t="shared" si="4"/>
        <v>0</v>
      </c>
      <c r="K144" s="24"/>
      <c r="L144" s="78" t="s">
        <v>42</v>
      </c>
      <c r="M144" s="51">
        <f t="shared" si="5"/>
        <v>0</v>
      </c>
      <c r="N144" s="51"/>
      <c r="O144" s="78" t="s">
        <v>42</v>
      </c>
      <c r="P144" s="26">
        <v>0</v>
      </c>
    </row>
    <row r="145" spans="1:16" ht="16.5" thickBot="1">
      <c r="A145" s="6">
        <v>7</v>
      </c>
      <c r="C145" s="2" t="s">
        <v>436</v>
      </c>
      <c r="D145" s="22"/>
      <c r="E145" s="80">
        <v>905984</v>
      </c>
      <c r="F145" s="9"/>
      <c r="G145" s="9" t="s">
        <v>3</v>
      </c>
      <c r="H145" s="76">
        <v>1</v>
      </c>
      <c r="I145" s="9"/>
      <c r="J145" s="30">
        <f t="shared" si="4"/>
        <v>905984</v>
      </c>
      <c r="K145" s="24"/>
      <c r="L145" s="78" t="s">
        <v>42</v>
      </c>
      <c r="M145" s="81">
        <f t="shared" si="5"/>
        <v>905984</v>
      </c>
      <c r="N145" s="82"/>
      <c r="O145" s="92" t="s">
        <v>42</v>
      </c>
      <c r="P145" s="80">
        <v>0</v>
      </c>
    </row>
    <row r="146" spans="1:16">
      <c r="A146" s="6">
        <v>8</v>
      </c>
      <c r="C146" s="64" t="s">
        <v>193</v>
      </c>
      <c r="D146" s="22"/>
      <c r="E146" s="24">
        <f>E137+E140+E143+E144+E145-E138-E139-E141-E142</f>
        <v>79596443</v>
      </c>
      <c r="F146" s="9"/>
      <c r="G146" s="9"/>
      <c r="H146" s="9"/>
      <c r="I146" s="9"/>
      <c r="J146" s="51">
        <f>+J137-J139+J140-J141-J142-J138+J144+J145+J143</f>
        <v>24378392.032737322</v>
      </c>
      <c r="K146" s="51"/>
      <c r="L146" s="78"/>
      <c r="M146" s="51">
        <f>+M137-M138-M139+M140-M141-M142+M143+M144+M145</f>
        <v>20000688.135524172</v>
      </c>
      <c r="N146" s="51"/>
      <c r="O146" s="78"/>
      <c r="P146" s="51">
        <f>+P137-P138-P139+P140-P141-P142+P143+P144+P145</f>
        <v>4377703.8972131489</v>
      </c>
    </row>
    <row r="147" spans="1:16">
      <c r="A147" s="6"/>
      <c r="D147" s="22"/>
      <c r="E147" s="24"/>
      <c r="F147" s="9"/>
      <c r="G147" s="9"/>
      <c r="H147" s="9"/>
      <c r="I147" s="9"/>
      <c r="J147" s="24"/>
      <c r="K147" s="24"/>
      <c r="L147" s="78"/>
      <c r="M147" s="51"/>
      <c r="N147" s="51"/>
      <c r="O147" s="78"/>
      <c r="P147" s="24"/>
    </row>
    <row r="148" spans="1:16">
      <c r="A148" s="6"/>
      <c r="C148" s="2" t="s">
        <v>437</v>
      </c>
      <c r="D148" s="22"/>
      <c r="E148" s="24"/>
      <c r="F148" s="9"/>
      <c r="G148" s="9"/>
      <c r="H148" s="9"/>
      <c r="I148" s="9"/>
      <c r="J148" s="24"/>
      <c r="K148" s="24"/>
      <c r="L148" s="78"/>
      <c r="M148" s="51"/>
      <c r="N148" s="51"/>
      <c r="O148" s="78"/>
      <c r="P148" s="24"/>
    </row>
    <row r="149" spans="1:16">
      <c r="A149" s="6">
        <v>9</v>
      </c>
      <c r="C149" s="64" t="str">
        <f>+C137</f>
        <v xml:space="preserve">  Transmission </v>
      </c>
      <c r="D149" s="22" t="s">
        <v>194</v>
      </c>
      <c r="E149" s="26">
        <v>10237508</v>
      </c>
      <c r="F149" s="22"/>
      <c r="G149" s="22" t="s">
        <v>41</v>
      </c>
      <c r="H149" s="182">
        <f>+H113</f>
        <v>0.92252396022876682</v>
      </c>
      <c r="I149" s="22"/>
      <c r="J149" s="51">
        <f>+H149*E149</f>
        <v>9444346.4230336826</v>
      </c>
      <c r="K149" s="24"/>
      <c r="L149" s="78" t="s">
        <v>42</v>
      </c>
      <c r="M149" s="51">
        <f>J149-P149</f>
        <v>6861486.4230336826</v>
      </c>
      <c r="N149" s="51"/>
      <c r="O149" s="78" t="s">
        <v>42</v>
      </c>
      <c r="P149" s="26">
        <v>2582860</v>
      </c>
    </row>
    <row r="150" spans="1:16">
      <c r="A150" s="147" t="s">
        <v>412</v>
      </c>
      <c r="B150" s="151"/>
      <c r="C150" s="232" t="s">
        <v>414</v>
      </c>
      <c r="D150" s="233" t="s">
        <v>420</v>
      </c>
      <c r="E150" s="26">
        <v>-32916</v>
      </c>
      <c r="F150" s="22"/>
      <c r="G150" s="22"/>
      <c r="H150" s="182">
        <v>1</v>
      </c>
      <c r="I150" s="22"/>
      <c r="J150" s="51">
        <f>+H150*E150</f>
        <v>-32916</v>
      </c>
      <c r="K150" s="24"/>
      <c r="L150" s="78" t="s">
        <v>42</v>
      </c>
      <c r="M150" s="51">
        <f>J150-P150</f>
        <v>-32916</v>
      </c>
      <c r="N150" s="51"/>
      <c r="O150" s="78" t="s">
        <v>42</v>
      </c>
      <c r="P150" s="26">
        <v>0</v>
      </c>
    </row>
    <row r="151" spans="1:16">
      <c r="A151" s="147" t="s">
        <v>415</v>
      </c>
      <c r="B151" s="151"/>
      <c r="C151" s="232" t="s">
        <v>407</v>
      </c>
      <c r="D151" s="233" t="s">
        <v>421</v>
      </c>
      <c r="E151" s="26">
        <v>0</v>
      </c>
      <c r="F151" s="22"/>
      <c r="G151" s="22"/>
      <c r="H151" s="182">
        <v>1</v>
      </c>
      <c r="I151" s="22"/>
      <c r="J151" s="51">
        <f>+H151*E151</f>
        <v>0</v>
      </c>
      <c r="K151" s="24"/>
      <c r="L151" s="78" t="s">
        <v>42</v>
      </c>
      <c r="M151" s="51">
        <f>J151-P151</f>
        <v>0</v>
      </c>
      <c r="N151" s="51"/>
      <c r="O151" s="78" t="s">
        <v>42</v>
      </c>
      <c r="P151" s="26">
        <v>0</v>
      </c>
    </row>
    <row r="152" spans="1:16">
      <c r="A152" s="6">
        <v>10</v>
      </c>
      <c r="C152" s="2" t="s">
        <v>129</v>
      </c>
      <c r="D152" s="22" t="s">
        <v>438</v>
      </c>
      <c r="E152" s="26">
        <f>8444356+1616992</f>
        <v>10061348</v>
      </c>
      <c r="F152" s="9"/>
      <c r="G152" s="9" t="s">
        <v>131</v>
      </c>
      <c r="H152" s="76">
        <f>+H140</f>
        <v>0.13803364648061991</v>
      </c>
      <c r="I152" s="9"/>
      <c r="J152" s="24">
        <f>+H152*E152</f>
        <v>1388804.5529504921</v>
      </c>
      <c r="K152" s="24"/>
      <c r="L152" s="78" t="s">
        <v>142</v>
      </c>
      <c r="M152" s="51">
        <f>J152-P152</f>
        <v>969441.15137376555</v>
      </c>
      <c r="N152" s="82"/>
      <c r="O152" s="78" t="s">
        <v>133</v>
      </c>
      <c r="P152" s="24">
        <f>J152*$J$211</f>
        <v>419363.40157672658</v>
      </c>
    </row>
    <row r="153" spans="1:16" ht="16.5" thickBot="1">
      <c r="A153" s="6">
        <v>11</v>
      </c>
      <c r="C153" s="2" t="str">
        <f>+C144</f>
        <v xml:space="preserve">  Common</v>
      </c>
      <c r="D153" s="22" t="s">
        <v>195</v>
      </c>
      <c r="E153" s="80">
        <v>0</v>
      </c>
      <c r="F153" s="9"/>
      <c r="G153" s="9" t="s">
        <v>136</v>
      </c>
      <c r="H153" s="76">
        <f>+H144</f>
        <v>0.13803364648061991</v>
      </c>
      <c r="I153" s="9"/>
      <c r="J153" s="30">
        <f>+H153*E153</f>
        <v>0</v>
      </c>
      <c r="K153" s="24"/>
      <c r="L153" s="78" t="s">
        <v>142</v>
      </c>
      <c r="M153" s="81">
        <f>J153-P153</f>
        <v>0</v>
      </c>
      <c r="N153" s="82"/>
      <c r="O153" s="92" t="s">
        <v>133</v>
      </c>
      <c r="P153" s="30">
        <f>J153*$J$211</f>
        <v>0</v>
      </c>
    </row>
    <row r="154" spans="1:16">
      <c r="A154" s="6">
        <v>12</v>
      </c>
      <c r="C154" s="2" t="s">
        <v>196</v>
      </c>
      <c r="D154" s="22"/>
      <c r="E154" s="24">
        <f>SUM(E149:E153)</f>
        <v>20265940</v>
      </c>
      <c r="F154" s="9"/>
      <c r="G154" s="9"/>
      <c r="H154" s="9"/>
      <c r="I154" s="9"/>
      <c r="J154" s="51">
        <f>SUM(J149:J153)</f>
        <v>10800234.975984175</v>
      </c>
      <c r="K154" s="24"/>
      <c r="L154" s="79"/>
      <c r="M154" s="24">
        <f>SUM(M149:M153)</f>
        <v>7798011.5744074481</v>
      </c>
      <c r="N154" s="24"/>
      <c r="O154" s="79"/>
      <c r="P154" s="24">
        <f>SUM(P149:P153)</f>
        <v>3002223.4015767267</v>
      </c>
    </row>
    <row r="155" spans="1:16" ht="6" customHeight="1">
      <c r="A155" s="6"/>
      <c r="C155" s="2"/>
      <c r="D155" s="22"/>
      <c r="E155" s="24"/>
      <c r="F155" s="9"/>
      <c r="G155" s="9"/>
      <c r="H155" s="9"/>
      <c r="I155" s="9"/>
      <c r="J155" s="51"/>
      <c r="K155" s="24"/>
      <c r="L155" s="79"/>
      <c r="M155" s="24"/>
      <c r="N155" s="24"/>
      <c r="O155" s="79"/>
      <c r="P155" s="24"/>
    </row>
    <row r="156" spans="1:16">
      <c r="A156" s="6" t="s">
        <v>3</v>
      </c>
      <c r="C156" s="2" t="s">
        <v>197</v>
      </c>
      <c r="D156" s="45"/>
      <c r="E156" s="24"/>
      <c r="F156" s="9"/>
      <c r="G156" s="9"/>
      <c r="H156" s="9"/>
      <c r="I156" s="9"/>
      <c r="J156" s="51"/>
      <c r="K156" s="24"/>
      <c r="L156" s="79"/>
      <c r="M156" s="24"/>
      <c r="N156" s="24"/>
      <c r="O156" s="79"/>
      <c r="P156" s="24"/>
    </row>
    <row r="157" spans="1:16">
      <c r="A157" s="6"/>
      <c r="C157" s="2" t="s">
        <v>198</v>
      </c>
      <c r="D157" s="45"/>
      <c r="E157" s="24"/>
      <c r="F157" s="9"/>
      <c r="G157" s="9"/>
      <c r="I157" s="9"/>
      <c r="J157" s="51"/>
      <c r="K157" s="24"/>
      <c r="L157" s="79"/>
      <c r="M157" s="24"/>
      <c r="N157" s="24"/>
      <c r="O157" s="79"/>
      <c r="P157" s="24"/>
    </row>
    <row r="158" spans="1:16">
      <c r="A158" s="6">
        <v>13</v>
      </c>
      <c r="C158" s="2" t="s">
        <v>199</v>
      </c>
      <c r="D158" s="22" t="s">
        <v>200</v>
      </c>
      <c r="E158" s="26">
        <v>6239624</v>
      </c>
      <c r="F158" s="9"/>
      <c r="G158" s="9" t="s">
        <v>131</v>
      </c>
      <c r="H158" s="25">
        <f>+H152</f>
        <v>0.13803364648061991</v>
      </c>
      <c r="I158" s="9"/>
      <c r="J158" s="51">
        <f>+H158*E158</f>
        <v>861278.0533879915</v>
      </c>
      <c r="K158" s="24"/>
      <c r="L158" s="78" t="s">
        <v>142</v>
      </c>
      <c r="M158" s="51">
        <f>J158-P158</f>
        <v>601206.54555427167</v>
      </c>
      <c r="N158" s="82"/>
      <c r="O158" s="78" t="s">
        <v>133</v>
      </c>
      <c r="P158" s="24">
        <f>J158*$J$211</f>
        <v>260071.50783371981</v>
      </c>
    </row>
    <row r="159" spans="1:16">
      <c r="A159" s="6">
        <v>14</v>
      </c>
      <c r="C159" s="2" t="s">
        <v>201</v>
      </c>
      <c r="D159" s="22" t="str">
        <f>+D158</f>
        <v>263.i</v>
      </c>
      <c r="E159" s="26">
        <v>0</v>
      </c>
      <c r="F159" s="9"/>
      <c r="G159" s="9" t="str">
        <f>+G158</f>
        <v>W/S</v>
      </c>
      <c r="H159" s="25">
        <f>+H158</f>
        <v>0.13803364648061991</v>
      </c>
      <c r="I159" s="9"/>
      <c r="J159" s="51">
        <f>+H159*E159</f>
        <v>0</v>
      </c>
      <c r="K159" s="24"/>
      <c r="L159" s="78"/>
      <c r="M159" s="51"/>
      <c r="N159" s="51"/>
      <c r="O159" s="78"/>
      <c r="P159" s="24"/>
    </row>
    <row r="160" spans="1:16">
      <c r="A160" s="6">
        <v>15</v>
      </c>
      <c r="C160" s="2" t="s">
        <v>202</v>
      </c>
      <c r="D160" s="22" t="s">
        <v>3</v>
      </c>
      <c r="E160" s="24"/>
      <c r="F160" s="9"/>
      <c r="G160" s="9"/>
      <c r="I160" s="9"/>
      <c r="J160" s="51"/>
      <c r="K160" s="24"/>
      <c r="L160" s="78"/>
      <c r="M160" s="51"/>
      <c r="N160" s="51"/>
      <c r="O160" s="78"/>
      <c r="P160" s="24"/>
    </row>
    <row r="161" spans="1:17">
      <c r="A161" s="6">
        <v>16</v>
      </c>
      <c r="C161" s="2" t="s">
        <v>203</v>
      </c>
      <c r="D161" s="22" t="s">
        <v>204</v>
      </c>
      <c r="E161" s="26">
        <v>24610553</v>
      </c>
      <c r="F161" s="9"/>
      <c r="G161" s="9" t="s">
        <v>178</v>
      </c>
      <c r="H161" s="25">
        <f>+H81</f>
        <v>0.14742148002037564</v>
      </c>
      <c r="I161" s="9"/>
      <c r="J161" s="51">
        <f>+H161*E161</f>
        <v>3628124.1473798957</v>
      </c>
      <c r="K161" s="24"/>
      <c r="L161" s="78" t="s">
        <v>42</v>
      </c>
      <c r="M161" s="51">
        <f>J161-P161</f>
        <v>2915743.1473798957</v>
      </c>
      <c r="N161" s="82"/>
      <c r="O161" s="78" t="s">
        <v>42</v>
      </c>
      <c r="P161" s="26">
        <v>712381</v>
      </c>
      <c r="Q161" s="102"/>
    </row>
    <row r="162" spans="1:17">
      <c r="A162" s="6">
        <v>17</v>
      </c>
      <c r="C162" s="2" t="s">
        <v>205</v>
      </c>
      <c r="D162" s="22" t="s">
        <v>206</v>
      </c>
      <c r="E162" s="26">
        <v>0</v>
      </c>
      <c r="F162" s="9"/>
      <c r="G162" s="22" t="str">
        <f>+G103</f>
        <v>NA</v>
      </c>
      <c r="H162" s="103" t="s">
        <v>155</v>
      </c>
      <c r="I162" s="9"/>
      <c r="J162" s="51">
        <v>0</v>
      </c>
      <c r="K162" s="24"/>
      <c r="L162" s="78"/>
      <c r="M162" s="82"/>
      <c r="N162" s="82"/>
      <c r="O162" s="92"/>
      <c r="P162" s="89">
        <v>0</v>
      </c>
    </row>
    <row r="163" spans="1:17">
      <c r="A163" s="6">
        <v>18</v>
      </c>
      <c r="C163" s="2" t="s">
        <v>207</v>
      </c>
      <c r="D163" s="22" t="str">
        <f>+D162</f>
        <v xml:space="preserve">263.i   </v>
      </c>
      <c r="E163" s="26">
        <v>1345980</v>
      </c>
      <c r="F163" s="9"/>
      <c r="G163" s="9" t="str">
        <f>+G161</f>
        <v>GP</v>
      </c>
      <c r="H163" s="25">
        <f>+H161</f>
        <v>0.14742148002037564</v>
      </c>
      <c r="I163" s="9"/>
      <c r="J163" s="51">
        <f>+H163*E163</f>
        <v>198426.3636778252</v>
      </c>
      <c r="K163" s="24"/>
      <c r="L163" s="78" t="s">
        <v>142</v>
      </c>
      <c r="M163" s="51">
        <f>J163-P163</f>
        <v>138509.54193523421</v>
      </c>
      <c r="N163" s="82"/>
      <c r="O163" s="78" t="s">
        <v>133</v>
      </c>
      <c r="P163" s="24">
        <f>J163*$J$211</f>
        <v>59916.82174259099</v>
      </c>
      <c r="Q163" s="102"/>
    </row>
    <row r="164" spans="1:17" ht="16.5" thickBot="1">
      <c r="A164" s="6">
        <v>19</v>
      </c>
      <c r="C164" s="2" t="s">
        <v>208</v>
      </c>
      <c r="D164" s="22"/>
      <c r="E164" s="80">
        <v>0</v>
      </c>
      <c r="F164" s="9"/>
      <c r="G164" s="9" t="s">
        <v>178</v>
      </c>
      <c r="H164" s="25">
        <f>+H161</f>
        <v>0.14742148002037564</v>
      </c>
      <c r="I164" s="9"/>
      <c r="J164" s="81">
        <f>+H164*E164</f>
        <v>0</v>
      </c>
      <c r="K164" s="24"/>
      <c r="L164" s="78" t="s">
        <v>142</v>
      </c>
      <c r="M164" s="81">
        <f>J164-P164</f>
        <v>0</v>
      </c>
      <c r="N164" s="82"/>
      <c r="O164" s="92" t="s">
        <v>133</v>
      </c>
      <c r="P164" s="30">
        <f>J164*$J$211</f>
        <v>0</v>
      </c>
    </row>
    <row r="165" spans="1:17">
      <c r="A165" s="6">
        <v>20</v>
      </c>
      <c r="C165" s="2" t="s">
        <v>209</v>
      </c>
      <c r="D165" s="22"/>
      <c r="E165" s="24">
        <f>SUM(E158:E164)</f>
        <v>32196157</v>
      </c>
      <c r="F165" s="9"/>
      <c r="G165" s="9"/>
      <c r="H165" s="25"/>
      <c r="I165" s="9"/>
      <c r="J165" s="51">
        <f>SUM(J158:J164)</f>
        <v>4687828.5644457117</v>
      </c>
      <c r="K165" s="24"/>
      <c r="L165" s="79"/>
      <c r="M165" s="51">
        <f>SUM(M158:M164)</f>
        <v>3655459.2348694019</v>
      </c>
      <c r="N165" s="51"/>
      <c r="O165" s="78"/>
      <c r="P165" s="51">
        <f>SUM(P158:P164)</f>
        <v>1032369.3295763108</v>
      </c>
    </row>
    <row r="166" spans="1:17" ht="12" customHeight="1">
      <c r="A166" s="6"/>
      <c r="C166" s="2"/>
      <c r="D166" s="22"/>
      <c r="E166" s="24"/>
      <c r="F166" s="9"/>
      <c r="G166" s="9"/>
      <c r="H166" s="25"/>
      <c r="I166" s="9"/>
      <c r="J166" s="22"/>
      <c r="K166" s="9"/>
      <c r="M166" s="45"/>
      <c r="N166" s="45"/>
      <c r="O166" s="104"/>
      <c r="P166" s="45"/>
    </row>
    <row r="167" spans="1:17" ht="4.5" customHeight="1">
      <c r="A167" s="6" t="s">
        <v>210</v>
      </c>
      <c r="C167" s="2"/>
      <c r="D167" s="22"/>
      <c r="E167" s="9"/>
      <c r="F167" s="9"/>
      <c r="G167" s="9"/>
      <c r="H167" s="25"/>
      <c r="I167" s="9"/>
      <c r="J167" s="22"/>
      <c r="K167" s="9"/>
      <c r="O167" s="105"/>
    </row>
    <row r="168" spans="1:17">
      <c r="A168" s="6" t="s">
        <v>3</v>
      </c>
      <c r="C168" s="2" t="s">
        <v>211</v>
      </c>
      <c r="D168" s="22" t="s">
        <v>212</v>
      </c>
      <c r="E168" s="9"/>
      <c r="F168" s="9"/>
      <c r="H168" s="106"/>
      <c r="I168" s="9"/>
      <c r="J168" s="45"/>
      <c r="K168" s="9"/>
      <c r="O168" s="105"/>
    </row>
    <row r="169" spans="1:17">
      <c r="A169" s="6">
        <v>21</v>
      </c>
      <c r="C169" s="107" t="s">
        <v>213</v>
      </c>
      <c r="D169" s="22"/>
      <c r="E169" s="108">
        <f>IF(E348&gt;0,1-(((1-E349)*(1-E348))/(1-E349*E348*E350)),0)</f>
        <v>0.4052607029006976</v>
      </c>
      <c r="F169" s="9"/>
      <c r="H169" s="106"/>
      <c r="I169" s="9"/>
      <c r="J169" s="45"/>
      <c r="K169" s="9"/>
      <c r="O169" s="105"/>
    </row>
    <row r="170" spans="1:17">
      <c r="A170" s="6">
        <v>22</v>
      </c>
      <c r="C170" s="1" t="s">
        <v>214</v>
      </c>
      <c r="D170" s="22"/>
      <c r="E170" s="108">
        <f>IF(J282&gt;0,(E169/(1-E169))*(1-J279/J282),0)</f>
        <v>0.51965836902775253</v>
      </c>
      <c r="F170" s="9"/>
      <c r="H170" s="106"/>
      <c r="I170" s="9"/>
      <c r="J170" s="45"/>
      <c r="K170" s="9"/>
      <c r="O170" s="105"/>
    </row>
    <row r="171" spans="1:17">
      <c r="A171" s="6"/>
      <c r="C171" s="2" t="s">
        <v>215</v>
      </c>
      <c r="D171" s="22"/>
      <c r="E171" s="9"/>
      <c r="F171" s="9"/>
      <c r="H171" s="106"/>
      <c r="I171" s="9"/>
      <c r="J171" s="45"/>
      <c r="K171" s="9"/>
      <c r="O171" s="105"/>
    </row>
    <row r="172" spans="1:17">
      <c r="A172" s="6"/>
      <c r="C172" s="2" t="s">
        <v>216</v>
      </c>
      <c r="D172" s="22"/>
      <c r="E172" s="9"/>
      <c r="F172" s="9"/>
      <c r="H172" s="106"/>
      <c r="I172" s="9"/>
      <c r="J172" s="45"/>
      <c r="K172" s="9"/>
      <c r="O172" s="105"/>
    </row>
    <row r="173" spans="1:17">
      <c r="A173" s="6">
        <v>23</v>
      </c>
      <c r="C173" s="107" t="s">
        <v>217</v>
      </c>
      <c r="D173" s="22"/>
      <c r="E173" s="109">
        <f>IF(E169&gt;0,1/(1-E169),0)</f>
        <v>1.6814089885724031</v>
      </c>
      <c r="F173" s="9"/>
      <c r="H173" s="106"/>
      <c r="I173" s="9"/>
      <c r="J173" s="45"/>
      <c r="K173" s="9"/>
      <c r="O173" s="105"/>
    </row>
    <row r="174" spans="1:17">
      <c r="A174" s="6">
        <v>24</v>
      </c>
      <c r="C174" s="2" t="s">
        <v>218</v>
      </c>
      <c r="D174" s="22"/>
      <c r="E174" s="26">
        <v>-849455</v>
      </c>
      <c r="F174" s="9"/>
      <c r="H174" s="106"/>
      <c r="I174" s="9"/>
      <c r="J174" s="45"/>
      <c r="K174" s="9"/>
      <c r="O174" s="105"/>
    </row>
    <row r="175" spans="1:17">
      <c r="A175" s="6"/>
      <c r="C175" s="2"/>
      <c r="D175" s="22"/>
      <c r="E175" s="9"/>
      <c r="F175" s="9"/>
      <c r="H175" s="106"/>
      <c r="I175" s="9"/>
      <c r="J175" s="45"/>
      <c r="K175" s="9"/>
      <c r="O175" s="105"/>
    </row>
    <row r="176" spans="1:17">
      <c r="A176" s="6">
        <v>25</v>
      </c>
      <c r="C176" s="107" t="s">
        <v>219</v>
      </c>
      <c r="D176" s="110"/>
      <c r="E176" s="24">
        <f>E170*E180</f>
        <v>64603308.275688984</v>
      </c>
      <c r="F176" s="9"/>
      <c r="G176" s="9" t="s">
        <v>124</v>
      </c>
      <c r="H176" s="25"/>
      <c r="I176" s="9"/>
      <c r="J176" s="51">
        <f>$E$170*J180</f>
        <v>9961349.1807185747</v>
      </c>
      <c r="K176" s="24"/>
      <c r="L176" s="79"/>
      <c r="M176" s="24">
        <f>$E$170*M180</f>
        <v>7221254.1656810436</v>
      </c>
      <c r="N176" s="24"/>
      <c r="O176" s="79"/>
      <c r="P176" s="24">
        <f>$E$170*P180</f>
        <v>2740095.0150375334</v>
      </c>
    </row>
    <row r="177" spans="1:17" ht="16.5" thickBot="1">
      <c r="A177" s="6">
        <v>26</v>
      </c>
      <c r="C177" s="1" t="s">
        <v>220</v>
      </c>
      <c r="D177" s="110" t="s">
        <v>221</v>
      </c>
      <c r="E177" s="30">
        <f>E173*E174</f>
        <v>-1428281.2723877707</v>
      </c>
      <c r="F177" s="9"/>
      <c r="G177" s="1" t="s">
        <v>158</v>
      </c>
      <c r="H177" s="25">
        <f>H97</f>
        <v>0.13495602099415355</v>
      </c>
      <c r="I177" s="9"/>
      <c r="J177" s="81">
        <f>H177*E177</f>
        <v>-192755.15738192032</v>
      </c>
      <c r="K177" s="24"/>
      <c r="L177" s="78" t="s">
        <v>42</v>
      </c>
      <c r="M177" s="81">
        <f>J177-P177</f>
        <v>-192755.15738192032</v>
      </c>
      <c r="N177" s="82"/>
      <c r="O177" s="92"/>
      <c r="P177" s="38">
        <v>0</v>
      </c>
      <c r="Q177" s="102"/>
    </row>
    <row r="178" spans="1:17">
      <c r="A178" s="6">
        <v>27</v>
      </c>
      <c r="C178" s="107" t="s">
        <v>14</v>
      </c>
      <c r="D178" s="45" t="s">
        <v>222</v>
      </c>
      <c r="E178" s="85">
        <f>+E176+E177</f>
        <v>63175027.003301211</v>
      </c>
      <c r="F178" s="9"/>
      <c r="G178" s="9" t="s">
        <v>3</v>
      </c>
      <c r="H178" s="25" t="s">
        <v>3</v>
      </c>
      <c r="I178" s="9"/>
      <c r="J178" s="85">
        <f>+J176+J177</f>
        <v>9768594.0233366545</v>
      </c>
      <c r="K178" s="24"/>
      <c r="L178" s="79" t="s">
        <v>3</v>
      </c>
      <c r="M178" s="89">
        <f>M176+M177</f>
        <v>7028499.0082991235</v>
      </c>
      <c r="N178" s="89"/>
      <c r="O178" s="90"/>
      <c r="P178" s="89">
        <f>P176+P177</f>
        <v>2740095.0150375334</v>
      </c>
    </row>
    <row r="179" spans="1:17">
      <c r="A179" s="6" t="s">
        <v>3</v>
      </c>
      <c r="D179" s="111"/>
      <c r="E179" s="24"/>
      <c r="F179" s="9"/>
      <c r="G179" s="9"/>
      <c r="H179" s="25"/>
      <c r="I179" s="9"/>
      <c r="J179" s="24"/>
      <c r="K179" s="24"/>
      <c r="L179" s="79"/>
      <c r="M179" s="24"/>
      <c r="N179" s="24"/>
      <c r="O179" s="79"/>
      <c r="P179" s="24"/>
    </row>
    <row r="180" spans="1:17">
      <c r="A180" s="6">
        <v>28</v>
      </c>
      <c r="C180" s="2" t="s">
        <v>15</v>
      </c>
      <c r="D180" s="84"/>
      <c r="E180" s="24">
        <f>+$J282*E121</f>
        <v>124318806.59702957</v>
      </c>
      <c r="F180" s="9"/>
      <c r="G180" s="9" t="s">
        <v>124</v>
      </c>
      <c r="H180" s="106"/>
      <c r="I180" s="9"/>
      <c r="J180" s="51">
        <f>+$J282*J121</f>
        <v>19169034.454993229</v>
      </c>
      <c r="K180" s="51"/>
      <c r="L180" s="78" t="s">
        <v>3</v>
      </c>
      <c r="M180" s="51">
        <f>+$J282*M121</f>
        <v>13896156.775443735</v>
      </c>
      <c r="N180" s="51"/>
      <c r="O180" s="78"/>
      <c r="P180" s="51">
        <f>+$J282*P121</f>
        <v>5272877.6795494994</v>
      </c>
    </row>
    <row r="181" spans="1:17">
      <c r="A181" s="6"/>
      <c r="C181" s="107" t="s">
        <v>223</v>
      </c>
      <c r="E181" s="24"/>
      <c r="F181" s="9"/>
      <c r="G181" s="9"/>
      <c r="H181" s="106"/>
      <c r="I181" s="9"/>
      <c r="J181" s="24"/>
      <c r="K181" s="24"/>
      <c r="L181" s="79"/>
      <c r="M181" s="24"/>
      <c r="N181" s="24"/>
      <c r="O181" s="79"/>
      <c r="P181" s="24"/>
    </row>
    <row r="182" spans="1:17">
      <c r="A182" s="6"/>
      <c r="C182" s="2"/>
      <c r="E182" s="89"/>
      <c r="F182" s="9"/>
      <c r="G182" s="9"/>
      <c r="H182" s="106"/>
      <c r="I182" s="9"/>
      <c r="J182" s="89"/>
      <c r="K182" s="24"/>
      <c r="L182" s="79"/>
      <c r="M182" s="24"/>
      <c r="N182" s="24"/>
      <c r="O182" s="79"/>
      <c r="P182" s="24"/>
    </row>
    <row r="183" spans="1:17">
      <c r="A183" s="6">
        <v>29</v>
      </c>
      <c r="C183" s="2" t="s">
        <v>224</v>
      </c>
      <c r="D183" s="9"/>
      <c r="E183" s="89">
        <f>+E180+E178+E165+E154+E146</f>
        <v>319552373.60033077</v>
      </c>
      <c r="F183" s="9"/>
      <c r="G183" s="9"/>
      <c r="H183" s="9"/>
      <c r="I183" s="9"/>
      <c r="J183" s="89">
        <f>+J180+J178+J165+J154+J146</f>
        <v>68804084.051497102</v>
      </c>
      <c r="K183" s="48"/>
      <c r="L183" s="79"/>
      <c r="M183" s="89">
        <f>+M180+M178+M165+M154+M146</f>
        <v>52378814.728543878</v>
      </c>
      <c r="N183" s="89"/>
      <c r="O183" s="90"/>
      <c r="P183" s="89">
        <f>+P180+P178+P165+P154+P146</f>
        <v>16425269.32295322</v>
      </c>
    </row>
    <row r="184" spans="1:17">
      <c r="A184" s="6"/>
      <c r="C184" s="2"/>
      <c r="D184" s="9"/>
      <c r="E184" s="89"/>
      <c r="F184" s="9"/>
      <c r="G184" s="9"/>
      <c r="H184" s="9"/>
      <c r="I184" s="9"/>
      <c r="J184" s="89"/>
      <c r="K184" s="48"/>
      <c r="L184" s="79"/>
      <c r="M184" s="89"/>
      <c r="N184" s="89"/>
      <c r="O184" s="90"/>
      <c r="P184" s="89"/>
    </row>
    <row r="185" spans="1:17">
      <c r="A185" s="63">
        <v>30</v>
      </c>
      <c r="B185" s="64"/>
      <c r="C185" s="64" t="s">
        <v>225</v>
      </c>
      <c r="D185" s="9"/>
      <c r="E185" s="89"/>
      <c r="F185" s="9"/>
      <c r="G185" s="9"/>
      <c r="H185" s="9"/>
      <c r="I185" s="9"/>
      <c r="J185" s="89"/>
      <c r="K185" s="48"/>
      <c r="L185" s="79"/>
      <c r="M185" s="24"/>
      <c r="N185" s="24"/>
      <c r="O185" s="79"/>
      <c r="P185" s="24"/>
    </row>
    <row r="186" spans="1:17">
      <c r="A186" s="63"/>
      <c r="B186" s="223"/>
      <c r="C186" s="223" t="s">
        <v>416</v>
      </c>
      <c r="D186" s="64"/>
      <c r="E186" s="24"/>
      <c r="F186" s="65"/>
      <c r="G186" s="65"/>
      <c r="H186" s="65"/>
      <c r="I186" s="65"/>
      <c r="J186" s="24"/>
      <c r="K186" s="112"/>
      <c r="L186" s="78"/>
      <c r="M186" s="51"/>
      <c r="N186" s="51"/>
      <c r="O186" s="78"/>
      <c r="P186" s="51"/>
    </row>
    <row r="187" spans="1:17">
      <c r="A187" s="63"/>
      <c r="B187" s="64"/>
      <c r="C187" s="64" t="s">
        <v>226</v>
      </c>
      <c r="D187" s="10"/>
      <c r="E187" s="229">
        <f>'MP Attach GG'!L80</f>
        <v>12485813.731647694</v>
      </c>
      <c r="F187" s="65"/>
      <c r="G187" s="65"/>
      <c r="H187" s="65"/>
      <c r="I187" s="65"/>
      <c r="J187" s="229">
        <f>E187</f>
        <v>12485813.731647694</v>
      </c>
      <c r="K187" s="112"/>
      <c r="L187" s="78" t="s">
        <v>42</v>
      </c>
      <c r="M187" s="51">
        <f>J187-P187</f>
        <v>12485813.731647694</v>
      </c>
      <c r="N187" s="51"/>
      <c r="O187" s="78" t="s">
        <v>42</v>
      </c>
      <c r="P187" s="229">
        <v>0</v>
      </c>
    </row>
    <row r="188" spans="1:17">
      <c r="A188" s="6"/>
      <c r="C188" s="2"/>
      <c r="D188" s="9"/>
      <c r="E188" s="89"/>
      <c r="F188" s="9"/>
      <c r="G188" s="9"/>
      <c r="H188" s="9"/>
      <c r="I188" s="9"/>
      <c r="J188" s="89"/>
      <c r="K188" s="48"/>
      <c r="L188" s="79"/>
      <c r="M188" s="89"/>
      <c r="N188" s="89"/>
      <c r="O188" s="90"/>
      <c r="P188" s="89"/>
    </row>
    <row r="189" spans="1:17">
      <c r="A189" s="63" t="s">
        <v>423</v>
      </c>
      <c r="B189" s="64"/>
      <c r="C189" s="64" t="s">
        <v>424</v>
      </c>
      <c r="D189" s="9"/>
      <c r="E189" s="89"/>
      <c r="F189" s="9"/>
      <c r="G189" s="9"/>
      <c r="H189" s="9"/>
      <c r="I189" s="9"/>
      <c r="J189" s="89"/>
      <c r="K189" s="48"/>
      <c r="L189" s="79"/>
      <c r="M189" s="24"/>
      <c r="N189" s="24"/>
      <c r="O189" s="79"/>
      <c r="P189" s="24"/>
    </row>
    <row r="190" spans="1:17" s="45" customFormat="1" ht="15.75" customHeight="1">
      <c r="A190" s="63"/>
      <c r="B190" s="223"/>
      <c r="C190" s="223" t="s">
        <v>416</v>
      </c>
      <c r="D190" s="64"/>
      <c r="E190" s="24"/>
      <c r="F190" s="65"/>
      <c r="G190" s="65"/>
      <c r="H190" s="65"/>
      <c r="I190" s="65"/>
      <c r="J190" s="24"/>
      <c r="K190" s="112"/>
      <c r="L190" s="78"/>
      <c r="M190" s="51"/>
      <c r="N190" s="51"/>
      <c r="O190" s="78"/>
      <c r="P190" s="51"/>
    </row>
    <row r="191" spans="1:17" s="45" customFormat="1" ht="16.5" thickBot="1">
      <c r="A191" s="63"/>
      <c r="B191" s="64"/>
      <c r="C191" s="64" t="s">
        <v>425</v>
      </c>
      <c r="D191" s="10"/>
      <c r="E191" s="80">
        <v>0</v>
      </c>
      <c r="F191" s="65"/>
      <c r="G191" s="65"/>
      <c r="H191" s="65"/>
      <c r="I191" s="65"/>
      <c r="J191" s="80">
        <f>E191</f>
        <v>0</v>
      </c>
      <c r="K191" s="112"/>
      <c r="L191" s="78" t="s">
        <v>42</v>
      </c>
      <c r="M191" s="81">
        <f>J191-P191</f>
        <v>0</v>
      </c>
      <c r="N191" s="51"/>
      <c r="O191" s="78" t="s">
        <v>42</v>
      </c>
      <c r="P191" s="80">
        <v>0</v>
      </c>
    </row>
    <row r="192" spans="1:17" s="45" customFormat="1" ht="16.5" thickBot="1">
      <c r="A192" s="63">
        <v>31</v>
      </c>
      <c r="C192" s="45" t="s">
        <v>227</v>
      </c>
      <c r="D192" s="10"/>
      <c r="E192" s="113">
        <f>E183-E187-E191</f>
        <v>307066559.8686831</v>
      </c>
      <c r="F192" s="65"/>
      <c r="G192" s="65"/>
      <c r="H192" s="65"/>
      <c r="I192" s="65"/>
      <c r="J192" s="113">
        <f>J183-J187-J191</f>
        <v>56318270.319849409</v>
      </c>
      <c r="K192" s="112"/>
      <c r="L192" s="78"/>
      <c r="M192" s="113">
        <f>M183-M187-M191</f>
        <v>39893000.996896185</v>
      </c>
      <c r="N192" s="51"/>
      <c r="O192" s="78"/>
      <c r="P192" s="113">
        <f>P183-P187-P191</f>
        <v>16425269.32295322</v>
      </c>
    </row>
    <row r="193" spans="1:19" s="45" customFormat="1" ht="16.5" thickTop="1">
      <c r="A193" s="63"/>
      <c r="B193" s="64"/>
      <c r="C193" s="64" t="s">
        <v>426</v>
      </c>
      <c r="D193" s="10"/>
      <c r="E193" s="112"/>
      <c r="F193" s="65"/>
      <c r="G193" s="65"/>
      <c r="H193" s="65"/>
      <c r="I193" s="65"/>
      <c r="J193" s="65"/>
      <c r="K193" s="65"/>
      <c r="L193" s="20"/>
      <c r="O193" s="20"/>
    </row>
    <row r="194" spans="1:19">
      <c r="C194" s="2" t="s">
        <v>26</v>
      </c>
      <c r="D194" s="2"/>
      <c r="E194" s="3" t="s">
        <v>0</v>
      </c>
      <c r="F194" s="2"/>
      <c r="G194" s="2"/>
      <c r="H194" s="2"/>
      <c r="I194" s="4"/>
      <c r="K194" s="10"/>
      <c r="L194" s="20"/>
      <c r="O194" s="20"/>
      <c r="P194" s="20" t="s">
        <v>228</v>
      </c>
      <c r="Q194" s="45"/>
      <c r="R194" s="45"/>
      <c r="S194" s="45"/>
    </row>
    <row r="195" spans="1:19">
      <c r="C195" s="2"/>
      <c r="D195" s="9" t="s">
        <v>3</v>
      </c>
      <c r="E195" s="9" t="s">
        <v>27</v>
      </c>
      <c r="F195" s="9"/>
      <c r="G195" s="9"/>
      <c r="H195" s="9"/>
      <c r="I195" s="4"/>
      <c r="J195" s="4"/>
      <c r="K195" s="4"/>
      <c r="N195" s="234"/>
      <c r="O195" s="235"/>
      <c r="P195" s="364" t="str">
        <f>P2</f>
        <v>For the 12 months ended 12/31/12</v>
      </c>
    </row>
    <row r="196" spans="1:19">
      <c r="A196" s="6"/>
      <c r="K196" s="9"/>
    </row>
    <row r="197" spans="1:19" ht="31.5">
      <c r="A197" s="6"/>
      <c r="E197" s="96" t="str">
        <f>E5</f>
        <v>Allete, Inc. dba Minnesota Power</v>
      </c>
      <c r="K197" s="9"/>
    </row>
    <row r="198" spans="1:19">
      <c r="A198" s="6"/>
      <c r="D198" s="75" t="s">
        <v>229</v>
      </c>
      <c r="F198" s="4"/>
      <c r="G198" s="4"/>
      <c r="H198" s="4"/>
      <c r="I198" s="4"/>
      <c r="J198" s="4"/>
      <c r="K198" s="9"/>
    </row>
    <row r="199" spans="1:19">
      <c r="A199" s="6" t="s">
        <v>1</v>
      </c>
      <c r="C199" s="75"/>
      <c r="D199" s="4"/>
      <c r="E199" s="4"/>
      <c r="F199" s="4"/>
      <c r="G199" s="4"/>
      <c r="H199" s="4"/>
      <c r="I199" s="4"/>
      <c r="J199" s="4"/>
      <c r="K199" s="9"/>
    </row>
    <row r="200" spans="1:19" ht="16.5" thickBot="1">
      <c r="A200" s="17" t="s">
        <v>2</v>
      </c>
      <c r="C200" s="64" t="s">
        <v>230</v>
      </c>
      <c r="D200" s="10"/>
      <c r="E200" s="10"/>
      <c r="F200" s="10"/>
      <c r="G200" s="10"/>
      <c r="H200" s="10"/>
      <c r="I200" s="45"/>
      <c r="J200" s="45"/>
      <c r="K200" s="22"/>
    </row>
    <row r="201" spans="1:19">
      <c r="A201" s="6"/>
      <c r="C201" s="64"/>
      <c r="D201" s="10"/>
      <c r="E201" s="10"/>
      <c r="F201" s="10"/>
      <c r="G201" s="10"/>
      <c r="H201" s="10"/>
      <c r="I201" s="10"/>
      <c r="J201" s="10"/>
      <c r="K201" s="22"/>
    </row>
    <row r="202" spans="1:19">
      <c r="A202" s="6">
        <v>1</v>
      </c>
      <c r="C202" s="10" t="s">
        <v>231</v>
      </c>
      <c r="D202" s="10"/>
      <c r="E202" s="22"/>
      <c r="F202" s="22"/>
      <c r="G202" s="22"/>
      <c r="H202" s="22"/>
      <c r="I202" s="22"/>
      <c r="J202" s="51">
        <f>E77</f>
        <v>417599623</v>
      </c>
      <c r="K202" s="22"/>
    </row>
    <row r="203" spans="1:19">
      <c r="A203" s="6">
        <v>2</v>
      </c>
      <c r="C203" s="10" t="s">
        <v>232</v>
      </c>
      <c r="D203" s="45"/>
      <c r="E203" s="45"/>
      <c r="F203" s="45"/>
      <c r="G203" s="45"/>
      <c r="H203" s="45"/>
      <c r="I203" s="45"/>
      <c r="J203" s="26">
        <v>24473268</v>
      </c>
      <c r="K203" s="22"/>
    </row>
    <row r="204" spans="1:19" ht="16.5" thickBot="1">
      <c r="A204" s="6">
        <v>3</v>
      </c>
      <c r="C204" s="114" t="s">
        <v>233</v>
      </c>
      <c r="D204" s="114"/>
      <c r="E204" s="115"/>
      <c r="F204" s="22"/>
      <c r="G204" s="22"/>
      <c r="H204" s="116"/>
      <c r="I204" s="22"/>
      <c r="J204" s="80">
        <v>7880697</v>
      </c>
      <c r="K204" s="22"/>
    </row>
    <row r="205" spans="1:19">
      <c r="A205" s="6">
        <v>4</v>
      </c>
      <c r="C205" s="10" t="s">
        <v>234</v>
      </c>
      <c r="D205" s="10"/>
      <c r="E205" s="22"/>
      <c r="F205" s="22"/>
      <c r="G205" s="22"/>
      <c r="H205" s="116"/>
      <c r="I205" s="22"/>
      <c r="J205" s="51">
        <f>J202-J203-J204</f>
        <v>385245658</v>
      </c>
      <c r="K205" s="22"/>
    </row>
    <row r="206" spans="1:19">
      <c r="A206" s="6"/>
      <c r="C206" s="45"/>
      <c r="D206" s="10"/>
      <c r="E206" s="22"/>
      <c r="F206" s="22"/>
      <c r="G206" s="22"/>
      <c r="H206" s="116"/>
      <c r="I206" s="22"/>
      <c r="J206" s="45"/>
      <c r="K206" s="22"/>
    </row>
    <row r="207" spans="1:19">
      <c r="A207" s="6">
        <v>5</v>
      </c>
      <c r="C207" s="10" t="s">
        <v>235</v>
      </c>
      <c r="D207" s="117"/>
      <c r="E207" s="118"/>
      <c r="F207" s="118"/>
      <c r="G207" s="118"/>
      <c r="H207" s="119"/>
      <c r="I207" s="22" t="s">
        <v>236</v>
      </c>
      <c r="J207" s="91">
        <f>IF(J202&gt;0,J205/J202,0)</f>
        <v>0.92252396022876682</v>
      </c>
      <c r="K207" s="22"/>
    </row>
    <row r="208" spans="1:19">
      <c r="A208" s="6"/>
      <c r="C208" s="10"/>
      <c r="D208" s="117"/>
      <c r="E208" s="118"/>
      <c r="F208" s="118"/>
      <c r="G208" s="118"/>
      <c r="H208" s="119"/>
      <c r="I208" s="22"/>
      <c r="J208" s="91"/>
      <c r="K208" s="22"/>
    </row>
    <row r="209" spans="1:28">
      <c r="A209" s="6">
        <v>6</v>
      </c>
      <c r="C209" s="10" t="s">
        <v>237</v>
      </c>
      <c r="D209" s="117"/>
      <c r="E209" s="120">
        <f>J77</f>
        <v>385245658</v>
      </c>
      <c r="F209" s="118"/>
      <c r="G209" s="118"/>
      <c r="H209" s="119"/>
      <c r="I209" s="22"/>
      <c r="J209" s="45"/>
      <c r="K209" s="22"/>
    </row>
    <row r="210" spans="1:28">
      <c r="A210" s="6">
        <v>7</v>
      </c>
      <c r="C210" s="10" t="s">
        <v>238</v>
      </c>
      <c r="D210" s="117"/>
      <c r="E210" s="120">
        <f>M77</f>
        <v>268916885</v>
      </c>
      <c r="F210" s="118"/>
      <c r="G210" s="118"/>
      <c r="H210" s="119"/>
      <c r="I210" s="22" t="s">
        <v>239</v>
      </c>
      <c r="J210" s="121">
        <f>IF(E210&gt;0,E210/E209,0)</f>
        <v>0.69804001528811521</v>
      </c>
      <c r="K210" s="22"/>
    </row>
    <row r="211" spans="1:28">
      <c r="A211" s="6">
        <v>8</v>
      </c>
      <c r="C211" s="10" t="s">
        <v>240</v>
      </c>
      <c r="D211" s="117"/>
      <c r="E211" s="120">
        <f>P77</f>
        <v>116328773</v>
      </c>
      <c r="F211" s="118"/>
      <c r="G211" s="118"/>
      <c r="H211" s="119"/>
      <c r="I211" s="22" t="s">
        <v>241</v>
      </c>
      <c r="J211" s="121">
        <f>IF(E211&gt;0,E211/E209,0)</f>
        <v>0.30195998471188479</v>
      </c>
      <c r="K211" s="22"/>
    </row>
    <row r="212" spans="1:28">
      <c r="A212" s="6"/>
      <c r="C212" s="10"/>
      <c r="D212" s="117"/>
      <c r="E212" s="120"/>
      <c r="F212" s="118"/>
      <c r="G212" s="118"/>
      <c r="H212" s="119"/>
      <c r="I212" s="22"/>
      <c r="J212" s="121"/>
      <c r="K212" s="22"/>
    </row>
    <row r="213" spans="1:28">
      <c r="A213" s="6">
        <v>9</v>
      </c>
      <c r="C213" s="10" t="s">
        <v>242</v>
      </c>
      <c r="D213" s="117"/>
      <c r="E213" s="120">
        <f>J97</f>
        <v>240050552.91807845</v>
      </c>
      <c r="F213" s="118"/>
      <c r="G213" s="118"/>
      <c r="H213" s="119"/>
      <c r="I213" s="22"/>
      <c r="J213" s="45"/>
      <c r="K213" s="22"/>
    </row>
    <row r="214" spans="1:28">
      <c r="A214" s="6">
        <v>10</v>
      </c>
      <c r="C214" s="10" t="s">
        <v>243</v>
      </c>
      <c r="D214" s="117"/>
      <c r="E214" s="120">
        <f>M97</f>
        <v>166535960.87126553</v>
      </c>
      <c r="F214" s="118"/>
      <c r="G214" s="118"/>
      <c r="H214" s="119"/>
      <c r="I214" s="22" t="s">
        <v>244</v>
      </c>
      <c r="J214" s="121">
        <f>IF(E214&gt;0,E214/E213,0)</f>
        <v>0.6937537066540268</v>
      </c>
      <c r="K214" s="22"/>
    </row>
    <row r="215" spans="1:28">
      <c r="A215" s="6">
        <v>11</v>
      </c>
      <c r="C215" s="10" t="s">
        <v>245</v>
      </c>
      <c r="D215" s="117"/>
      <c r="E215" s="120">
        <f>P97</f>
        <v>73514592.046812952</v>
      </c>
      <c r="F215" s="118"/>
      <c r="G215" s="118"/>
      <c r="H215" s="119"/>
      <c r="I215" s="22" t="s">
        <v>246</v>
      </c>
      <c r="J215" s="121">
        <f>IF(E215&gt;0,E215/E213,0)</f>
        <v>0.30624629334597336</v>
      </c>
      <c r="K215" s="22"/>
    </row>
    <row r="216" spans="1:28">
      <c r="A216" s="6"/>
      <c r="C216" s="45"/>
      <c r="D216" s="45"/>
      <c r="E216" s="45"/>
      <c r="F216" s="45"/>
      <c r="G216" s="45"/>
      <c r="H216" s="45"/>
      <c r="I216" s="45"/>
      <c r="J216" s="45"/>
      <c r="K216" s="22"/>
    </row>
    <row r="217" spans="1:28">
      <c r="A217" s="6"/>
      <c r="C217" s="64" t="s">
        <v>247</v>
      </c>
      <c r="D217" s="45"/>
      <c r="E217" s="45"/>
      <c r="F217" s="45"/>
      <c r="G217" s="45"/>
      <c r="H217" s="45"/>
      <c r="I217" s="45"/>
      <c r="J217" s="45"/>
      <c r="K217" s="22"/>
      <c r="L217" s="63"/>
      <c r="U217" s="216" t="s">
        <v>268</v>
      </c>
      <c r="V217" s="217"/>
      <c r="W217" s="217"/>
      <c r="X217" s="217"/>
      <c r="Y217" s="217"/>
      <c r="Z217" s="217"/>
      <c r="AA217" s="217"/>
      <c r="AB217" s="218"/>
    </row>
    <row r="218" spans="1:28">
      <c r="A218" s="6"/>
      <c r="C218" s="45"/>
      <c r="D218" s="45"/>
      <c r="E218" s="45"/>
      <c r="F218" s="45"/>
      <c r="G218" s="45"/>
      <c r="H218" s="45"/>
      <c r="I218" s="45"/>
      <c r="J218" s="45"/>
      <c r="K218" s="45"/>
      <c r="U218" s="219"/>
      <c r="V218" s="136"/>
      <c r="W218" s="136"/>
      <c r="X218" s="136"/>
      <c r="Y218" s="136"/>
      <c r="Z218" s="136"/>
      <c r="AA218" s="136"/>
      <c r="AB218" s="220"/>
    </row>
    <row r="219" spans="1:28">
      <c r="A219" s="6">
        <v>12</v>
      </c>
      <c r="C219" s="45" t="s">
        <v>248</v>
      </c>
      <c r="D219" s="45"/>
      <c r="E219" s="10"/>
      <c r="F219" s="10"/>
      <c r="G219" s="10"/>
      <c r="H219" s="63"/>
      <c r="I219" s="10"/>
      <c r="J219" s="51">
        <f>E137</f>
        <v>48782073</v>
      </c>
      <c r="K219" s="45"/>
      <c r="U219" s="187"/>
      <c r="V219" s="188"/>
      <c r="W219" s="189"/>
      <c r="X219" s="188"/>
      <c r="Y219" s="190"/>
      <c r="Z219" s="191"/>
      <c r="AA219" s="188"/>
      <c r="AB219" s="192"/>
    </row>
    <row r="220" spans="1:28" ht="16.5" thickBot="1">
      <c r="A220" s="6">
        <v>13</v>
      </c>
      <c r="C220" s="114" t="s">
        <v>249</v>
      </c>
      <c r="D220" s="114"/>
      <c r="E220" s="115"/>
      <c r="F220" s="115"/>
      <c r="G220" s="22"/>
      <c r="H220" s="22"/>
      <c r="I220" s="22"/>
      <c r="J220" s="80">
        <v>5150816</v>
      </c>
      <c r="K220" s="45"/>
      <c r="U220" s="204">
        <v>5150816</v>
      </c>
      <c r="V220" s="190"/>
      <c r="W220" s="193"/>
      <c r="X220" s="194" t="s">
        <v>269</v>
      </c>
      <c r="Y220" s="190"/>
      <c r="Z220" s="191"/>
      <c r="AA220" s="188"/>
      <c r="AB220" s="192"/>
    </row>
    <row r="221" spans="1:28">
      <c r="A221" s="6">
        <v>14</v>
      </c>
      <c r="C221" s="10" t="s">
        <v>250</v>
      </c>
      <c r="D221" s="117"/>
      <c r="E221" s="118"/>
      <c r="F221" s="118"/>
      <c r="G221" s="118"/>
      <c r="H221" s="119"/>
      <c r="I221" s="118"/>
      <c r="J221" s="51">
        <f>+J219-J220</f>
        <v>43631257</v>
      </c>
      <c r="K221" s="45"/>
      <c r="U221" s="221">
        <v>1098453</v>
      </c>
      <c r="V221" s="196"/>
      <c r="W221" s="197"/>
      <c r="X221" s="198" t="s">
        <v>270</v>
      </c>
      <c r="Y221" s="199"/>
      <c r="Z221" s="199"/>
      <c r="AA221" s="188"/>
      <c r="AB221" s="192"/>
    </row>
    <row r="222" spans="1:28">
      <c r="A222" s="6"/>
      <c r="C222" s="10"/>
      <c r="D222" s="10"/>
      <c r="E222" s="22"/>
      <c r="F222" s="22"/>
      <c r="G222" s="22"/>
      <c r="H222" s="22"/>
      <c r="I222" s="45"/>
      <c r="J222" s="45"/>
      <c r="K222" s="45"/>
      <c r="U222" s="362">
        <f>U220-U221</f>
        <v>4052363</v>
      </c>
      <c r="V222" s="188"/>
      <c r="W222" s="189"/>
      <c r="X222" s="198" t="s">
        <v>272</v>
      </c>
      <c r="Y222" s="188"/>
      <c r="Z222" s="188"/>
      <c r="AA222" s="188"/>
      <c r="AB222" s="192"/>
    </row>
    <row r="223" spans="1:28">
      <c r="A223" s="6">
        <v>15</v>
      </c>
      <c r="C223" s="10" t="s">
        <v>251</v>
      </c>
      <c r="D223" s="10"/>
      <c r="E223" s="22"/>
      <c r="F223" s="22"/>
      <c r="G223" s="22"/>
      <c r="H223" s="22"/>
      <c r="I223" s="22"/>
      <c r="J223" s="77">
        <f>IF(J219&gt;0,J221/J219,0)</f>
        <v>0.89441170325008534</v>
      </c>
      <c r="U223" s="200"/>
      <c r="V223" s="191"/>
      <c r="W223" s="201"/>
      <c r="X223" s="202" t="s">
        <v>273</v>
      </c>
      <c r="Y223" s="203"/>
      <c r="Z223" s="203"/>
      <c r="AA223" s="188"/>
      <c r="AB223" s="192"/>
    </row>
    <row r="224" spans="1:28">
      <c r="A224" s="6">
        <v>16</v>
      </c>
      <c r="C224" s="10" t="s">
        <v>252</v>
      </c>
      <c r="D224" s="10"/>
      <c r="E224" s="22"/>
      <c r="F224" s="22"/>
      <c r="G224" s="22"/>
      <c r="H224" s="22"/>
      <c r="I224" s="10" t="s">
        <v>41</v>
      </c>
      <c r="J224" s="122">
        <f>J207</f>
        <v>0.92252396022876682</v>
      </c>
      <c r="K224" s="9"/>
      <c r="U224" s="204">
        <v>0</v>
      </c>
      <c r="V224" s="205"/>
      <c r="W224" s="206"/>
      <c r="X224" s="203" t="s">
        <v>274</v>
      </c>
      <c r="Y224" s="188"/>
      <c r="Z224" s="203"/>
      <c r="AA224" s="188"/>
      <c r="AB224" s="192"/>
    </row>
    <row r="225" spans="1:28">
      <c r="A225" s="6">
        <v>17</v>
      </c>
      <c r="C225" s="10" t="s">
        <v>400</v>
      </c>
      <c r="D225" s="10"/>
      <c r="E225" s="10"/>
      <c r="F225" s="10"/>
      <c r="G225" s="10"/>
      <c r="H225" s="10"/>
      <c r="I225" s="10" t="s">
        <v>253</v>
      </c>
      <c r="J225" s="123">
        <f>+J224*J223</f>
        <v>0.82511622655722527</v>
      </c>
      <c r="K225" s="9"/>
      <c r="U225" s="222"/>
      <c r="V225" s="205"/>
      <c r="W225" s="206"/>
      <c r="X225" s="203"/>
      <c r="Y225" s="188"/>
      <c r="Z225" s="203"/>
      <c r="AA225" s="188"/>
      <c r="AB225" s="192"/>
    </row>
    <row r="226" spans="1:28">
      <c r="A226" s="6"/>
      <c r="D226" s="4"/>
      <c r="E226" s="9"/>
      <c r="F226" s="9"/>
      <c r="G226" s="9"/>
      <c r="H226" s="50"/>
      <c r="I226" s="9"/>
      <c r="K226" s="9"/>
      <c r="M226" s="7"/>
      <c r="N226" s="7"/>
      <c r="U226" s="222">
        <v>13200</v>
      </c>
      <c r="V226" s="190"/>
      <c r="W226" s="193"/>
      <c r="X226" s="203" t="s">
        <v>276</v>
      </c>
      <c r="Y226" s="188"/>
      <c r="Z226" s="203"/>
      <c r="AA226" s="188"/>
      <c r="AB226" s="192"/>
    </row>
    <row r="227" spans="1:28">
      <c r="A227" s="6" t="s">
        <v>3</v>
      </c>
      <c r="C227" s="2" t="s">
        <v>254</v>
      </c>
      <c r="D227" s="9"/>
      <c r="E227" s="9"/>
      <c r="F227" s="9"/>
      <c r="G227" s="9"/>
      <c r="H227" s="9"/>
      <c r="I227" s="9"/>
      <c r="J227" s="9"/>
      <c r="K227" s="9"/>
      <c r="M227" s="7"/>
      <c r="N227" s="7"/>
      <c r="U227" s="221">
        <v>0</v>
      </c>
      <c r="V227" s="190"/>
      <c r="W227" s="193"/>
      <c r="X227" s="203" t="s">
        <v>280</v>
      </c>
      <c r="Y227" s="188"/>
      <c r="Z227" s="207"/>
      <c r="AA227" s="188"/>
      <c r="AB227" s="192"/>
    </row>
    <row r="228" spans="1:28" ht="16.5" thickBot="1">
      <c r="A228" s="6" t="s">
        <v>3</v>
      </c>
      <c r="C228" s="2"/>
      <c r="D228" s="126" t="s">
        <v>255</v>
      </c>
      <c r="E228" s="127" t="s">
        <v>256</v>
      </c>
      <c r="F228" s="127" t="s">
        <v>41</v>
      </c>
      <c r="G228" s="9"/>
      <c r="H228" s="127" t="s">
        <v>257</v>
      </c>
      <c r="I228" s="9"/>
      <c r="J228" s="9"/>
      <c r="K228" s="9"/>
      <c r="M228" s="7"/>
      <c r="N228" s="7"/>
      <c r="U228" s="208">
        <f>SUM(U224:U227)</f>
        <v>13200</v>
      </c>
      <c r="V228" s="196"/>
      <c r="W228" s="197"/>
      <c r="X228" s="198" t="s">
        <v>284</v>
      </c>
      <c r="Y228" s="190"/>
      <c r="Z228" s="191"/>
      <c r="AA228" s="188"/>
      <c r="AB228" s="192"/>
    </row>
    <row r="229" spans="1:28">
      <c r="A229" s="6">
        <v>18</v>
      </c>
      <c r="C229" s="2" t="s">
        <v>122</v>
      </c>
      <c r="D229" s="9" t="s">
        <v>258</v>
      </c>
      <c r="E229" s="26">
        <v>34636492</v>
      </c>
      <c r="F229" s="128">
        <v>0</v>
      </c>
      <c r="G229" s="128"/>
      <c r="H229" s="24">
        <f>E229*F229</f>
        <v>0</v>
      </c>
      <c r="I229" s="9"/>
      <c r="J229" s="9"/>
      <c r="K229" s="9"/>
      <c r="M229" s="7"/>
      <c r="N229" s="7"/>
      <c r="U229" s="195">
        <f>U222-U228</f>
        <v>4039163</v>
      </c>
      <c r="V229" s="209"/>
      <c r="W229" s="210"/>
      <c r="X229" s="211" t="s">
        <v>287</v>
      </c>
      <c r="Y229" s="212"/>
      <c r="Z229" s="213"/>
      <c r="AA229" s="214"/>
      <c r="AB229" s="215"/>
    </row>
    <row r="230" spans="1:28">
      <c r="A230" s="6">
        <v>19</v>
      </c>
      <c r="C230" s="2" t="s">
        <v>125</v>
      </c>
      <c r="D230" s="9" t="s">
        <v>259</v>
      </c>
      <c r="E230" s="26">
        <v>8869530</v>
      </c>
      <c r="F230" s="128">
        <f>+J207</f>
        <v>0.92252396022876682</v>
      </c>
      <c r="G230" s="128"/>
      <c r="H230" s="24">
        <f>E230*F230</f>
        <v>8182353.9409678541</v>
      </c>
      <c r="I230" s="9"/>
      <c r="J230" s="9"/>
      <c r="K230" s="50"/>
      <c r="M230" s="7"/>
      <c r="N230" s="7"/>
    </row>
    <row r="231" spans="1:28">
      <c r="A231" s="6">
        <v>20</v>
      </c>
      <c r="C231" s="2" t="s">
        <v>127</v>
      </c>
      <c r="D231" s="9" t="s">
        <v>260</v>
      </c>
      <c r="E231" s="26">
        <v>11457295</v>
      </c>
      <c r="F231" s="128">
        <v>0</v>
      </c>
      <c r="G231" s="128"/>
      <c r="H231" s="24">
        <f>E231*F231</f>
        <v>0</v>
      </c>
      <c r="I231" s="9"/>
      <c r="J231" s="129" t="s">
        <v>261</v>
      </c>
      <c r="K231" s="9"/>
      <c r="M231" s="7"/>
      <c r="N231" s="7"/>
    </row>
    <row r="232" spans="1:28" ht="16.5" thickBot="1">
      <c r="A232" s="6">
        <v>21</v>
      </c>
      <c r="C232" s="2" t="s">
        <v>262</v>
      </c>
      <c r="D232" s="9" t="s">
        <v>263</v>
      </c>
      <c r="E232" s="80">
        <v>4314650</v>
      </c>
      <c r="F232" s="128">
        <v>0</v>
      </c>
      <c r="G232" s="128"/>
      <c r="H232" s="30">
        <f>E232*F232</f>
        <v>0</v>
      </c>
      <c r="I232" s="9"/>
      <c r="J232" s="17" t="s">
        <v>264</v>
      </c>
      <c r="K232" s="9"/>
      <c r="M232" s="7"/>
      <c r="N232" s="7"/>
    </row>
    <row r="233" spans="1:28">
      <c r="A233" s="6">
        <v>22</v>
      </c>
      <c r="C233" s="2" t="s">
        <v>265</v>
      </c>
      <c r="D233" s="9"/>
      <c r="E233" s="24">
        <f>SUM(E229:E232)</f>
        <v>59277967</v>
      </c>
      <c r="F233" s="9"/>
      <c r="G233" s="9"/>
      <c r="H233" s="24">
        <f>SUM(H229:H232)</f>
        <v>8182353.9409678541</v>
      </c>
      <c r="I233" s="6" t="s">
        <v>266</v>
      </c>
      <c r="J233" s="76">
        <f>IF(H233&gt;0,H233/E233,0)</f>
        <v>0.13803364648061991</v>
      </c>
      <c r="L233" s="130" t="s">
        <v>267</v>
      </c>
      <c r="M233" s="7"/>
      <c r="N233" s="7"/>
      <c r="P233" s="7"/>
      <c r="Q233" s="7"/>
      <c r="R233" s="7"/>
      <c r="S233" s="7"/>
      <c r="T233" s="7"/>
    </row>
    <row r="234" spans="1:28">
      <c r="A234" s="6"/>
      <c r="C234" s="2"/>
      <c r="D234" s="9"/>
      <c r="E234" s="9"/>
      <c r="F234" s="9"/>
      <c r="G234" s="9"/>
      <c r="H234" s="24"/>
      <c r="I234" s="6"/>
      <c r="J234" s="76"/>
      <c r="M234" s="7"/>
      <c r="N234" s="7"/>
      <c r="P234" s="7"/>
      <c r="Q234" s="7"/>
      <c r="R234" s="7"/>
      <c r="S234" s="7"/>
      <c r="T234" s="7"/>
      <c r="U234" s="131"/>
      <c r="V234" s="131"/>
      <c r="W234" s="132"/>
      <c r="X234" s="133"/>
      <c r="Y234" s="134"/>
      <c r="Z234" s="134"/>
      <c r="AA234" s="135"/>
      <c r="AB234" s="135"/>
    </row>
    <row r="235" spans="1:28">
      <c r="A235" s="6"/>
      <c r="C235" s="2"/>
      <c r="D235" s="9"/>
      <c r="E235" s="9"/>
      <c r="F235" s="9"/>
      <c r="G235" s="9"/>
      <c r="H235" s="24"/>
      <c r="I235" s="6"/>
      <c r="J235" s="76"/>
      <c r="M235" s="7"/>
      <c r="N235" s="7"/>
      <c r="P235" s="7"/>
      <c r="Q235" s="7"/>
      <c r="R235" s="7"/>
      <c r="S235" s="7"/>
      <c r="T235" s="7"/>
      <c r="U235" s="131"/>
      <c r="V235" s="131"/>
      <c r="W235" s="132"/>
      <c r="X235" s="133"/>
      <c r="Y235" s="134"/>
      <c r="Z235" s="134"/>
      <c r="AA235" s="135"/>
      <c r="AB235" s="135"/>
    </row>
    <row r="236" spans="1:28">
      <c r="A236" s="6"/>
      <c r="C236" s="2"/>
      <c r="D236" s="9"/>
      <c r="E236" s="9"/>
      <c r="F236" s="9"/>
      <c r="G236" s="9"/>
      <c r="H236" s="24"/>
      <c r="I236" s="6"/>
      <c r="J236" s="76"/>
      <c r="M236" s="7"/>
      <c r="N236" s="7"/>
      <c r="P236" s="7"/>
      <c r="Q236" s="7"/>
      <c r="R236" s="7"/>
      <c r="S236" s="7"/>
      <c r="T236" s="7"/>
      <c r="U236" s="131"/>
      <c r="V236" s="131"/>
      <c r="W236" s="132"/>
      <c r="X236" s="133"/>
      <c r="Y236" s="134"/>
      <c r="Z236" s="134"/>
      <c r="AA236" s="135"/>
      <c r="AB236" s="135"/>
    </row>
    <row r="237" spans="1:28">
      <c r="A237" s="6"/>
      <c r="C237" s="2"/>
      <c r="D237" s="9"/>
      <c r="E237" s="9"/>
      <c r="F237" s="9"/>
      <c r="G237" s="9"/>
      <c r="H237" s="24"/>
      <c r="I237" s="6"/>
      <c r="J237" s="76"/>
      <c r="M237" s="7"/>
      <c r="N237" s="7"/>
      <c r="P237" s="7"/>
      <c r="Q237" s="7"/>
      <c r="R237" s="7"/>
      <c r="S237" s="7"/>
      <c r="T237" s="7"/>
      <c r="U237" s="131"/>
      <c r="V237" s="131"/>
      <c r="W237" s="132"/>
      <c r="X237" s="133"/>
      <c r="Y237" s="134"/>
      <c r="Z237" s="134"/>
      <c r="AA237" s="135"/>
      <c r="AB237" s="135"/>
    </row>
    <row r="238" spans="1:28">
      <c r="A238" s="6"/>
      <c r="C238" s="2"/>
      <c r="D238" s="9"/>
      <c r="E238" s="9"/>
      <c r="F238" s="9"/>
      <c r="G238" s="9"/>
      <c r="H238" s="24"/>
      <c r="I238" s="6"/>
      <c r="J238" s="76"/>
      <c r="M238" s="7"/>
      <c r="N238" s="7"/>
      <c r="P238" s="7"/>
      <c r="Q238" s="7"/>
      <c r="R238" s="7"/>
      <c r="S238" s="7"/>
      <c r="T238" s="7"/>
      <c r="U238" s="131"/>
      <c r="V238" s="131"/>
      <c r="W238" s="132"/>
      <c r="X238" s="133"/>
      <c r="Y238" s="134"/>
      <c r="Z238" s="134"/>
      <c r="AA238" s="135"/>
      <c r="AB238" s="135"/>
    </row>
    <row r="239" spans="1:28">
      <c r="A239" s="6"/>
      <c r="C239" s="2"/>
      <c r="D239" s="9"/>
      <c r="E239" s="9"/>
      <c r="F239" s="9"/>
      <c r="G239" s="9"/>
      <c r="H239" s="24"/>
      <c r="I239" s="6"/>
      <c r="J239" s="76"/>
      <c r="M239" s="7"/>
      <c r="N239" s="7"/>
      <c r="P239" s="7"/>
      <c r="Q239" s="7"/>
      <c r="R239" s="7"/>
      <c r="S239" s="7"/>
      <c r="T239" s="7"/>
      <c r="U239" s="131"/>
      <c r="V239" s="131"/>
      <c r="W239" s="132"/>
      <c r="X239" s="133"/>
      <c r="Y239" s="134"/>
      <c r="Z239" s="134"/>
      <c r="AA239" s="135"/>
      <c r="AB239" s="135"/>
    </row>
    <row r="240" spans="1:28">
      <c r="A240" s="6"/>
      <c r="C240" s="2"/>
      <c r="D240" s="9"/>
      <c r="E240" s="9"/>
      <c r="F240" s="9"/>
      <c r="G240" s="9"/>
      <c r="H240" s="24"/>
      <c r="I240" s="6"/>
      <c r="J240" s="76"/>
      <c r="M240" s="7"/>
      <c r="N240" s="7"/>
      <c r="P240" s="7"/>
      <c r="Q240" s="7"/>
      <c r="R240" s="7"/>
      <c r="S240" s="7"/>
      <c r="T240" s="7"/>
      <c r="U240" s="131"/>
      <c r="V240" s="131"/>
      <c r="W240" s="132"/>
      <c r="X240" s="133"/>
      <c r="Y240" s="134"/>
      <c r="Z240" s="134"/>
      <c r="AA240" s="135"/>
      <c r="AB240" s="135"/>
    </row>
    <row r="241" spans="1:28">
      <c r="A241" s="6"/>
      <c r="C241" s="2"/>
      <c r="D241" s="9"/>
      <c r="E241" s="9"/>
      <c r="F241" s="9"/>
      <c r="G241" s="9"/>
      <c r="H241" s="24"/>
      <c r="I241" s="6"/>
      <c r="J241" s="76"/>
      <c r="M241" s="7"/>
      <c r="N241" s="7"/>
      <c r="P241" s="7"/>
      <c r="Q241" s="7"/>
      <c r="R241" s="7"/>
      <c r="S241" s="7"/>
      <c r="T241" s="7"/>
      <c r="U241" s="131"/>
      <c r="V241" s="131"/>
      <c r="W241" s="132"/>
      <c r="X241" s="133"/>
      <c r="Y241" s="134"/>
      <c r="Z241" s="134"/>
      <c r="AA241" s="135"/>
      <c r="AB241" s="135"/>
    </row>
    <row r="242" spans="1:28">
      <c r="A242" s="6"/>
      <c r="C242" s="2"/>
      <c r="D242" s="9"/>
      <c r="E242" s="9"/>
      <c r="F242" s="9"/>
      <c r="G242" s="9"/>
      <c r="H242" s="24"/>
      <c r="I242" s="6"/>
      <c r="J242" s="76"/>
      <c r="M242" s="7"/>
      <c r="N242" s="7"/>
      <c r="P242" s="7"/>
      <c r="Q242" s="7"/>
      <c r="R242" s="7"/>
      <c r="S242" s="7"/>
      <c r="T242" s="7"/>
      <c r="U242" s="131"/>
      <c r="V242" s="131"/>
      <c r="W242" s="132"/>
      <c r="X242" s="133"/>
      <c r="Y242" s="134"/>
      <c r="Z242" s="134"/>
      <c r="AA242" s="135"/>
      <c r="AB242" s="135"/>
    </row>
    <row r="243" spans="1:28">
      <c r="A243" s="6"/>
      <c r="C243" s="2"/>
      <c r="D243" s="9"/>
      <c r="E243" s="9"/>
      <c r="F243" s="9"/>
      <c r="G243" s="9"/>
      <c r="H243" s="24"/>
      <c r="I243" s="6"/>
      <c r="J243" s="76"/>
      <c r="M243" s="7"/>
      <c r="N243" s="7"/>
      <c r="P243" s="7"/>
      <c r="Q243" s="7"/>
      <c r="R243" s="7"/>
      <c r="S243" s="7"/>
      <c r="T243" s="7"/>
      <c r="U243" s="131"/>
      <c r="V243" s="131"/>
      <c r="W243" s="132"/>
      <c r="X243" s="133"/>
      <c r="Y243" s="134"/>
      <c r="Z243" s="134"/>
      <c r="AA243" s="135"/>
      <c r="AB243" s="135"/>
    </row>
    <row r="244" spans="1:28">
      <c r="A244" s="6"/>
      <c r="C244" s="2"/>
      <c r="D244" s="9"/>
      <c r="E244" s="9"/>
      <c r="F244" s="9"/>
      <c r="G244" s="9"/>
      <c r="H244" s="24"/>
      <c r="I244" s="6"/>
      <c r="J244" s="76"/>
      <c r="M244" s="7"/>
      <c r="N244" s="7"/>
      <c r="P244" s="7"/>
      <c r="Q244" s="7"/>
      <c r="R244" s="7"/>
      <c r="S244" s="7"/>
      <c r="T244" s="7"/>
      <c r="U244" s="131"/>
      <c r="V244" s="131"/>
      <c r="W244" s="132"/>
      <c r="X244" s="133"/>
      <c r="Y244" s="134"/>
      <c r="Z244" s="134"/>
      <c r="AA244" s="135"/>
      <c r="AB244" s="135"/>
    </row>
    <row r="245" spans="1:28">
      <c r="A245" s="6"/>
      <c r="C245" s="2"/>
      <c r="D245" s="9"/>
      <c r="E245" s="9"/>
      <c r="F245" s="9"/>
      <c r="G245" s="9"/>
      <c r="H245" s="24"/>
      <c r="I245" s="6"/>
      <c r="J245" s="76"/>
      <c r="M245" s="7"/>
      <c r="N245" s="7"/>
      <c r="P245" s="7"/>
      <c r="Q245" s="7"/>
      <c r="R245" s="7"/>
      <c r="S245" s="7"/>
      <c r="T245" s="7"/>
      <c r="U245" s="131"/>
      <c r="V245" s="131"/>
      <c r="W245" s="132"/>
      <c r="X245" s="133"/>
      <c r="Y245" s="134"/>
      <c r="Z245" s="134"/>
      <c r="AA245" s="135"/>
      <c r="AB245" s="135"/>
    </row>
    <row r="246" spans="1:28">
      <c r="A246" s="6"/>
      <c r="C246" s="2"/>
      <c r="D246" s="9"/>
      <c r="E246" s="9"/>
      <c r="F246" s="9"/>
      <c r="G246" s="9"/>
      <c r="H246" s="24"/>
      <c r="I246" s="6"/>
      <c r="J246" s="76"/>
      <c r="M246" s="7"/>
      <c r="N246" s="7"/>
      <c r="P246" s="7"/>
      <c r="Q246" s="7"/>
      <c r="R246" s="7"/>
      <c r="S246" s="7"/>
      <c r="T246" s="7"/>
      <c r="U246" s="131"/>
      <c r="V246" s="131"/>
      <c r="W246" s="132"/>
      <c r="X246" s="133"/>
      <c r="Y246" s="134"/>
      <c r="Z246" s="134"/>
      <c r="AA246" s="135"/>
      <c r="AB246" s="135"/>
    </row>
    <row r="247" spans="1:28">
      <c r="A247" s="6"/>
      <c r="C247" s="2"/>
      <c r="D247" s="9"/>
      <c r="E247" s="9"/>
      <c r="F247" s="9"/>
      <c r="G247" s="9"/>
      <c r="H247" s="24"/>
      <c r="I247" s="6"/>
      <c r="J247" s="76"/>
      <c r="M247" s="7"/>
      <c r="N247" s="7"/>
      <c r="P247" s="7"/>
      <c r="Q247" s="7"/>
      <c r="R247" s="7"/>
      <c r="S247" s="7"/>
      <c r="T247" s="7"/>
      <c r="U247" s="131"/>
      <c r="V247" s="131"/>
      <c r="W247" s="132"/>
      <c r="X247" s="133"/>
      <c r="Y247" s="134"/>
      <c r="Z247" s="134"/>
      <c r="AA247" s="135"/>
      <c r="AB247" s="135"/>
    </row>
    <row r="248" spans="1:28">
      <c r="A248" s="6"/>
      <c r="C248" s="2"/>
      <c r="D248" s="9"/>
      <c r="E248" s="9"/>
      <c r="F248" s="9"/>
      <c r="G248" s="9"/>
      <c r="H248" s="24"/>
      <c r="I248" s="6"/>
      <c r="J248" s="76"/>
      <c r="M248" s="7"/>
      <c r="N248" s="7"/>
      <c r="P248" s="7"/>
      <c r="Q248" s="7"/>
      <c r="R248" s="7"/>
      <c r="S248" s="7"/>
      <c r="T248" s="7"/>
      <c r="U248" s="131"/>
      <c r="V248" s="131"/>
      <c r="W248" s="132"/>
      <c r="X248" s="133"/>
      <c r="Y248" s="134"/>
      <c r="Z248" s="134"/>
      <c r="AA248" s="135"/>
      <c r="AB248" s="135"/>
    </row>
    <row r="249" spans="1:28">
      <c r="A249" s="6"/>
      <c r="C249" s="2"/>
      <c r="D249" s="9"/>
      <c r="E249" s="9"/>
      <c r="F249" s="9"/>
      <c r="G249" s="9"/>
      <c r="H249" s="24"/>
      <c r="I249" s="6"/>
      <c r="J249" s="76"/>
      <c r="M249" s="7"/>
      <c r="N249" s="7"/>
      <c r="P249" s="7"/>
      <c r="Q249" s="7"/>
      <c r="R249" s="7"/>
      <c r="S249" s="7"/>
      <c r="T249" s="7"/>
      <c r="U249" s="131"/>
      <c r="V249" s="131"/>
      <c r="W249" s="132"/>
      <c r="X249" s="133"/>
      <c r="Y249" s="134"/>
      <c r="Z249" s="134"/>
      <c r="AA249" s="135"/>
      <c r="AB249" s="135"/>
    </row>
    <row r="250" spans="1:28">
      <c r="A250" s="6"/>
      <c r="C250" s="2"/>
      <c r="D250" s="9"/>
      <c r="E250" s="9"/>
      <c r="F250" s="9"/>
      <c r="G250" s="9"/>
      <c r="H250" s="24"/>
      <c r="I250" s="6"/>
      <c r="J250" s="76"/>
      <c r="M250" s="7"/>
      <c r="N250" s="7"/>
      <c r="P250" s="7"/>
      <c r="Q250" s="7"/>
      <c r="R250" s="7"/>
      <c r="S250" s="7"/>
      <c r="T250" s="7"/>
      <c r="U250" s="131"/>
      <c r="V250" s="131"/>
      <c r="W250" s="132"/>
      <c r="X250" s="133"/>
      <c r="Y250" s="134"/>
      <c r="Z250" s="134"/>
      <c r="AA250" s="135"/>
      <c r="AB250" s="135"/>
    </row>
    <row r="251" spans="1:28">
      <c r="A251" s="6"/>
      <c r="C251" s="2"/>
      <c r="D251" s="9"/>
      <c r="E251" s="9"/>
      <c r="F251" s="9"/>
      <c r="G251" s="9"/>
      <c r="H251" s="24"/>
      <c r="I251" s="6"/>
      <c r="J251" s="76"/>
      <c r="M251" s="7"/>
      <c r="N251" s="7"/>
      <c r="P251" s="7"/>
      <c r="Q251" s="7"/>
      <c r="R251" s="7"/>
      <c r="S251" s="7"/>
      <c r="T251" s="7"/>
      <c r="U251" s="131"/>
      <c r="V251" s="131"/>
      <c r="W251" s="132"/>
      <c r="X251" s="133"/>
      <c r="Y251" s="134"/>
      <c r="Z251" s="134"/>
      <c r="AA251" s="135"/>
      <c r="AB251" s="135"/>
    </row>
    <row r="252" spans="1:28">
      <c r="A252" s="6"/>
      <c r="C252" s="2"/>
      <c r="D252" s="9"/>
      <c r="E252" s="9"/>
      <c r="F252" s="9"/>
      <c r="G252" s="9"/>
      <c r="H252" s="24"/>
      <c r="I252" s="6"/>
      <c r="J252" s="76"/>
      <c r="M252" s="7"/>
      <c r="N252" s="7"/>
      <c r="P252" s="7"/>
      <c r="Q252" s="7"/>
      <c r="R252" s="7"/>
      <c r="S252" s="7"/>
      <c r="T252" s="7"/>
      <c r="U252" s="131"/>
      <c r="V252" s="131"/>
      <c r="W252" s="132"/>
      <c r="X252" s="133"/>
      <c r="Y252" s="134"/>
      <c r="Z252" s="134"/>
      <c r="AA252" s="135"/>
      <c r="AB252" s="135"/>
    </row>
    <row r="253" spans="1:28">
      <c r="A253" s="6"/>
      <c r="C253" s="2"/>
      <c r="D253" s="9"/>
      <c r="E253" s="9"/>
      <c r="F253" s="9"/>
      <c r="G253" s="9"/>
      <c r="H253" s="24"/>
      <c r="I253" s="6"/>
      <c r="J253" s="76"/>
      <c r="M253" s="7"/>
      <c r="N253" s="7"/>
      <c r="P253" s="7"/>
      <c r="Q253" s="7"/>
      <c r="R253" s="7"/>
      <c r="S253" s="7"/>
      <c r="T253" s="7"/>
      <c r="U253" s="131"/>
      <c r="V253" s="131"/>
      <c r="W253" s="132"/>
      <c r="X253" s="133"/>
      <c r="Y253" s="134"/>
      <c r="Z253" s="134"/>
      <c r="AA253" s="135"/>
      <c r="AB253" s="135"/>
    </row>
    <row r="254" spans="1:28">
      <c r="A254" s="6"/>
      <c r="C254" s="2"/>
      <c r="D254" s="9"/>
      <c r="E254" s="9"/>
      <c r="F254" s="9"/>
      <c r="G254" s="9"/>
      <c r="H254" s="9"/>
      <c r="I254" s="6"/>
      <c r="J254" s="76"/>
      <c r="M254" s="7"/>
      <c r="N254" s="7"/>
      <c r="P254" s="7"/>
      <c r="Q254" s="7"/>
      <c r="R254" s="7"/>
      <c r="S254" s="7"/>
      <c r="T254" s="7"/>
      <c r="U254" s="131"/>
      <c r="V254" s="131"/>
      <c r="W254" s="132"/>
      <c r="X254" s="133"/>
      <c r="Y254" s="134"/>
      <c r="Z254" s="134"/>
      <c r="AA254" s="135"/>
      <c r="AB254" s="135"/>
    </row>
    <row r="255" spans="1:28">
      <c r="C255" s="2"/>
      <c r="D255" s="2"/>
      <c r="E255" s="3"/>
      <c r="F255" s="2"/>
      <c r="G255" s="2"/>
      <c r="H255" s="2"/>
      <c r="I255" s="4"/>
      <c r="J255" s="4"/>
      <c r="K255" s="4"/>
      <c r="P255" s="7"/>
      <c r="U255"/>
      <c r="V255"/>
      <c r="W255"/>
      <c r="X255"/>
      <c r="Y255"/>
      <c r="Z255"/>
      <c r="AA255"/>
      <c r="AB255"/>
    </row>
    <row r="256" spans="1:28">
      <c r="C256" s="2" t="s">
        <v>26</v>
      </c>
      <c r="D256" s="2"/>
      <c r="E256" s="3" t="s">
        <v>0</v>
      </c>
      <c r="F256" s="2"/>
      <c r="G256" s="2"/>
      <c r="H256" s="2"/>
      <c r="I256" s="4"/>
      <c r="J256" s="10"/>
      <c r="K256" s="10"/>
      <c r="P256" s="7" t="s">
        <v>271</v>
      </c>
      <c r="U256"/>
      <c r="V256"/>
      <c r="W256"/>
      <c r="X256"/>
      <c r="Y256"/>
      <c r="Z256"/>
      <c r="AA256"/>
      <c r="AB256"/>
    </row>
    <row r="257" spans="1:28">
      <c r="C257" s="2"/>
      <c r="D257" s="9" t="s">
        <v>3</v>
      </c>
      <c r="E257" s="9" t="s">
        <v>27</v>
      </c>
      <c r="F257" s="9"/>
      <c r="G257" s="9"/>
      <c r="H257" s="9"/>
      <c r="I257" s="4"/>
      <c r="K257" s="10"/>
      <c r="L257" s="20"/>
      <c r="N257" s="234"/>
      <c r="O257" s="235"/>
      <c r="P257" s="364" t="str">
        <f>P2</f>
        <v>For the 12 months ended 12/31/12</v>
      </c>
      <c r="U257"/>
      <c r="V257"/>
      <c r="W257"/>
      <c r="X257"/>
      <c r="Y257"/>
      <c r="Z257"/>
      <c r="AA257"/>
      <c r="AB257"/>
    </row>
    <row r="258" spans="1:28" ht="31.5" customHeight="1">
      <c r="A258" s="6"/>
      <c r="C258" s="2"/>
      <c r="D258" s="9"/>
      <c r="E258" s="11" t="str">
        <f>$E$5</f>
        <v>Allete, Inc. dba Minnesota Power</v>
      </c>
      <c r="F258" s="9"/>
      <c r="G258" s="9"/>
      <c r="H258" s="9"/>
      <c r="I258" s="9"/>
      <c r="J258" s="9"/>
      <c r="K258" s="9"/>
      <c r="M258" s="7"/>
      <c r="N258" s="7"/>
      <c r="P258" s="7"/>
      <c r="Q258" s="7"/>
      <c r="R258" s="7"/>
      <c r="S258" s="7"/>
      <c r="T258" s="7"/>
      <c r="U258"/>
      <c r="V258"/>
      <c r="W258"/>
      <c r="X258"/>
      <c r="Y258"/>
      <c r="Z258"/>
      <c r="AA258"/>
      <c r="AB258"/>
    </row>
    <row r="259" spans="1:28" ht="15.75" customHeight="1">
      <c r="A259" s="6"/>
      <c r="C259" s="2"/>
      <c r="D259" s="9"/>
      <c r="E259" s="137"/>
      <c r="F259" s="9"/>
      <c r="G259" s="9"/>
      <c r="H259" s="9"/>
      <c r="I259" s="9"/>
      <c r="J259" s="9"/>
      <c r="K259" s="9"/>
      <c r="M259" s="7"/>
      <c r="N259" s="7"/>
      <c r="P259" s="7"/>
      <c r="Q259" s="7"/>
      <c r="R259" s="7"/>
      <c r="S259" s="7"/>
      <c r="T259" s="7"/>
      <c r="U259"/>
      <c r="V259"/>
      <c r="W259"/>
      <c r="X259"/>
      <c r="Y259"/>
      <c r="Z259"/>
      <c r="AA259"/>
      <c r="AB259"/>
    </row>
    <row r="260" spans="1:28">
      <c r="A260" s="6" t="s">
        <v>1</v>
      </c>
      <c r="D260" s="9"/>
      <c r="F260" s="9"/>
      <c r="G260" s="9"/>
      <c r="H260" s="50" t="s">
        <v>275</v>
      </c>
      <c r="I260" s="106" t="s">
        <v>3</v>
      </c>
      <c r="J260" s="84" t="str">
        <f>+J231</f>
        <v>W&amp;S Allocator</v>
      </c>
      <c r="K260" s="106"/>
      <c r="M260" s="7"/>
      <c r="N260" s="7"/>
      <c r="P260" s="7"/>
      <c r="Q260" s="7"/>
      <c r="R260" s="7"/>
      <c r="S260" s="7"/>
      <c r="T260" s="7"/>
      <c r="U260"/>
      <c r="V260"/>
      <c r="W260"/>
      <c r="X260"/>
      <c r="Y260"/>
      <c r="Z260"/>
      <c r="AA260"/>
      <c r="AB260"/>
    </row>
    <row r="261" spans="1:28" ht="16.5" thickBot="1">
      <c r="A261" s="17" t="s">
        <v>2</v>
      </c>
      <c r="C261" s="2" t="s">
        <v>277</v>
      </c>
      <c r="D261" s="9"/>
      <c r="E261" s="138" t="s">
        <v>256</v>
      </c>
      <c r="H261" s="74" t="s">
        <v>278</v>
      </c>
      <c r="I261" s="106"/>
      <c r="J261" s="74" t="s">
        <v>279</v>
      </c>
      <c r="K261" s="22"/>
      <c r="L261" s="139" t="s">
        <v>136</v>
      </c>
      <c r="M261" s="7"/>
      <c r="N261" s="7"/>
      <c r="P261" s="7"/>
      <c r="Q261" s="7"/>
      <c r="R261" s="7"/>
      <c r="S261" s="7"/>
      <c r="T261" s="7"/>
      <c r="U261"/>
      <c r="V261"/>
      <c r="W261"/>
      <c r="X261"/>
      <c r="Y261"/>
      <c r="Z261"/>
      <c r="AA261"/>
      <c r="AB261"/>
    </row>
    <row r="262" spans="1:28">
      <c r="A262" s="6">
        <v>1</v>
      </c>
      <c r="C262" s="2" t="s">
        <v>281</v>
      </c>
      <c r="D262" s="9" t="s">
        <v>282</v>
      </c>
      <c r="E262" s="24">
        <f>E81</f>
        <v>2809484396</v>
      </c>
      <c r="F262" s="9"/>
      <c r="H262" s="25">
        <f>IF(E265&gt;0,E262/E265,0)</f>
        <v>1</v>
      </c>
      <c r="I262" s="50" t="s">
        <v>283</v>
      </c>
      <c r="J262" s="25">
        <f>J233</f>
        <v>0.13803364648061991</v>
      </c>
      <c r="K262" s="140" t="s">
        <v>266</v>
      </c>
      <c r="L262" s="141">
        <f>H262*J262</f>
        <v>0.13803364648061991</v>
      </c>
      <c r="M262" s="7"/>
      <c r="N262" s="7"/>
      <c r="P262" s="7"/>
      <c r="Q262" s="7"/>
      <c r="R262" s="7"/>
      <c r="S262" s="7"/>
      <c r="T262" s="7"/>
      <c r="U262"/>
      <c r="V262"/>
      <c r="W262"/>
      <c r="X262"/>
      <c r="Y262"/>
      <c r="Z262"/>
      <c r="AA262"/>
      <c r="AB262"/>
    </row>
    <row r="263" spans="1:28">
      <c r="A263" s="6">
        <v>2</v>
      </c>
      <c r="C263" s="2" t="s">
        <v>285</v>
      </c>
      <c r="D263" s="9" t="s">
        <v>286</v>
      </c>
      <c r="E263" s="26">
        <v>0</v>
      </c>
      <c r="F263" s="9"/>
      <c r="L263" s="1"/>
      <c r="M263" s="7"/>
      <c r="N263" s="7"/>
      <c r="P263" s="7"/>
      <c r="Q263" s="7"/>
      <c r="R263" s="7"/>
      <c r="S263" s="7"/>
      <c r="T263" s="7"/>
      <c r="U263"/>
      <c r="V263"/>
      <c r="W263"/>
      <c r="X263"/>
      <c r="Y263"/>
      <c r="Z263"/>
      <c r="AA263"/>
      <c r="AB263"/>
    </row>
    <row r="264" spans="1:28" ht="16.5" thickBot="1">
      <c r="A264" s="6">
        <v>3</v>
      </c>
      <c r="C264" s="142" t="s">
        <v>288</v>
      </c>
      <c r="D264" s="126" t="s">
        <v>289</v>
      </c>
      <c r="E264" s="80">
        <v>0</v>
      </c>
      <c r="F264" s="9"/>
      <c r="G264" s="9"/>
      <c r="H264" s="9" t="s">
        <v>3</v>
      </c>
      <c r="I264" s="9"/>
      <c r="J264" s="9"/>
      <c r="K264" s="9"/>
      <c r="M264" s="124"/>
      <c r="N264" s="124"/>
      <c r="O264" s="46"/>
      <c r="P264" s="29"/>
      <c r="Q264" s="125"/>
      <c r="R264" s="124"/>
      <c r="S264" s="29"/>
      <c r="T264" s="29"/>
      <c r="U264"/>
      <c r="V264"/>
      <c r="W264"/>
      <c r="X264"/>
      <c r="Y264"/>
      <c r="Z264"/>
      <c r="AA264"/>
      <c r="AB264"/>
    </row>
    <row r="265" spans="1:28">
      <c r="A265" s="6">
        <v>4</v>
      </c>
      <c r="C265" s="2" t="s">
        <v>290</v>
      </c>
      <c r="D265" s="9"/>
      <c r="E265" s="24">
        <f>E262+E263+E264</f>
        <v>2809484396</v>
      </c>
      <c r="F265" s="9"/>
      <c r="G265" s="9"/>
      <c r="H265" s="9"/>
      <c r="I265" s="9"/>
      <c r="J265" s="9"/>
      <c r="K265" s="9"/>
      <c r="M265" s="124"/>
      <c r="N265" s="124"/>
      <c r="O265" s="46"/>
      <c r="P265" s="29"/>
      <c r="Q265" s="125"/>
      <c r="R265" s="124"/>
      <c r="S265" s="29"/>
      <c r="T265" s="29"/>
    </row>
    <row r="266" spans="1:28">
      <c r="A266" s="6"/>
      <c r="C266" s="2"/>
      <c r="D266" s="9"/>
      <c r="E266" s="24"/>
      <c r="F266" s="9"/>
      <c r="G266" s="9"/>
      <c r="H266" s="9"/>
      <c r="I266" s="9"/>
      <c r="J266" s="9"/>
      <c r="K266" s="9"/>
    </row>
    <row r="267" spans="1:28" ht="16.5" thickBot="1">
      <c r="A267" s="6"/>
      <c r="B267" s="4"/>
      <c r="C267" s="2" t="s">
        <v>291</v>
      </c>
      <c r="D267" s="9"/>
      <c r="E267" s="9"/>
      <c r="F267" s="9"/>
      <c r="G267" s="9"/>
      <c r="H267" s="9"/>
      <c r="I267" s="9"/>
      <c r="J267" s="127" t="s">
        <v>256</v>
      </c>
      <c r="K267" s="9"/>
    </row>
    <row r="268" spans="1:28">
      <c r="A268" s="6">
        <v>5</v>
      </c>
      <c r="B268" s="4"/>
      <c r="C268" s="4"/>
      <c r="D268" s="9" t="s">
        <v>292</v>
      </c>
      <c r="E268" s="9"/>
      <c r="F268" s="9"/>
      <c r="G268" s="9"/>
      <c r="H268" s="9"/>
      <c r="I268" s="9"/>
      <c r="J268" s="26">
        <v>44518516</v>
      </c>
      <c r="K268" s="9"/>
    </row>
    <row r="269" spans="1:28">
      <c r="A269" s="6"/>
      <c r="C269" s="2"/>
      <c r="D269" s="9"/>
      <c r="E269" s="9"/>
      <c r="F269" s="9"/>
      <c r="G269" s="9"/>
      <c r="H269" s="9"/>
      <c r="I269" s="9"/>
      <c r="J269" s="24"/>
      <c r="K269" s="9"/>
    </row>
    <row r="270" spans="1:28">
      <c r="A270" s="6">
        <v>6</v>
      </c>
      <c r="B270" s="4"/>
      <c r="C270" s="2"/>
      <c r="D270" s="9" t="s">
        <v>293</v>
      </c>
      <c r="E270" s="9"/>
      <c r="F270" s="9"/>
      <c r="G270" s="9"/>
      <c r="H270" s="9"/>
      <c r="I270" s="22"/>
      <c r="J270" s="26">
        <v>0</v>
      </c>
      <c r="K270" s="9"/>
    </row>
    <row r="271" spans="1:28">
      <c r="A271" s="6"/>
      <c r="B271" s="4"/>
      <c r="C271" s="2"/>
      <c r="D271" s="9"/>
      <c r="E271" s="9"/>
      <c r="F271" s="9"/>
      <c r="G271" s="9"/>
      <c r="H271" s="9"/>
      <c r="I271" s="9"/>
      <c r="J271" s="24"/>
      <c r="K271" s="9"/>
    </row>
    <row r="272" spans="1:28">
      <c r="A272" s="6"/>
      <c r="B272" s="4"/>
      <c r="C272" s="2" t="s">
        <v>294</v>
      </c>
      <c r="D272" s="9"/>
      <c r="E272" s="9"/>
      <c r="F272" s="9"/>
      <c r="G272" s="9"/>
      <c r="H272" s="9"/>
      <c r="I272" s="9"/>
      <c r="J272" s="24"/>
      <c r="K272" s="9"/>
    </row>
    <row r="273" spans="1:16">
      <c r="A273" s="6">
        <v>7</v>
      </c>
      <c r="B273" s="4"/>
      <c r="C273" s="2"/>
      <c r="D273" s="9" t="s">
        <v>295</v>
      </c>
      <c r="E273" s="4"/>
      <c r="F273" s="9"/>
      <c r="G273" s="9"/>
      <c r="H273" s="9"/>
      <c r="I273" s="9"/>
      <c r="J273" s="26">
        <v>1200877712</v>
      </c>
      <c r="K273" s="9"/>
    </row>
    <row r="274" spans="1:16">
      <c r="A274" s="6">
        <v>8</v>
      </c>
      <c r="B274" s="4"/>
      <c r="C274" s="2"/>
      <c r="D274" s="9" t="s">
        <v>296</v>
      </c>
      <c r="E274" s="9"/>
      <c r="F274" s="9"/>
      <c r="G274" s="9"/>
      <c r="H274" s="9"/>
      <c r="I274" s="9"/>
      <c r="J274" s="51">
        <v>0</v>
      </c>
      <c r="K274" s="9"/>
    </row>
    <row r="275" spans="1:16" ht="16.5" thickBot="1">
      <c r="A275" s="6">
        <v>9</v>
      </c>
      <c r="B275" s="4"/>
      <c r="C275" s="2"/>
      <c r="D275" s="9" t="s">
        <v>297</v>
      </c>
      <c r="E275" s="9"/>
      <c r="F275" s="9"/>
      <c r="G275" s="9"/>
      <c r="H275" s="9"/>
      <c r="I275" s="9"/>
      <c r="J275" s="80">
        <v>-44509836</v>
      </c>
      <c r="K275" s="9"/>
    </row>
    <row r="276" spans="1:16">
      <c r="A276" s="6">
        <v>10</v>
      </c>
      <c r="B276" s="4"/>
      <c r="C276" s="4"/>
      <c r="D276" s="9" t="s">
        <v>298</v>
      </c>
      <c r="E276" s="4" t="s">
        <v>299</v>
      </c>
      <c r="F276" s="4"/>
      <c r="G276" s="4"/>
      <c r="H276" s="4"/>
      <c r="I276" s="4"/>
      <c r="J276" s="24">
        <f>+J273+J274+J275</f>
        <v>1156367876</v>
      </c>
      <c r="K276" s="143" t="s">
        <v>300</v>
      </c>
    </row>
    <row r="277" spans="1:16">
      <c r="A277" s="6"/>
      <c r="C277" s="2"/>
      <c r="D277" s="9"/>
      <c r="E277" s="9"/>
      <c r="F277" s="9"/>
      <c r="G277" s="9"/>
      <c r="H277" s="50" t="s">
        <v>301</v>
      </c>
      <c r="I277" s="9"/>
      <c r="J277" s="9"/>
      <c r="K277" s="9"/>
    </row>
    <row r="278" spans="1:16" ht="16.5" thickBot="1">
      <c r="A278" s="6"/>
      <c r="C278" s="2"/>
      <c r="D278" s="9"/>
      <c r="E278" s="17" t="s">
        <v>256</v>
      </c>
      <c r="F278" s="17" t="s">
        <v>302</v>
      </c>
      <c r="G278" s="9"/>
      <c r="H278" s="17" t="s">
        <v>303</v>
      </c>
      <c r="I278" s="9"/>
      <c r="J278" s="17" t="s">
        <v>304</v>
      </c>
      <c r="K278" s="9"/>
    </row>
    <row r="279" spans="1:16">
      <c r="A279" s="6">
        <v>11</v>
      </c>
      <c r="C279" s="2" t="s">
        <v>305</v>
      </c>
      <c r="E279" s="26">
        <v>970805000</v>
      </c>
      <c r="F279" s="144">
        <f>IF($E$282&gt;0,E279/$E$282,0)</f>
        <v>0.45638274676834495</v>
      </c>
      <c r="G279" s="145"/>
      <c r="H279" s="145">
        <v>4.5900000000000003E-2</v>
      </c>
      <c r="J279" s="145">
        <f>H279*F279</f>
        <v>2.0947968076667035E-2</v>
      </c>
      <c r="K279" s="45"/>
    </row>
    <row r="280" spans="1:16">
      <c r="A280" s="6">
        <v>12</v>
      </c>
      <c r="C280" s="2" t="s">
        <v>306</v>
      </c>
      <c r="E280" s="26">
        <v>0</v>
      </c>
      <c r="F280" s="144">
        <f>IF($E$282&gt;0,E280/$E$282,0)</f>
        <v>0</v>
      </c>
      <c r="G280" s="145"/>
      <c r="H280" s="145">
        <f>IF(E280&gt;0,J270/E280,0)</f>
        <v>0</v>
      </c>
      <c r="J280" s="145">
        <f>H280*F280</f>
        <v>0</v>
      </c>
      <c r="K280" s="45"/>
    </row>
    <row r="281" spans="1:16" ht="16.5" thickBot="1">
      <c r="A281" s="6">
        <v>13</v>
      </c>
      <c r="C281" s="2" t="s">
        <v>307</v>
      </c>
      <c r="E281" s="30">
        <f>J276</f>
        <v>1156367876</v>
      </c>
      <c r="F281" s="144">
        <f>IF($E$282&gt;0,E281/$E$282,0)</f>
        <v>0.54361725323165511</v>
      </c>
      <c r="G281" s="145"/>
      <c r="H281" s="182">
        <v>0.12379999999999999</v>
      </c>
      <c r="J281" s="146">
        <f>H281*F281</f>
        <v>6.7299815950078903E-2</v>
      </c>
      <c r="K281" s="45"/>
    </row>
    <row r="282" spans="1:16">
      <c r="A282" s="6">
        <v>14</v>
      </c>
      <c r="C282" s="2" t="s">
        <v>308</v>
      </c>
      <c r="E282" s="24">
        <f>E281+E280+E279</f>
        <v>2127172876</v>
      </c>
      <c r="F282" s="9" t="s">
        <v>3</v>
      </c>
      <c r="G282" s="9"/>
      <c r="H282" s="9"/>
      <c r="I282" s="9"/>
      <c r="J282" s="145">
        <f>SUM(J279:J281)</f>
        <v>8.8247784026745935E-2</v>
      </c>
      <c r="K282" s="101" t="s">
        <v>309</v>
      </c>
    </row>
    <row r="283" spans="1:16">
      <c r="F283" s="9"/>
      <c r="G283" s="9"/>
      <c r="H283" s="9"/>
      <c r="I283" s="9"/>
      <c r="K283" s="147"/>
    </row>
    <row r="284" spans="1:16">
      <c r="A284" s="6"/>
      <c r="K284" s="148"/>
    </row>
    <row r="285" spans="1:16">
      <c r="A285" s="6"/>
      <c r="C285" s="2" t="s">
        <v>310</v>
      </c>
      <c r="D285" s="4"/>
      <c r="E285" s="4"/>
      <c r="F285" s="4"/>
      <c r="G285" s="4"/>
      <c r="H285" s="4"/>
      <c r="I285" s="4"/>
      <c r="J285" s="4"/>
      <c r="K285" s="149"/>
    </row>
    <row r="286" spans="1:16" ht="16.5" thickBot="1">
      <c r="A286" s="6"/>
      <c r="C286" s="2"/>
      <c r="D286" s="2"/>
      <c r="E286" s="2"/>
      <c r="F286" s="2"/>
      <c r="G286" s="2"/>
      <c r="H286" s="2"/>
      <c r="I286" s="2"/>
      <c r="J286" s="17" t="s">
        <v>311</v>
      </c>
      <c r="K286" s="150"/>
    </row>
    <row r="287" spans="1:16">
      <c r="A287" s="6"/>
      <c r="C287" s="2" t="s">
        <v>312</v>
      </c>
      <c r="D287" s="4"/>
      <c r="E287" s="4" t="s">
        <v>313</v>
      </c>
      <c r="F287" s="4" t="s">
        <v>314</v>
      </c>
      <c r="G287" s="4"/>
      <c r="H287" s="4" t="s">
        <v>3</v>
      </c>
      <c r="J287" s="148"/>
      <c r="K287" s="149"/>
      <c r="M287" s="151"/>
      <c r="N287" s="151"/>
      <c r="O287" s="152"/>
      <c r="P287" s="151"/>
    </row>
    <row r="288" spans="1:16">
      <c r="A288" s="6">
        <v>15</v>
      </c>
      <c r="C288" s="1" t="s">
        <v>315</v>
      </c>
      <c r="D288" s="4"/>
      <c r="E288" s="4"/>
      <c r="G288" s="4"/>
      <c r="J288" s="153">
        <v>0</v>
      </c>
      <c r="K288" s="148"/>
      <c r="M288" s="151"/>
      <c r="N288" s="151"/>
      <c r="O288" s="152"/>
      <c r="P288" s="151"/>
    </row>
    <row r="289" spans="1:20" ht="16.5" thickBot="1">
      <c r="A289" s="6">
        <v>16</v>
      </c>
      <c r="C289" s="94" t="s">
        <v>316</v>
      </c>
      <c r="D289" s="154"/>
      <c r="E289" s="94"/>
      <c r="F289" s="154"/>
      <c r="G289" s="154"/>
      <c r="H289" s="154"/>
      <c r="I289" s="4"/>
      <c r="J289" s="155">
        <v>0</v>
      </c>
      <c r="K289" s="148"/>
      <c r="N289" s="156"/>
      <c r="O289" s="157"/>
      <c r="P289" s="151"/>
    </row>
    <row r="290" spans="1:20">
      <c r="A290" s="6">
        <v>17</v>
      </c>
      <c r="C290" s="1" t="s">
        <v>317</v>
      </c>
      <c r="D290" s="4"/>
      <c r="F290" s="4"/>
      <c r="G290" s="4"/>
      <c r="H290" s="4"/>
      <c r="I290" s="4"/>
      <c r="J290" s="158">
        <f>+J288-J289</f>
        <v>0</v>
      </c>
      <c r="K290" s="148"/>
      <c r="N290" s="159"/>
      <c r="O290" s="159"/>
      <c r="P290" s="151"/>
    </row>
    <row r="291" spans="1:20">
      <c r="A291" s="6"/>
      <c r="C291" s="1" t="s">
        <v>3</v>
      </c>
      <c r="D291" s="4"/>
      <c r="F291" s="4"/>
      <c r="G291" s="4"/>
      <c r="H291" s="160"/>
      <c r="I291" s="4"/>
      <c r="J291" s="158" t="s">
        <v>3</v>
      </c>
      <c r="N291" s="159"/>
      <c r="O291" s="159"/>
      <c r="P291" s="151"/>
    </row>
    <row r="292" spans="1:20">
      <c r="A292" s="6">
        <v>18</v>
      </c>
      <c r="C292" s="2" t="s">
        <v>318</v>
      </c>
      <c r="D292" s="4"/>
      <c r="F292" s="4"/>
      <c r="G292" s="4"/>
      <c r="H292" s="52"/>
      <c r="I292" s="4"/>
      <c r="J292" s="161">
        <v>620067</v>
      </c>
      <c r="K292" s="162"/>
      <c r="N292" s="156"/>
      <c r="O292" s="157"/>
      <c r="P292" s="151"/>
      <c r="T292" s="163" t="s">
        <v>319</v>
      </c>
    </row>
    <row r="293" spans="1:20">
      <c r="A293" s="6"/>
      <c r="D293" s="4"/>
      <c r="E293" s="4"/>
      <c r="F293" s="4"/>
      <c r="G293" s="4"/>
      <c r="H293" s="4"/>
      <c r="I293" s="4"/>
      <c r="J293" s="158"/>
      <c r="N293" s="156"/>
      <c r="O293" s="157"/>
      <c r="P293" s="151"/>
      <c r="T293" s="164"/>
    </row>
    <row r="294" spans="1:20">
      <c r="C294" s="2" t="s">
        <v>320</v>
      </c>
      <c r="D294" s="4"/>
      <c r="E294" s="4" t="s">
        <v>321</v>
      </c>
      <c r="F294" s="4"/>
      <c r="G294" s="4"/>
      <c r="H294" s="4"/>
      <c r="I294" s="4"/>
      <c r="J294" s="24"/>
      <c r="K294" s="162"/>
      <c r="N294" s="151"/>
      <c r="O294" s="152"/>
      <c r="P294" s="151"/>
      <c r="T294" s="164"/>
    </row>
    <row r="295" spans="1:20">
      <c r="A295" s="6">
        <v>19</v>
      </c>
      <c r="C295" s="2" t="s">
        <v>322</v>
      </c>
      <c r="D295" s="9"/>
      <c r="E295" s="9"/>
      <c r="F295" s="9"/>
      <c r="G295" s="9"/>
      <c r="H295" s="9"/>
      <c r="I295" s="9"/>
      <c r="J295" s="165">
        <v>42700423</v>
      </c>
      <c r="K295" s="162"/>
      <c r="N295" s="151"/>
      <c r="O295" s="152"/>
      <c r="P295" s="151"/>
      <c r="T295" s="163" t="s">
        <v>323</v>
      </c>
    </row>
    <row r="296" spans="1:20">
      <c r="A296" s="6">
        <v>20</v>
      </c>
      <c r="C296" s="166" t="s">
        <v>324</v>
      </c>
      <c r="D296" s="167"/>
      <c r="E296" s="167"/>
      <c r="F296" s="167"/>
      <c r="G296" s="167"/>
      <c r="H296" s="4"/>
      <c r="I296" s="4"/>
      <c r="J296" s="165">
        <v>20787075</v>
      </c>
      <c r="K296" s="162"/>
      <c r="N296" s="151"/>
      <c r="O296" s="152"/>
      <c r="P296" s="151"/>
      <c r="T296" s="163" t="s">
        <v>325</v>
      </c>
    </row>
    <row r="297" spans="1:20">
      <c r="A297" s="63" t="s">
        <v>326</v>
      </c>
      <c r="C297" s="231" t="s">
        <v>439</v>
      </c>
      <c r="D297" s="167"/>
      <c r="E297" s="167"/>
      <c r="F297" s="167"/>
      <c r="G297" s="167"/>
      <c r="H297" s="4"/>
      <c r="I297" s="4"/>
      <c r="J297" s="165">
        <v>16557251</v>
      </c>
      <c r="K297" s="162"/>
      <c r="N297" s="151"/>
      <c r="O297" s="152"/>
      <c r="P297" s="151"/>
      <c r="T297" s="163"/>
    </row>
    <row r="298" spans="1:20" ht="16.5" thickBot="1">
      <c r="A298" s="63" t="s">
        <v>427</v>
      </c>
      <c r="C298" s="168" t="s">
        <v>428</v>
      </c>
      <c r="D298" s="246"/>
      <c r="E298" s="9"/>
      <c r="F298" s="9"/>
      <c r="G298" s="9"/>
      <c r="H298" s="9"/>
      <c r="I298" s="4"/>
      <c r="J298" s="169">
        <v>0</v>
      </c>
      <c r="K298" s="22"/>
      <c r="M298" s="151"/>
      <c r="N298" s="151"/>
      <c r="O298" s="152"/>
      <c r="P298" s="151"/>
    </row>
    <row r="299" spans="1:20">
      <c r="A299" s="6">
        <v>21</v>
      </c>
      <c r="C299" s="1" t="s">
        <v>429</v>
      </c>
      <c r="D299" s="6"/>
      <c r="E299" s="9"/>
      <c r="F299" s="9"/>
      <c r="G299" s="9"/>
      <c r="H299" s="9"/>
      <c r="I299" s="4"/>
      <c r="J299" s="170">
        <f>+J295-J296-J297-J298</f>
        <v>5356097</v>
      </c>
      <c r="K299" s="9"/>
    </row>
    <row r="300" spans="1:20">
      <c r="A300" s="6"/>
      <c r="D300" s="6"/>
      <c r="E300" s="9"/>
      <c r="F300" s="9"/>
      <c r="G300" s="9"/>
      <c r="H300" s="9"/>
      <c r="I300" s="4"/>
      <c r="J300" s="170"/>
      <c r="K300" s="9"/>
    </row>
    <row r="301" spans="1:20">
      <c r="A301" s="6"/>
      <c r="D301" s="6"/>
      <c r="E301" s="9"/>
      <c r="F301" s="9"/>
      <c r="G301" s="9"/>
      <c r="H301" s="9"/>
      <c r="I301" s="4"/>
      <c r="J301" s="170"/>
      <c r="K301" s="9"/>
    </row>
    <row r="302" spans="1:20">
      <c r="A302" s="6"/>
      <c r="D302" s="6"/>
      <c r="E302" s="9"/>
      <c r="F302" s="9"/>
      <c r="G302" s="9"/>
      <c r="H302" s="9"/>
      <c r="I302" s="4"/>
      <c r="J302" s="170"/>
      <c r="K302" s="9"/>
    </row>
    <row r="303" spans="1:20">
      <c r="A303" s="6"/>
      <c r="D303" s="6"/>
      <c r="E303" s="9"/>
      <c r="F303" s="9"/>
      <c r="G303" s="9"/>
      <c r="H303" s="9"/>
      <c r="I303" s="4"/>
      <c r="J303" s="170"/>
      <c r="K303" s="9"/>
    </row>
    <row r="304" spans="1:20">
      <c r="A304" s="6"/>
      <c r="D304" s="6"/>
      <c r="E304" s="9"/>
      <c r="F304" s="9"/>
      <c r="G304" s="9"/>
      <c r="H304" s="9"/>
      <c r="I304" s="4"/>
      <c r="J304" s="170"/>
      <c r="K304" s="9"/>
    </row>
    <row r="305" spans="1:16">
      <c r="A305" s="6"/>
      <c r="D305" s="6"/>
      <c r="E305" s="9"/>
      <c r="F305" s="9"/>
      <c r="G305" s="9"/>
      <c r="H305" s="9"/>
      <c r="I305" s="4"/>
      <c r="J305" s="170"/>
      <c r="K305" s="9"/>
    </row>
    <row r="306" spans="1:16">
      <c r="A306" s="6"/>
      <c r="D306" s="6"/>
      <c r="E306" s="9"/>
      <c r="F306" s="9"/>
      <c r="G306" s="9"/>
      <c r="H306" s="9"/>
      <c r="I306" s="4"/>
      <c r="J306" s="170"/>
      <c r="K306" s="9"/>
    </row>
    <row r="307" spans="1:16">
      <c r="A307" s="6"/>
      <c r="D307" s="6"/>
      <c r="E307" s="9"/>
      <c r="F307" s="9"/>
      <c r="G307" s="9"/>
      <c r="H307" s="9"/>
      <c r="I307" s="4"/>
      <c r="J307" s="170"/>
      <c r="K307" s="9"/>
    </row>
    <row r="308" spans="1:16">
      <c r="A308" s="6"/>
      <c r="D308" s="6"/>
      <c r="E308" s="9"/>
      <c r="F308" s="9"/>
      <c r="G308" s="9"/>
      <c r="H308" s="9"/>
      <c r="I308" s="4"/>
      <c r="J308" s="170"/>
      <c r="K308" s="9"/>
    </row>
    <row r="309" spans="1:16">
      <c r="A309" s="6"/>
      <c r="D309" s="6"/>
      <c r="E309" s="9"/>
      <c r="F309" s="9"/>
      <c r="G309" s="9"/>
      <c r="H309" s="9"/>
      <c r="I309" s="4"/>
      <c r="J309" s="170"/>
      <c r="K309" s="9"/>
    </row>
    <row r="310" spans="1:16">
      <c r="A310" s="6"/>
      <c r="D310" s="6"/>
      <c r="E310" s="9"/>
      <c r="F310" s="9"/>
      <c r="G310" s="9"/>
      <c r="H310" s="9"/>
      <c r="I310" s="4"/>
      <c r="J310" s="170"/>
      <c r="K310" s="9"/>
    </row>
    <row r="311" spans="1:16">
      <c r="A311" s="6"/>
      <c r="D311" s="6"/>
      <c r="E311" s="9"/>
      <c r="F311" s="9"/>
      <c r="G311" s="9"/>
      <c r="H311" s="9"/>
      <c r="I311" s="4"/>
      <c r="J311" s="170"/>
      <c r="K311" s="9"/>
    </row>
    <row r="312" spans="1:16">
      <c r="A312" s="6"/>
      <c r="D312" s="6"/>
      <c r="E312" s="9"/>
      <c r="F312" s="9"/>
      <c r="G312" s="9"/>
      <c r="H312" s="9"/>
      <c r="I312" s="4"/>
      <c r="J312" s="170"/>
      <c r="K312" s="9"/>
    </row>
    <row r="313" spans="1:16">
      <c r="A313" s="6"/>
      <c r="D313" s="6"/>
      <c r="E313" s="9"/>
      <c r="F313" s="9"/>
      <c r="G313" s="9"/>
      <c r="H313" s="9"/>
      <c r="I313" s="4"/>
      <c r="J313" s="170"/>
      <c r="K313" s="9"/>
    </row>
    <row r="314" spans="1:16">
      <c r="A314" s="6"/>
      <c r="D314" s="6"/>
      <c r="E314" s="9"/>
      <c r="F314" s="9"/>
      <c r="G314" s="9"/>
      <c r="H314" s="9"/>
      <c r="I314" s="4"/>
      <c r="J314" s="170"/>
      <c r="K314" s="9"/>
    </row>
    <row r="315" spans="1:16">
      <c r="A315" s="6"/>
      <c r="D315" s="6"/>
      <c r="E315" s="9"/>
      <c r="F315" s="9"/>
      <c r="G315" s="9"/>
      <c r="H315" s="9"/>
      <c r="I315" s="4"/>
      <c r="J315" s="170"/>
      <c r="K315" s="9"/>
    </row>
    <row r="316" spans="1:16">
      <c r="A316" s="6"/>
      <c r="D316" s="6"/>
      <c r="E316" s="9"/>
      <c r="F316" s="9"/>
      <c r="G316" s="9"/>
      <c r="H316" s="9"/>
      <c r="I316" s="4"/>
      <c r="J316" s="170"/>
      <c r="K316" s="9"/>
    </row>
    <row r="317" spans="1:16" s="45" customFormat="1">
      <c r="A317" s="6"/>
      <c r="B317" s="1"/>
      <c r="C317" s="171"/>
      <c r="D317" s="10"/>
      <c r="E317" s="65"/>
      <c r="F317" s="65"/>
      <c r="G317" s="65"/>
      <c r="H317" s="65"/>
      <c r="I317" s="65"/>
      <c r="J317" s="170"/>
      <c r="K317" s="65"/>
      <c r="L317" s="20"/>
      <c r="O317" s="20"/>
    </row>
    <row r="318" spans="1:16">
      <c r="C318" s="2"/>
      <c r="D318" s="2"/>
      <c r="E318" s="3" t="s">
        <v>0</v>
      </c>
      <c r="F318" s="2"/>
      <c r="G318" s="2"/>
      <c r="H318" s="2"/>
      <c r="I318" s="4"/>
      <c r="K318" s="236"/>
      <c r="L318" s="20"/>
      <c r="P318" s="7"/>
    </row>
    <row r="319" spans="1:16">
      <c r="C319" s="2" t="s">
        <v>26</v>
      </c>
      <c r="D319" s="2"/>
      <c r="E319" s="9" t="s">
        <v>27</v>
      </c>
      <c r="F319" s="2"/>
      <c r="G319" s="2"/>
      <c r="H319" s="2"/>
      <c r="I319" s="4"/>
      <c r="J319" s="8"/>
      <c r="K319" s="4"/>
      <c r="P319" s="7" t="s">
        <v>327</v>
      </c>
    </row>
    <row r="320" spans="1:16" ht="31.5">
      <c r="D320" s="9" t="s">
        <v>3</v>
      </c>
      <c r="E320" s="66" t="str">
        <f>E5</f>
        <v>Allete, Inc. dba Minnesota Power</v>
      </c>
      <c r="F320" s="9"/>
      <c r="G320" s="9"/>
      <c r="H320" s="9"/>
      <c r="I320" s="4"/>
      <c r="J320" s="10"/>
      <c r="K320" s="148"/>
      <c r="L320" s="20"/>
      <c r="N320" s="234"/>
      <c r="O320" s="235"/>
      <c r="P320" s="364" t="str">
        <f>P2</f>
        <v>For the 12 months ended 12/31/12</v>
      </c>
    </row>
    <row r="321" spans="1:16">
      <c r="C321" s="2"/>
      <c r="D321" s="6"/>
      <c r="F321" s="9"/>
      <c r="G321" s="9"/>
      <c r="H321" s="9"/>
      <c r="I321" s="4"/>
      <c r="J321" s="4"/>
      <c r="K321" s="4"/>
    </row>
    <row r="322" spans="1:16">
      <c r="A322" s="6"/>
      <c r="B322" s="4"/>
      <c r="C322" s="2" t="s">
        <v>328</v>
      </c>
      <c r="D322" s="6"/>
      <c r="E322" s="9"/>
      <c r="F322" s="9"/>
      <c r="G322" s="9"/>
      <c r="H322" s="9"/>
      <c r="I322" s="4"/>
      <c r="J322" s="9"/>
      <c r="K322" s="10"/>
    </row>
    <row r="323" spans="1:16">
      <c r="A323" s="6"/>
      <c r="B323" s="4"/>
      <c r="C323" s="2" t="s">
        <v>329</v>
      </c>
      <c r="D323" s="4"/>
      <c r="E323" s="9"/>
      <c r="F323" s="9"/>
      <c r="G323" s="9"/>
      <c r="H323" s="9"/>
      <c r="I323" s="4"/>
      <c r="J323" s="9"/>
      <c r="K323" s="10"/>
    </row>
    <row r="324" spans="1:16">
      <c r="A324" s="6" t="s">
        <v>16</v>
      </c>
      <c r="B324" s="4"/>
      <c r="C324" s="2"/>
      <c r="D324" s="4"/>
      <c r="E324" s="9"/>
      <c r="F324" s="9"/>
      <c r="G324" s="9"/>
      <c r="H324" s="9"/>
      <c r="I324" s="4"/>
      <c r="J324" s="9"/>
      <c r="K324" s="10"/>
    </row>
    <row r="325" spans="1:16" s="175" customFormat="1" ht="16.5" thickBot="1">
      <c r="A325" s="17" t="s">
        <v>17</v>
      </c>
      <c r="B325" s="4"/>
      <c r="C325" s="2"/>
      <c r="D325" s="172"/>
      <c r="E325" s="173"/>
      <c r="F325" s="173"/>
      <c r="G325" s="173"/>
      <c r="H325" s="173"/>
      <c r="I325" s="172"/>
      <c r="J325" s="9"/>
      <c r="K325" s="172"/>
      <c r="L325" s="174"/>
      <c r="O325" s="174"/>
    </row>
    <row r="326" spans="1:16" s="175" customFormat="1">
      <c r="A326" s="6" t="s">
        <v>18</v>
      </c>
      <c r="B326" s="4"/>
      <c r="C326" s="64" t="s">
        <v>404</v>
      </c>
      <c r="D326" s="10"/>
      <c r="E326" s="22"/>
      <c r="F326" s="22"/>
      <c r="G326" s="22"/>
      <c r="H326" s="22"/>
      <c r="I326" s="10"/>
      <c r="J326" s="22"/>
      <c r="K326" s="10"/>
      <c r="L326" s="7"/>
      <c r="M326" s="1"/>
      <c r="N326" s="1"/>
      <c r="O326" s="7"/>
      <c r="P326" s="1"/>
    </row>
    <row r="327" spans="1:16" s="175" customFormat="1">
      <c r="A327" s="6" t="s">
        <v>19</v>
      </c>
      <c r="B327" s="4"/>
      <c r="C327" s="64" t="s">
        <v>405</v>
      </c>
      <c r="D327" s="10"/>
      <c r="E327" s="10"/>
      <c r="F327" s="10"/>
      <c r="G327" s="10"/>
      <c r="H327" s="10"/>
      <c r="I327" s="10"/>
      <c r="J327" s="22"/>
      <c r="K327" s="10"/>
      <c r="L327" s="7"/>
      <c r="M327" s="1"/>
      <c r="N327" s="1"/>
      <c r="O327" s="7"/>
      <c r="P327" s="1"/>
    </row>
    <row r="328" spans="1:16" s="175" customFormat="1">
      <c r="A328" s="6" t="s">
        <v>20</v>
      </c>
      <c r="B328" s="4"/>
      <c r="C328" s="64" t="s">
        <v>406</v>
      </c>
      <c r="D328" s="10"/>
      <c r="E328" s="10"/>
      <c r="F328" s="10"/>
      <c r="G328" s="10"/>
      <c r="H328" s="10"/>
      <c r="I328" s="10"/>
      <c r="J328" s="22"/>
      <c r="K328" s="10"/>
      <c r="L328" s="7"/>
      <c r="M328" s="1"/>
      <c r="N328" s="1"/>
      <c r="O328" s="7"/>
      <c r="P328" s="1"/>
    </row>
    <row r="329" spans="1:16" s="175" customFormat="1">
      <c r="A329" s="6" t="s">
        <v>21</v>
      </c>
      <c r="B329" s="4"/>
      <c r="C329" s="64" t="s">
        <v>406</v>
      </c>
      <c r="D329" s="10"/>
      <c r="E329" s="10"/>
      <c r="F329" s="10"/>
      <c r="G329" s="10"/>
      <c r="H329" s="10"/>
      <c r="I329" s="10"/>
      <c r="J329" s="22"/>
      <c r="K329" s="10"/>
      <c r="L329" s="7"/>
      <c r="M329" s="1"/>
      <c r="N329" s="1"/>
      <c r="O329" s="7"/>
      <c r="P329" s="1"/>
    </row>
    <row r="330" spans="1:16" s="175" customFormat="1">
      <c r="A330" s="6" t="s">
        <v>22</v>
      </c>
      <c r="B330" s="4"/>
      <c r="C330" s="10" t="s">
        <v>330</v>
      </c>
      <c r="D330" s="10"/>
      <c r="E330" s="10"/>
      <c r="F330" s="10"/>
      <c r="G330" s="10"/>
      <c r="H330" s="10"/>
      <c r="I330" s="10"/>
      <c r="J330" s="10"/>
      <c r="K330" s="10"/>
      <c r="L330" s="7"/>
      <c r="M330" s="1"/>
      <c r="N330" s="1"/>
      <c r="O330" s="7"/>
      <c r="P330" s="1"/>
    </row>
    <row r="331" spans="1:16" s="175" customFormat="1">
      <c r="A331" s="6" t="s">
        <v>23</v>
      </c>
      <c r="B331" s="4"/>
      <c r="C331" s="10" t="s">
        <v>331</v>
      </c>
      <c r="D331" s="10"/>
      <c r="E331" s="10"/>
      <c r="F331" s="10"/>
      <c r="G331" s="10"/>
      <c r="H331" s="10"/>
      <c r="I331" s="10"/>
      <c r="J331" s="10"/>
      <c r="K331" s="10"/>
      <c r="L331" s="7"/>
      <c r="M331" s="1"/>
      <c r="N331" s="1"/>
      <c r="O331" s="7"/>
      <c r="P331" s="1"/>
    </row>
    <row r="332" spans="1:16" s="175" customFormat="1">
      <c r="A332" s="6"/>
      <c r="B332" s="4"/>
      <c r="C332" s="10" t="s">
        <v>332</v>
      </c>
      <c r="D332" s="10"/>
      <c r="E332" s="10"/>
      <c r="F332" s="10"/>
      <c r="G332" s="10"/>
      <c r="H332" s="10"/>
      <c r="I332" s="10"/>
      <c r="J332" s="10"/>
      <c r="K332" s="10"/>
      <c r="L332" s="7"/>
      <c r="M332" s="1"/>
      <c r="N332" s="1"/>
      <c r="O332" s="7"/>
      <c r="P332" s="1"/>
    </row>
    <row r="333" spans="1:16" s="175" customFormat="1">
      <c r="A333" s="6"/>
      <c r="B333" s="4"/>
      <c r="C333" s="10" t="s">
        <v>333</v>
      </c>
      <c r="D333" s="10"/>
      <c r="E333" s="10"/>
      <c r="F333" s="10"/>
      <c r="G333" s="10"/>
      <c r="H333" s="10"/>
      <c r="I333" s="10"/>
      <c r="J333" s="10"/>
      <c r="K333" s="10"/>
      <c r="L333" s="7"/>
      <c r="M333" s="1"/>
      <c r="N333" s="1"/>
      <c r="O333" s="7"/>
      <c r="P333" s="1"/>
    </row>
    <row r="334" spans="1:16" s="175" customFormat="1">
      <c r="A334" s="6" t="s">
        <v>24</v>
      </c>
      <c r="B334" s="4"/>
      <c r="C334" s="10" t="s">
        <v>334</v>
      </c>
      <c r="D334" s="10"/>
      <c r="E334" s="10"/>
      <c r="F334" s="10"/>
      <c r="G334" s="10"/>
      <c r="H334" s="10"/>
      <c r="I334" s="10"/>
      <c r="J334" s="10"/>
      <c r="K334" s="10"/>
      <c r="L334" s="7"/>
      <c r="M334" s="1"/>
      <c r="N334" s="1"/>
      <c r="O334" s="7"/>
      <c r="P334" s="1"/>
    </row>
    <row r="335" spans="1:16" s="175" customFormat="1">
      <c r="A335" s="6" t="s">
        <v>335</v>
      </c>
      <c r="B335" s="4"/>
      <c r="C335" s="10" t="s">
        <v>336</v>
      </c>
      <c r="D335" s="10"/>
      <c r="E335" s="10"/>
      <c r="F335" s="10"/>
      <c r="G335" s="10"/>
      <c r="H335" s="10"/>
      <c r="I335" s="10"/>
      <c r="J335" s="10"/>
      <c r="K335" s="10"/>
      <c r="L335" s="7"/>
      <c r="M335" s="1"/>
      <c r="N335" s="1"/>
      <c r="O335" s="7"/>
      <c r="P335" s="1"/>
    </row>
    <row r="336" spans="1:16" s="175" customFormat="1">
      <c r="A336" s="6"/>
      <c r="B336" s="4"/>
      <c r="C336" s="10" t="s">
        <v>337</v>
      </c>
      <c r="D336" s="10"/>
      <c r="E336" s="10"/>
      <c r="F336" s="10"/>
      <c r="G336" s="10"/>
      <c r="H336" s="10"/>
      <c r="I336" s="10"/>
      <c r="J336" s="10"/>
      <c r="K336" s="10"/>
      <c r="L336" s="7"/>
      <c r="M336" s="1"/>
      <c r="N336" s="1"/>
      <c r="O336" s="7"/>
      <c r="P336" s="1"/>
    </row>
    <row r="337" spans="1:18" s="175" customFormat="1">
      <c r="A337" s="6" t="s">
        <v>338</v>
      </c>
      <c r="B337" s="4"/>
      <c r="C337" s="10" t="s">
        <v>339</v>
      </c>
      <c r="D337" s="10"/>
      <c r="E337" s="10"/>
      <c r="F337" s="10"/>
      <c r="G337" s="10"/>
      <c r="H337" s="10"/>
      <c r="I337" s="10"/>
      <c r="J337" s="10"/>
      <c r="K337" s="10"/>
      <c r="L337" s="7"/>
      <c r="M337" s="1"/>
      <c r="N337" s="1"/>
      <c r="O337" s="7"/>
      <c r="P337" s="1"/>
    </row>
    <row r="338" spans="1:18" s="175" customFormat="1">
      <c r="A338" s="6"/>
      <c r="B338" s="4"/>
      <c r="C338" s="45" t="s">
        <v>340</v>
      </c>
      <c r="D338" s="10"/>
      <c r="E338" s="10"/>
      <c r="F338" s="10"/>
      <c r="G338" s="10"/>
      <c r="H338" s="10"/>
      <c r="I338" s="10"/>
      <c r="J338" s="10"/>
      <c r="K338" s="10"/>
      <c r="L338" s="7"/>
      <c r="M338" s="1"/>
      <c r="N338" s="1"/>
      <c r="O338" s="7"/>
      <c r="P338" s="1"/>
    </row>
    <row r="339" spans="1:18" s="175" customFormat="1">
      <c r="A339" s="6"/>
      <c r="B339" s="4"/>
      <c r="C339" s="10" t="s">
        <v>341</v>
      </c>
      <c r="D339" s="10"/>
      <c r="E339" s="10"/>
      <c r="F339" s="10"/>
      <c r="G339" s="10"/>
      <c r="H339" s="10"/>
      <c r="I339" s="10"/>
      <c r="J339" s="10"/>
      <c r="K339" s="10"/>
      <c r="L339" s="7"/>
      <c r="M339" s="1"/>
      <c r="N339" s="1"/>
      <c r="O339" s="7"/>
      <c r="P339" s="1"/>
    </row>
    <row r="340" spans="1:18" s="175" customFormat="1">
      <c r="A340" s="6" t="s">
        <v>342</v>
      </c>
      <c r="B340" s="4"/>
      <c r="C340" s="10" t="s">
        <v>343</v>
      </c>
      <c r="D340" s="10"/>
      <c r="E340" s="10"/>
      <c r="F340" s="10"/>
      <c r="G340" s="10"/>
      <c r="H340" s="10"/>
      <c r="I340" s="10"/>
      <c r="J340" s="10"/>
      <c r="K340" s="10"/>
      <c r="L340" s="7"/>
      <c r="M340" s="1"/>
      <c r="N340" s="1"/>
      <c r="O340" s="7"/>
      <c r="P340" s="1"/>
    </row>
    <row r="341" spans="1:18" s="175" customFormat="1">
      <c r="A341" s="6"/>
      <c r="B341" s="4"/>
      <c r="C341" s="10" t="s">
        <v>344</v>
      </c>
      <c r="D341" s="10"/>
      <c r="E341" s="10"/>
      <c r="F341" s="10"/>
      <c r="G341" s="10"/>
      <c r="H341" s="10"/>
      <c r="I341" s="10"/>
      <c r="J341" s="10"/>
      <c r="K341" s="10"/>
      <c r="L341" s="7"/>
      <c r="M341" s="1"/>
      <c r="N341" s="1"/>
      <c r="O341" s="7"/>
      <c r="P341" s="1"/>
    </row>
    <row r="342" spans="1:18" s="175" customFormat="1">
      <c r="A342" s="6"/>
      <c r="B342" s="4"/>
      <c r="C342" s="10" t="s">
        <v>345</v>
      </c>
      <c r="D342" s="10"/>
      <c r="E342" s="10"/>
      <c r="F342" s="10"/>
      <c r="G342" s="10"/>
      <c r="H342" s="10"/>
      <c r="I342" s="10"/>
      <c r="J342" s="10"/>
      <c r="K342" s="10"/>
      <c r="L342" s="7"/>
      <c r="M342" s="1"/>
      <c r="N342" s="1"/>
      <c r="O342" s="7"/>
      <c r="P342" s="1"/>
    </row>
    <row r="343" spans="1:18" s="175" customFormat="1">
      <c r="A343" s="6" t="s">
        <v>346</v>
      </c>
      <c r="B343" s="4"/>
      <c r="C343" s="10" t="s">
        <v>347</v>
      </c>
      <c r="D343" s="10"/>
      <c r="E343" s="10"/>
      <c r="F343" s="10"/>
      <c r="G343" s="10"/>
      <c r="H343" s="10"/>
      <c r="I343" s="10"/>
      <c r="J343" s="10"/>
      <c r="K343" s="10"/>
      <c r="L343" s="7"/>
      <c r="M343" s="1"/>
      <c r="N343" s="1"/>
      <c r="O343" s="7"/>
      <c r="P343" s="1"/>
    </row>
    <row r="344" spans="1:18" s="175" customFormat="1">
      <c r="A344" s="6"/>
      <c r="B344" s="4"/>
      <c r="C344" s="10" t="s">
        <v>348</v>
      </c>
      <c r="D344" s="10"/>
      <c r="E344" s="10"/>
      <c r="F344" s="10"/>
      <c r="G344" s="10"/>
      <c r="H344" s="10"/>
      <c r="I344" s="10"/>
      <c r="J344" s="10"/>
      <c r="K344" s="10"/>
      <c r="L344" s="7"/>
      <c r="M344" s="1"/>
      <c r="N344" s="1"/>
      <c r="O344" s="7"/>
      <c r="P344" s="1"/>
    </row>
    <row r="345" spans="1:18" s="175" customFormat="1">
      <c r="A345" s="6"/>
      <c r="B345" s="4"/>
      <c r="C345" s="10" t="s">
        <v>349</v>
      </c>
      <c r="D345" s="10"/>
      <c r="E345" s="10"/>
      <c r="F345" s="10"/>
      <c r="G345" s="10"/>
      <c r="H345" s="10"/>
      <c r="I345" s="10"/>
      <c r="J345" s="10"/>
      <c r="K345" s="10"/>
      <c r="L345" s="7"/>
      <c r="M345" s="1"/>
      <c r="N345" s="1"/>
      <c r="O345" s="7"/>
      <c r="P345" s="1"/>
    </row>
    <row r="346" spans="1:18" s="175" customFormat="1">
      <c r="A346" s="6"/>
      <c r="B346" s="4"/>
      <c r="C346" s="10" t="s">
        <v>350</v>
      </c>
      <c r="D346" s="10"/>
      <c r="E346" s="10"/>
      <c r="F346" s="10"/>
      <c r="G346" s="10"/>
      <c r="H346" s="10"/>
      <c r="I346" s="10"/>
      <c r="J346" s="10"/>
      <c r="K346" s="10"/>
      <c r="L346" s="7"/>
      <c r="M346" s="1"/>
      <c r="N346" s="244"/>
      <c r="O346" s="245"/>
      <c r="P346" s="1"/>
    </row>
    <row r="347" spans="1:18" s="175" customFormat="1">
      <c r="A347" s="6"/>
      <c r="B347" s="4"/>
      <c r="C347" s="10" t="s">
        <v>351</v>
      </c>
      <c r="D347" s="10"/>
      <c r="E347" s="10"/>
      <c r="F347" s="10"/>
      <c r="G347" s="10"/>
      <c r="H347" s="10"/>
      <c r="I347" s="10"/>
      <c r="J347" s="10"/>
      <c r="K347" s="10"/>
      <c r="L347" s="7"/>
      <c r="M347" s="1"/>
      <c r="N347" s="1"/>
      <c r="O347" s="7"/>
      <c r="P347" s="1"/>
    </row>
    <row r="348" spans="1:18" s="175" customFormat="1">
      <c r="A348" s="6"/>
      <c r="B348" s="4"/>
      <c r="C348" s="10" t="s">
        <v>352</v>
      </c>
      <c r="D348" s="10" t="s">
        <v>353</v>
      </c>
      <c r="E348" s="237">
        <v>0.35</v>
      </c>
      <c r="F348" s="10"/>
      <c r="G348" s="10"/>
      <c r="H348" s="10"/>
      <c r="I348" s="10"/>
      <c r="J348" s="10"/>
      <c r="K348" s="238"/>
      <c r="L348" s="7"/>
      <c r="M348" s="1"/>
      <c r="N348" s="1"/>
      <c r="O348" s="7"/>
      <c r="P348" s="1"/>
    </row>
    <row r="349" spans="1:18" s="175" customFormat="1">
      <c r="A349" s="6" t="s">
        <v>3</v>
      </c>
      <c r="B349" s="4"/>
      <c r="C349" s="10" t="s">
        <v>354</v>
      </c>
      <c r="D349" s="10" t="s">
        <v>355</v>
      </c>
      <c r="E349" s="237">
        <v>9.8000000000000004E-2</v>
      </c>
      <c r="F349" s="10" t="s">
        <v>356</v>
      </c>
      <c r="G349" s="10"/>
      <c r="H349" s="10"/>
      <c r="I349" s="10"/>
      <c r="J349" s="10"/>
      <c r="K349" s="10"/>
      <c r="L349" s="7"/>
      <c r="M349" s="1"/>
      <c r="N349" s="1"/>
      <c r="O349" s="7"/>
      <c r="P349" s="1"/>
      <c r="R349" s="177" t="s">
        <v>357</v>
      </c>
    </row>
    <row r="350" spans="1:18" s="175" customFormat="1">
      <c r="A350" s="6"/>
      <c r="B350" s="4"/>
      <c r="C350" s="10"/>
      <c r="D350" s="10" t="s">
        <v>358</v>
      </c>
      <c r="E350" s="237">
        <v>0.41370000000000001</v>
      </c>
      <c r="F350" s="10" t="s">
        <v>359</v>
      </c>
      <c r="G350" s="10"/>
      <c r="H350" s="10"/>
      <c r="I350" s="10"/>
      <c r="J350" s="10"/>
      <c r="K350" s="10"/>
      <c r="L350" s="7"/>
      <c r="M350" s="1"/>
      <c r="N350" s="1"/>
      <c r="O350" s="7"/>
      <c r="P350" s="1"/>
    </row>
    <row r="351" spans="1:18" s="175" customFormat="1">
      <c r="A351" s="6" t="s">
        <v>360</v>
      </c>
      <c r="B351" s="4"/>
      <c r="C351" s="10" t="s">
        <v>447</v>
      </c>
      <c r="D351" s="10"/>
      <c r="E351" s="10"/>
      <c r="F351" s="10"/>
      <c r="G351" s="10"/>
      <c r="H351" s="10"/>
      <c r="I351" s="10"/>
      <c r="J351" s="238"/>
      <c r="K351" s="10"/>
      <c r="L351" s="7"/>
      <c r="M351" s="1"/>
      <c r="N351" s="1"/>
      <c r="O351" s="7"/>
      <c r="P351" s="1"/>
    </row>
    <row r="352" spans="1:18" s="175" customFormat="1">
      <c r="A352" s="6" t="s">
        <v>361</v>
      </c>
      <c r="B352" s="4"/>
      <c r="C352" s="10" t="s">
        <v>362</v>
      </c>
      <c r="D352" s="10"/>
      <c r="E352" s="10"/>
      <c r="F352" s="10"/>
      <c r="G352" s="10"/>
      <c r="H352" s="10"/>
      <c r="I352" s="10"/>
      <c r="J352" s="10"/>
      <c r="K352" s="10"/>
      <c r="L352" s="7"/>
      <c r="M352" s="1"/>
      <c r="N352" s="1"/>
      <c r="O352" s="7"/>
      <c r="P352" s="1"/>
    </row>
    <row r="353" spans="1:16" s="175" customFormat="1">
      <c r="A353" s="6"/>
      <c r="B353" s="4"/>
      <c r="C353" s="10" t="s">
        <v>363</v>
      </c>
      <c r="D353" s="10"/>
      <c r="E353" s="10"/>
      <c r="F353" s="10"/>
      <c r="G353" s="10"/>
      <c r="H353" s="10"/>
      <c r="I353" s="10"/>
      <c r="J353" s="10"/>
      <c r="K353" s="10"/>
      <c r="L353" s="7"/>
      <c r="M353" s="1"/>
      <c r="N353" s="1"/>
      <c r="O353" s="7"/>
      <c r="P353" s="1"/>
    </row>
    <row r="354" spans="1:16" s="175" customFormat="1">
      <c r="A354" s="6" t="s">
        <v>364</v>
      </c>
      <c r="B354" s="4"/>
      <c r="C354" s="10" t="s">
        <v>365</v>
      </c>
      <c r="D354" s="10"/>
      <c r="E354" s="10"/>
      <c r="F354" s="10"/>
      <c r="G354" s="10"/>
      <c r="H354" s="10"/>
      <c r="I354" s="10"/>
      <c r="J354" s="10"/>
      <c r="K354" s="10"/>
      <c r="L354" s="7"/>
      <c r="M354" s="1"/>
      <c r="N354" s="1"/>
      <c r="O354" s="7"/>
      <c r="P354" s="1"/>
    </row>
    <row r="355" spans="1:16" s="175" customFormat="1">
      <c r="A355" s="6"/>
      <c r="B355" s="4"/>
      <c r="C355" s="10" t="s">
        <v>366</v>
      </c>
      <c r="D355" s="10"/>
      <c r="E355" s="10"/>
      <c r="F355" s="10"/>
      <c r="G355" s="10"/>
      <c r="H355" s="10"/>
      <c r="I355" s="10"/>
      <c r="J355" s="10"/>
      <c r="K355" s="10"/>
      <c r="L355" s="7"/>
      <c r="M355" s="1"/>
      <c r="N355" s="1"/>
      <c r="O355" s="7"/>
      <c r="P355" s="1"/>
    </row>
    <row r="356" spans="1:16" s="175" customFormat="1">
      <c r="A356" s="6"/>
      <c r="B356" s="4"/>
      <c r="C356" s="10" t="s">
        <v>367</v>
      </c>
      <c r="D356" s="10"/>
      <c r="E356" s="10"/>
      <c r="F356" s="10"/>
      <c r="G356" s="10"/>
      <c r="H356" s="10"/>
      <c r="I356" s="10"/>
      <c r="J356" s="10"/>
      <c r="K356" s="10"/>
      <c r="L356" s="7"/>
      <c r="M356" s="1"/>
      <c r="N356" s="1"/>
      <c r="O356" s="7"/>
      <c r="P356" s="1"/>
    </row>
    <row r="357" spans="1:16" s="175" customFormat="1">
      <c r="A357" s="6" t="s">
        <v>368</v>
      </c>
      <c r="B357" s="4"/>
      <c r="C357" s="10" t="s">
        <v>369</v>
      </c>
      <c r="D357" s="10"/>
      <c r="E357" s="10"/>
      <c r="F357" s="10"/>
      <c r="G357" s="10"/>
      <c r="H357" s="10"/>
      <c r="I357" s="10"/>
      <c r="J357" s="10"/>
      <c r="K357" s="10"/>
      <c r="L357" s="7"/>
      <c r="M357" s="1"/>
      <c r="N357" s="1"/>
      <c r="O357" s="7"/>
      <c r="P357" s="1"/>
    </row>
    <row r="358" spans="1:16" s="175" customFormat="1">
      <c r="A358" s="6" t="s">
        <v>370</v>
      </c>
      <c r="B358" s="4"/>
      <c r="C358" s="10" t="s">
        <v>371</v>
      </c>
      <c r="D358" s="10"/>
      <c r="E358" s="10"/>
      <c r="F358" s="10"/>
      <c r="G358" s="10"/>
      <c r="H358" s="10"/>
      <c r="I358" s="10"/>
      <c r="J358" s="10"/>
      <c r="K358" s="10"/>
      <c r="L358" s="7"/>
      <c r="M358" s="1"/>
      <c r="N358" s="1"/>
      <c r="O358" s="7"/>
      <c r="P358" s="1"/>
    </row>
    <row r="359" spans="1:16" s="175" customFormat="1">
      <c r="A359" s="6"/>
      <c r="B359" s="4"/>
      <c r="C359" s="10" t="s">
        <v>372</v>
      </c>
      <c r="D359" s="10"/>
      <c r="E359" s="10"/>
      <c r="F359" s="10"/>
      <c r="G359" s="10"/>
      <c r="H359" s="10"/>
      <c r="I359" s="10"/>
      <c r="J359" s="10"/>
      <c r="K359" s="10"/>
      <c r="L359" s="7"/>
      <c r="M359" s="1"/>
      <c r="N359" s="1"/>
      <c r="O359" s="7"/>
      <c r="P359" s="1"/>
    </row>
    <row r="360" spans="1:16" s="175" customFormat="1">
      <c r="A360" s="6"/>
      <c r="B360" s="4"/>
      <c r="C360" s="10" t="s">
        <v>373</v>
      </c>
      <c r="D360" s="10"/>
      <c r="E360" s="10"/>
      <c r="F360" s="10"/>
      <c r="G360" s="10"/>
      <c r="H360" s="10"/>
      <c r="I360" s="10"/>
      <c r="J360" s="10"/>
      <c r="K360" s="10"/>
      <c r="L360" s="7"/>
      <c r="M360" s="1"/>
      <c r="N360" s="1"/>
      <c r="O360" s="7"/>
      <c r="P360" s="1"/>
    </row>
    <row r="361" spans="1:16" s="175" customFormat="1">
      <c r="A361" s="6" t="s">
        <v>374</v>
      </c>
      <c r="B361" s="4"/>
      <c r="C361" s="10" t="s">
        <v>375</v>
      </c>
      <c r="D361" s="10"/>
      <c r="E361" s="10"/>
      <c r="F361" s="10"/>
      <c r="G361" s="10"/>
      <c r="H361" s="10"/>
      <c r="I361" s="10"/>
      <c r="J361" s="10"/>
      <c r="K361" s="10"/>
      <c r="L361" s="7"/>
      <c r="M361" s="1"/>
      <c r="N361" s="1"/>
      <c r="O361" s="7"/>
      <c r="P361" s="1"/>
    </row>
    <row r="362" spans="1:16" s="175" customFormat="1">
      <c r="A362" s="6"/>
      <c r="B362" s="4"/>
      <c r="C362" s="10" t="s">
        <v>376</v>
      </c>
      <c r="D362" s="10"/>
      <c r="E362" s="10"/>
      <c r="F362" s="10"/>
      <c r="G362" s="10"/>
      <c r="H362" s="10"/>
      <c r="I362" s="10"/>
      <c r="J362" s="10"/>
      <c r="K362" s="10"/>
      <c r="L362" s="7"/>
      <c r="M362" s="1"/>
      <c r="N362" s="1"/>
      <c r="O362" s="7"/>
      <c r="P362" s="1"/>
    </row>
    <row r="363" spans="1:16" s="175" customFormat="1">
      <c r="A363" s="6" t="s">
        <v>377</v>
      </c>
      <c r="B363" s="4"/>
      <c r="C363" s="10" t="s">
        <v>378</v>
      </c>
      <c r="D363" s="10"/>
      <c r="E363" s="10"/>
      <c r="F363" s="10"/>
      <c r="G363" s="10"/>
      <c r="H363" s="10"/>
      <c r="I363" s="10"/>
      <c r="J363" s="10"/>
      <c r="K363" s="10"/>
      <c r="L363" s="7"/>
      <c r="M363" s="1"/>
      <c r="N363" s="1"/>
      <c r="O363" s="7"/>
      <c r="P363" s="1"/>
    </row>
    <row r="364" spans="1:16" s="175" customFormat="1">
      <c r="A364" s="6" t="s">
        <v>379</v>
      </c>
      <c r="B364" s="4"/>
      <c r="C364" s="10" t="s">
        <v>380</v>
      </c>
      <c r="D364" s="10"/>
      <c r="E364" s="10"/>
      <c r="F364" s="10"/>
      <c r="G364" s="10"/>
      <c r="H364" s="10"/>
      <c r="I364" s="10"/>
      <c r="J364" s="10"/>
      <c r="K364" s="10"/>
      <c r="L364" s="7"/>
      <c r="M364" s="1"/>
      <c r="N364" s="1"/>
      <c r="O364" s="7"/>
      <c r="P364" s="1"/>
    </row>
    <row r="365" spans="1:16" s="175" customFormat="1">
      <c r="A365" s="1"/>
      <c r="B365" s="4"/>
      <c r="C365" s="10" t="s">
        <v>448</v>
      </c>
      <c r="D365" s="10"/>
      <c r="E365" s="10"/>
      <c r="F365" s="10"/>
      <c r="G365" s="10"/>
      <c r="H365" s="10"/>
      <c r="I365" s="10"/>
      <c r="J365" s="10"/>
      <c r="K365" s="10"/>
      <c r="L365" s="7"/>
      <c r="M365" s="1"/>
      <c r="N365" s="1"/>
      <c r="O365" s="7"/>
      <c r="P365" s="1"/>
    </row>
    <row r="366" spans="1:16" s="175" customFormat="1">
      <c r="A366" s="1"/>
      <c r="B366" s="1"/>
      <c r="C366" s="10" t="s">
        <v>381</v>
      </c>
      <c r="D366" s="10"/>
      <c r="E366" s="10"/>
      <c r="F366" s="10"/>
      <c r="G366" s="10"/>
      <c r="H366" s="10"/>
      <c r="I366" s="10"/>
      <c r="J366" s="10"/>
      <c r="K366" s="10"/>
      <c r="L366" s="7"/>
      <c r="M366" s="1"/>
      <c r="N366" s="1"/>
      <c r="O366" s="7"/>
      <c r="P366" s="1"/>
    </row>
    <row r="367" spans="1:16" s="175" customFormat="1">
      <c r="A367" s="7" t="s">
        <v>382</v>
      </c>
      <c r="B367" s="1"/>
      <c r="C367" s="10" t="s">
        <v>383</v>
      </c>
      <c r="D367" s="239"/>
      <c r="E367" s="10"/>
      <c r="F367" s="10"/>
      <c r="G367" s="10"/>
      <c r="H367" s="10"/>
      <c r="I367" s="10"/>
      <c r="J367" s="10"/>
      <c r="K367" s="10"/>
      <c r="L367" s="7"/>
      <c r="M367" s="1"/>
      <c r="N367" s="1"/>
      <c r="O367" s="7"/>
      <c r="P367" s="1"/>
    </row>
    <row r="368" spans="1:16" s="176" customFormat="1">
      <c r="A368" s="1"/>
      <c r="B368" s="1"/>
      <c r="C368" s="10" t="s">
        <v>384</v>
      </c>
      <c r="D368" s="10"/>
      <c r="E368" s="10"/>
      <c r="F368" s="10"/>
      <c r="G368" s="10"/>
      <c r="H368" s="10"/>
      <c r="I368" s="10"/>
      <c r="J368" s="10"/>
      <c r="K368" s="10"/>
      <c r="L368" s="20"/>
      <c r="M368" s="45"/>
      <c r="N368" s="45"/>
      <c r="O368" s="20"/>
      <c r="P368" s="45"/>
    </row>
    <row r="369" spans="1:16" s="176" customFormat="1">
      <c r="A369" s="1"/>
      <c r="B369" s="1"/>
      <c r="C369" s="10" t="s">
        <v>385</v>
      </c>
      <c r="D369" s="10"/>
      <c r="E369" s="239"/>
      <c r="F369" s="10"/>
      <c r="G369" s="10"/>
      <c r="H369" s="10"/>
      <c r="I369" s="10"/>
      <c r="J369" s="10"/>
      <c r="K369" s="10"/>
      <c r="L369" s="20"/>
      <c r="M369" s="45"/>
      <c r="N369" s="45"/>
      <c r="O369" s="20"/>
      <c r="P369" s="45"/>
    </row>
    <row r="370" spans="1:16" s="175" customFormat="1">
      <c r="A370" s="1"/>
      <c r="B370" s="1"/>
      <c r="C370" s="10" t="s">
        <v>386</v>
      </c>
      <c r="D370" s="4"/>
      <c r="E370" s="4"/>
      <c r="F370" s="4"/>
      <c r="G370" s="4"/>
      <c r="H370" s="4"/>
      <c r="I370" s="4"/>
      <c r="J370" s="10"/>
      <c r="K370" s="10"/>
      <c r="L370" s="7"/>
      <c r="M370" s="1"/>
      <c r="N370" s="1"/>
      <c r="O370" s="7"/>
      <c r="P370" s="1"/>
    </row>
    <row r="371" spans="1:16" s="175" customFormat="1">
      <c r="A371" s="1"/>
      <c r="B371" s="1"/>
      <c r="C371" s="10" t="s">
        <v>387</v>
      </c>
      <c r="D371" s="4"/>
      <c r="E371" s="4"/>
      <c r="F371" s="4"/>
      <c r="G371" s="4"/>
      <c r="H371" s="4"/>
      <c r="I371" s="4"/>
      <c r="J371" s="10"/>
      <c r="K371" s="10"/>
      <c r="L371" s="7"/>
      <c r="M371" s="1"/>
      <c r="N371" s="1"/>
      <c r="O371" s="7"/>
      <c r="P371" s="1"/>
    </row>
    <row r="372" spans="1:16" s="175" customFormat="1">
      <c r="A372" s="7" t="s">
        <v>388</v>
      </c>
      <c r="B372" s="1"/>
      <c r="C372" s="10" t="s">
        <v>389</v>
      </c>
      <c r="D372" s="10"/>
      <c r="E372" s="10"/>
      <c r="F372" s="10"/>
      <c r="G372" s="10"/>
      <c r="H372" s="10"/>
      <c r="I372" s="10"/>
      <c r="J372" s="10"/>
      <c r="K372" s="10"/>
      <c r="L372" s="7"/>
      <c r="M372" s="1"/>
      <c r="N372" s="1"/>
      <c r="O372" s="7"/>
      <c r="P372" s="1"/>
    </row>
    <row r="373" spans="1:16">
      <c r="A373" s="20" t="s">
        <v>390</v>
      </c>
      <c r="B373" s="45"/>
      <c r="C373" s="10" t="s">
        <v>440</v>
      </c>
      <c r="D373" s="10"/>
      <c r="E373" s="10"/>
      <c r="F373" s="10"/>
      <c r="G373" s="10"/>
      <c r="H373" s="10"/>
      <c r="I373" s="10"/>
      <c r="J373" s="10"/>
      <c r="K373" s="10"/>
    </row>
    <row r="374" spans="1:16">
      <c r="A374" s="20"/>
      <c r="B374" s="45"/>
      <c r="C374" s="10" t="s">
        <v>391</v>
      </c>
      <c r="D374" s="4"/>
      <c r="E374" s="4"/>
      <c r="F374" s="4"/>
      <c r="G374" s="4"/>
      <c r="H374" s="4"/>
      <c r="I374" s="4"/>
      <c r="J374" s="10"/>
      <c r="K374" s="10"/>
    </row>
    <row r="375" spans="1:16" ht="16.5" customHeight="1">
      <c r="A375" s="250" t="s">
        <v>392</v>
      </c>
      <c r="B375" s="243"/>
      <c r="C375" s="389" t="s">
        <v>451</v>
      </c>
      <c r="D375" s="389"/>
      <c r="E375" s="389"/>
      <c r="F375" s="389"/>
      <c r="G375" s="389"/>
      <c r="H375" s="389"/>
      <c r="I375" s="389"/>
      <c r="J375" s="389"/>
      <c r="K375" s="389"/>
      <c r="L375" s="389"/>
      <c r="M375" s="389"/>
    </row>
    <row r="376" spans="1:16" s="45" customFormat="1" ht="33.75" customHeight="1">
      <c r="A376" s="247" t="s">
        <v>393</v>
      </c>
      <c r="B376" s="243"/>
      <c r="C376" s="388" t="s">
        <v>452</v>
      </c>
      <c r="D376" s="388"/>
      <c r="E376" s="388"/>
      <c r="F376" s="388"/>
      <c r="G376" s="388"/>
      <c r="H376" s="388"/>
      <c r="I376" s="388"/>
      <c r="J376" s="388"/>
      <c r="K376" s="388"/>
      <c r="L376" s="388"/>
      <c r="M376" s="388"/>
      <c r="O376" s="20"/>
    </row>
    <row r="377" spans="1:16">
      <c r="A377" s="7" t="s">
        <v>394</v>
      </c>
      <c r="C377" s="10" t="s">
        <v>454</v>
      </c>
      <c r="D377" s="4"/>
      <c r="E377" s="4"/>
      <c r="F377" s="4"/>
      <c r="G377" s="4"/>
      <c r="H377" s="4"/>
      <c r="I377" s="4"/>
      <c r="J377" s="10"/>
      <c r="K377" s="10"/>
    </row>
    <row r="378" spans="1:16">
      <c r="A378" s="7" t="s">
        <v>395</v>
      </c>
      <c r="C378" s="10" t="s">
        <v>453</v>
      </c>
      <c r="D378" s="4"/>
      <c r="E378" s="4"/>
      <c r="F378" s="4"/>
      <c r="G378" s="4"/>
      <c r="H378" s="4"/>
      <c r="I378" s="4"/>
      <c r="J378" s="10"/>
      <c r="K378" s="10"/>
    </row>
    <row r="379" spans="1:16">
      <c r="A379" s="7" t="s">
        <v>396</v>
      </c>
      <c r="C379" s="240" t="s">
        <v>397</v>
      </c>
      <c r="D379" s="10"/>
      <c r="E379" s="10"/>
      <c r="F379" s="10"/>
      <c r="G379" s="10"/>
      <c r="H379" s="10"/>
      <c r="I379" s="10"/>
      <c r="J379" s="10"/>
      <c r="K379" s="10"/>
      <c r="L379" s="20"/>
      <c r="M379" s="45"/>
    </row>
    <row r="380" spans="1:16">
      <c r="A380" s="7" t="s">
        <v>398</v>
      </c>
      <c r="C380" s="240" t="s">
        <v>399</v>
      </c>
      <c r="D380" s="10"/>
      <c r="E380" s="10"/>
      <c r="F380" s="241"/>
      <c r="G380" s="241"/>
      <c r="H380" s="241"/>
      <c r="I380" s="241"/>
      <c r="J380" s="241"/>
      <c r="K380" s="241"/>
      <c r="L380" s="242"/>
      <c r="M380" s="178"/>
    </row>
    <row r="381" spans="1:16" s="45" customFormat="1">
      <c r="A381" s="7" t="s">
        <v>114</v>
      </c>
      <c r="B381" s="1"/>
      <c r="C381" s="240" t="s">
        <v>409</v>
      </c>
      <c r="D381" s="10"/>
      <c r="E381" s="65"/>
      <c r="F381" s="65"/>
      <c r="G381" s="65"/>
      <c r="H381" s="65"/>
      <c r="I381" s="65"/>
      <c r="J381" s="65"/>
      <c r="K381" s="65"/>
      <c r="L381" s="20"/>
      <c r="O381" s="20"/>
    </row>
    <row r="382" spans="1:16" ht="53.25" customHeight="1">
      <c r="A382" s="248" t="s">
        <v>408</v>
      </c>
      <c r="B382" s="45"/>
      <c r="C382" s="390" t="s">
        <v>417</v>
      </c>
      <c r="D382" s="390"/>
      <c r="E382" s="390"/>
      <c r="F382" s="390"/>
      <c r="G382" s="390"/>
      <c r="H382" s="390"/>
      <c r="I382" s="390"/>
      <c r="J382" s="390"/>
      <c r="K382" s="390"/>
      <c r="L382" s="390"/>
      <c r="M382" s="390"/>
      <c r="N382" s="390"/>
      <c r="O382" s="390"/>
    </row>
    <row r="383" spans="1:16" ht="19.5" customHeight="1">
      <c r="A383" s="247" t="s">
        <v>430</v>
      </c>
      <c r="B383" s="243"/>
      <c r="C383" s="388" t="s">
        <v>449</v>
      </c>
      <c r="D383" s="388"/>
      <c r="E383" s="388"/>
      <c r="F383" s="388"/>
      <c r="G383" s="388"/>
      <c r="H383" s="388"/>
      <c r="I383" s="388"/>
      <c r="J383" s="388"/>
      <c r="K383" s="388"/>
      <c r="L383" s="388"/>
      <c r="M383" s="388"/>
      <c r="N383" s="388"/>
      <c r="O383" s="388"/>
      <c r="P383" s="388"/>
    </row>
    <row r="384" spans="1:16">
      <c r="A384" s="247" t="s">
        <v>431</v>
      </c>
      <c r="B384" s="243"/>
      <c r="C384" s="388" t="s">
        <v>450</v>
      </c>
      <c r="D384" s="388"/>
      <c r="E384" s="388"/>
      <c r="F384" s="388"/>
      <c r="G384" s="388"/>
      <c r="H384" s="388"/>
      <c r="I384" s="388"/>
      <c r="J384" s="388"/>
      <c r="K384" s="388"/>
      <c r="L384" s="388"/>
      <c r="M384" s="388"/>
      <c r="N384" s="388"/>
      <c r="O384" s="388"/>
      <c r="P384" s="388"/>
    </row>
    <row r="385" spans="1:11">
      <c r="A385" s="7" t="s">
        <v>441</v>
      </c>
      <c r="C385" s="10" t="s">
        <v>446</v>
      </c>
      <c r="D385" s="4"/>
      <c r="E385" s="4"/>
      <c r="F385" s="4"/>
      <c r="G385" s="4"/>
      <c r="H385" s="4"/>
      <c r="I385" s="4"/>
      <c r="J385" s="10"/>
      <c r="K385" s="10"/>
    </row>
    <row r="386" spans="1:11">
      <c r="A386" s="7" t="s">
        <v>442</v>
      </c>
      <c r="C386" s="10" t="s">
        <v>455</v>
      </c>
      <c r="D386" s="4"/>
      <c r="E386" s="4"/>
      <c r="F386" s="4"/>
      <c r="G386" s="4"/>
      <c r="H386" s="4"/>
      <c r="I386" s="4"/>
      <c r="J386" s="10"/>
      <c r="K386" s="10"/>
    </row>
    <row r="387" spans="1:11">
      <c r="A387" s="7" t="s">
        <v>443</v>
      </c>
      <c r="C387" s="10" t="s">
        <v>456</v>
      </c>
      <c r="D387" s="4"/>
      <c r="E387" s="4"/>
      <c r="F387" s="4"/>
      <c r="G387" s="4"/>
      <c r="H387" s="4"/>
      <c r="I387" s="4"/>
      <c r="J387" s="10"/>
      <c r="K387" s="9"/>
    </row>
    <row r="388" spans="1:11">
      <c r="A388" s="7"/>
      <c r="C388" s="10" t="s">
        <v>444</v>
      </c>
      <c r="D388" s="4"/>
      <c r="E388" s="4"/>
      <c r="F388" s="4"/>
      <c r="G388" s="4"/>
      <c r="H388" s="4"/>
      <c r="I388" s="4"/>
      <c r="J388" s="10"/>
      <c r="K388" s="9"/>
    </row>
    <row r="389" spans="1:11">
      <c r="A389" s="7"/>
      <c r="C389" s="10"/>
      <c r="D389" s="4"/>
      <c r="E389" s="4"/>
      <c r="F389" s="4"/>
      <c r="G389" s="4"/>
      <c r="H389" s="4"/>
      <c r="I389" s="4"/>
      <c r="J389" s="10"/>
      <c r="K389" s="4"/>
    </row>
    <row r="390" spans="1:11">
      <c r="A390" s="7"/>
      <c r="C390" s="10"/>
      <c r="D390" s="9"/>
      <c r="E390" s="32"/>
      <c r="F390" s="9"/>
      <c r="G390" s="9"/>
      <c r="H390" s="84"/>
      <c r="I390" s="9"/>
      <c r="J390" s="10"/>
      <c r="K390" s="4"/>
    </row>
    <row r="391" spans="1:11">
      <c r="A391" s="7"/>
      <c r="C391" s="10"/>
      <c r="D391" s="9"/>
      <c r="E391" s="32"/>
      <c r="F391" s="9"/>
      <c r="G391" s="9"/>
      <c r="H391" s="84"/>
      <c r="I391" s="9"/>
      <c r="J391" s="32"/>
      <c r="K391" s="4"/>
    </row>
    <row r="392" spans="1:11">
      <c r="A392" s="7"/>
      <c r="C392" s="10"/>
      <c r="D392" s="4"/>
      <c r="E392" s="4"/>
      <c r="F392" s="4"/>
      <c r="G392" s="4"/>
      <c r="H392" s="4"/>
      <c r="I392" s="4"/>
      <c r="J392" s="32"/>
    </row>
    <row r="393" spans="1:11">
      <c r="A393" s="2"/>
      <c r="C393" s="2"/>
      <c r="D393" s="4"/>
      <c r="E393" s="4"/>
      <c r="F393" s="4"/>
      <c r="G393" s="4"/>
      <c r="H393" s="4"/>
      <c r="I393" s="4"/>
      <c r="J393" s="4"/>
    </row>
    <row r="394" spans="1:11">
      <c r="A394" s="2"/>
      <c r="C394" s="2"/>
      <c r="D394" s="4"/>
      <c r="E394" s="4"/>
      <c r="F394" s="4"/>
      <c r="G394" s="4"/>
      <c r="H394" s="4"/>
      <c r="I394" s="4"/>
      <c r="J394" s="4"/>
    </row>
    <row r="395" spans="1:11">
      <c r="C395" s="4"/>
      <c r="J395" s="4"/>
    </row>
    <row r="396" spans="1:11">
      <c r="C396" s="4"/>
    </row>
    <row r="397" spans="1:11">
      <c r="C397" s="4"/>
    </row>
    <row r="398" spans="1:11">
      <c r="C398" s="45"/>
    </row>
  </sheetData>
  <mergeCells count="5">
    <mergeCell ref="C383:P383"/>
    <mergeCell ref="C384:P384"/>
    <mergeCell ref="C375:M375"/>
    <mergeCell ref="C376:M376"/>
    <mergeCell ref="C382:O382"/>
  </mergeCells>
  <phoneticPr fontId="25" type="noConversion"/>
  <pageMargins left="0.5" right="0.5" top="0.53" bottom="0.5" header="0.5" footer="0.5"/>
  <pageSetup scale="51" fitToHeight="0" orientation="landscape" r:id="rId1"/>
  <headerFooter alignWithMargins="0">
    <oddHeader xml:space="preserve">&amp;C&amp;"Arial,Bold"&amp;14 </oddHeader>
  </headerFooter>
  <rowBreaks count="5" manualBreakCount="5">
    <brk id="65" max="15" man="1"/>
    <brk id="126" max="15" man="1"/>
    <brk id="193" max="15" man="1"/>
    <brk id="255" max="15" man="1"/>
    <brk id="317"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topLeftCell="C64" zoomScale="75" zoomScaleNormal="75" workbookViewId="0">
      <selection activeCell="L80" sqref="L80"/>
    </sheetView>
  </sheetViews>
  <sheetFormatPr defaultRowHeight="15"/>
  <cols>
    <col min="1" max="1" width="15.21875" customWidth="1"/>
    <col min="2" max="2" width="2.88671875" customWidth="1"/>
    <col min="3" max="3" width="44.109375" customWidth="1"/>
    <col min="4" max="4" width="47.6640625" customWidth="1"/>
    <col min="5" max="5" width="13.109375" customWidth="1"/>
    <col min="6" max="6" width="15.6640625" customWidth="1"/>
    <col min="7" max="7" width="15.77734375" customWidth="1"/>
    <col min="8" max="8" width="13" customWidth="1"/>
    <col min="9" max="9" width="11.6640625" customWidth="1"/>
    <col min="10" max="10" width="16.33203125" customWidth="1"/>
    <col min="11" max="11" width="11.88671875" customWidth="1"/>
    <col min="12" max="12" width="15.33203125" customWidth="1"/>
    <col min="13" max="13" width="12.44140625" bestFit="1" customWidth="1"/>
    <col min="14" max="14" width="13.5546875" customWidth="1"/>
  </cols>
  <sheetData>
    <row r="1" spans="1:14" ht="15.75">
      <c r="A1" s="255"/>
      <c r="B1" s="255"/>
      <c r="C1" s="255"/>
      <c r="D1" s="255"/>
      <c r="E1" s="255"/>
      <c r="F1" s="256"/>
      <c r="G1" s="255"/>
      <c r="H1" s="255"/>
      <c r="I1" s="255"/>
      <c r="J1" s="255"/>
      <c r="K1" s="255"/>
      <c r="L1" s="255"/>
      <c r="M1" s="255"/>
      <c r="N1" s="255"/>
    </row>
    <row r="2" spans="1:14" ht="15.75">
      <c r="A2" s="255"/>
      <c r="B2" s="255"/>
      <c r="C2" s="255"/>
      <c r="D2" s="255"/>
      <c r="E2" s="255"/>
      <c r="F2" s="255"/>
      <c r="G2" s="255"/>
      <c r="H2" s="255"/>
      <c r="I2" s="255"/>
      <c r="J2" s="255"/>
      <c r="K2" s="255"/>
      <c r="L2" s="255"/>
      <c r="M2" s="255"/>
      <c r="N2" s="255"/>
    </row>
    <row r="3" spans="1:14" ht="15.75">
      <c r="A3" s="255"/>
      <c r="B3" s="255"/>
      <c r="C3" s="255"/>
      <c r="D3" s="255"/>
      <c r="E3" s="255"/>
      <c r="F3" s="255"/>
      <c r="G3" s="255"/>
      <c r="H3" s="255"/>
      <c r="I3" s="255"/>
      <c r="J3" s="255"/>
      <c r="K3" s="255"/>
      <c r="L3" s="255"/>
      <c r="M3" s="255"/>
      <c r="N3" s="257" t="s">
        <v>457</v>
      </c>
    </row>
    <row r="4" spans="1:14" ht="15.75">
      <c r="A4" s="255"/>
      <c r="B4" s="255"/>
      <c r="C4" s="255" t="s">
        <v>458</v>
      </c>
      <c r="D4" s="255"/>
      <c r="E4" s="255"/>
      <c r="F4" s="258" t="s">
        <v>0</v>
      </c>
      <c r="G4" s="255"/>
      <c r="H4" s="255"/>
      <c r="I4" s="255"/>
      <c r="J4" s="259"/>
      <c r="K4" s="259"/>
      <c r="L4" s="259"/>
      <c r="M4" s="260"/>
      <c r="N4" s="261" t="s">
        <v>555</v>
      </c>
    </row>
    <row r="5" spans="1:14" ht="15.75">
      <c r="A5" s="255"/>
      <c r="B5" s="255"/>
      <c r="C5" s="255"/>
      <c r="D5" s="262" t="s">
        <v>3</v>
      </c>
      <c r="E5" s="262"/>
      <c r="F5" s="262" t="s">
        <v>459</v>
      </c>
      <c r="G5" s="262"/>
      <c r="H5" s="262"/>
      <c r="I5" s="262"/>
      <c r="J5" s="259"/>
      <c r="K5" s="259"/>
      <c r="L5" s="259"/>
      <c r="M5" s="259"/>
      <c r="N5" s="259"/>
    </row>
    <row r="6" spans="1:14" ht="15.75">
      <c r="A6" s="255"/>
      <c r="B6" s="255"/>
      <c r="C6" s="259"/>
      <c r="D6" s="259"/>
      <c r="E6" s="259"/>
      <c r="F6" s="259"/>
      <c r="G6" s="259"/>
      <c r="H6" s="259"/>
      <c r="I6" s="259"/>
      <c r="J6" s="259"/>
      <c r="K6" s="263"/>
      <c r="L6" s="259"/>
      <c r="M6" s="259"/>
      <c r="N6" s="259" t="s">
        <v>460</v>
      </c>
    </row>
    <row r="7" spans="1:14" ht="15.75">
      <c r="A7" s="269"/>
      <c r="B7" s="255"/>
      <c r="C7" s="259"/>
      <c r="D7" s="259"/>
      <c r="E7" s="259"/>
      <c r="F7" s="264" t="s">
        <v>28</v>
      </c>
      <c r="G7" s="259"/>
      <c r="H7" s="259"/>
      <c r="I7" s="259"/>
      <c r="J7" s="259"/>
      <c r="K7" s="259"/>
      <c r="L7" s="259"/>
      <c r="M7" s="259"/>
      <c r="N7" s="259"/>
    </row>
    <row r="8" spans="1:14" ht="15.75">
      <c r="A8" s="269"/>
      <c r="B8" s="255"/>
      <c r="C8" s="259"/>
      <c r="D8" s="259"/>
      <c r="E8" s="259"/>
      <c r="F8" s="265"/>
      <c r="G8" s="259"/>
      <c r="H8" s="259"/>
      <c r="I8" s="259"/>
      <c r="J8" s="259"/>
      <c r="K8" s="259"/>
      <c r="L8" s="259"/>
      <c r="M8" s="259"/>
      <c r="N8" s="259"/>
    </row>
    <row r="9" spans="1:14" ht="15.75">
      <c r="A9" s="269"/>
      <c r="B9" s="255"/>
      <c r="C9" s="259" t="s">
        <v>461</v>
      </c>
      <c r="D9" s="259"/>
      <c r="E9" s="259"/>
      <c r="F9" s="265"/>
      <c r="G9" s="259"/>
      <c r="H9" s="259"/>
      <c r="I9" s="259"/>
      <c r="J9" s="259"/>
      <c r="K9" s="259"/>
      <c r="L9" s="259"/>
      <c r="M9" s="259"/>
      <c r="N9" s="259"/>
    </row>
    <row r="10" spans="1:14" ht="15.75">
      <c r="A10" s="335"/>
      <c r="B10" s="286"/>
      <c r="C10" s="259" t="s">
        <v>3</v>
      </c>
      <c r="D10" s="266"/>
      <c r="E10" s="266"/>
      <c r="F10" s="267"/>
      <c r="G10" s="266"/>
      <c r="H10" s="266"/>
      <c r="I10" s="266"/>
      <c r="J10" s="266"/>
      <c r="K10" s="266"/>
      <c r="L10" s="266"/>
      <c r="M10" s="266"/>
      <c r="N10" s="266"/>
    </row>
    <row r="11" spans="1:14">
      <c r="A11" s="335"/>
      <c r="B11" s="286"/>
      <c r="C11" s="266"/>
      <c r="D11" s="266"/>
      <c r="E11" s="266"/>
      <c r="F11" s="266"/>
      <c r="G11" s="266"/>
      <c r="H11" s="266"/>
      <c r="I11" s="266"/>
      <c r="J11" s="266"/>
      <c r="K11" s="268"/>
      <c r="L11" s="268"/>
      <c r="M11" s="268"/>
      <c r="N11" s="266"/>
    </row>
    <row r="12" spans="1:14" ht="15.75">
      <c r="A12" s="286"/>
      <c r="B12" s="286"/>
      <c r="C12" s="269" t="s">
        <v>7</v>
      </c>
      <c r="D12" s="269" t="s">
        <v>8</v>
      </c>
      <c r="E12" s="270" t="s">
        <v>9</v>
      </c>
      <c r="F12" s="269" t="s">
        <v>10</v>
      </c>
      <c r="G12" s="269"/>
      <c r="H12" s="269" t="s">
        <v>108</v>
      </c>
      <c r="I12" s="271"/>
      <c r="J12" s="272" t="s">
        <v>109</v>
      </c>
      <c r="K12" s="271"/>
      <c r="L12" s="273" t="s">
        <v>110</v>
      </c>
      <c r="M12" s="273"/>
      <c r="N12" s="273" t="s">
        <v>111</v>
      </c>
    </row>
    <row r="13" spans="1:14" ht="15.75">
      <c r="A13" s="286"/>
      <c r="B13" s="286"/>
      <c r="C13" s="274"/>
      <c r="D13" s="275" t="s">
        <v>462</v>
      </c>
      <c r="E13" s="275"/>
      <c r="F13" s="262"/>
      <c r="G13" s="262"/>
      <c r="H13" s="276"/>
      <c r="I13" s="271"/>
      <c r="J13" s="275" t="s">
        <v>30</v>
      </c>
      <c r="K13" s="262"/>
      <c r="L13" s="276"/>
      <c r="M13" s="262"/>
      <c r="N13" s="256" t="s">
        <v>32</v>
      </c>
    </row>
    <row r="14" spans="1:14" ht="15.75">
      <c r="A14" s="335" t="s">
        <v>1</v>
      </c>
      <c r="B14" s="286"/>
      <c r="C14" s="274"/>
      <c r="D14" s="256" t="s">
        <v>12</v>
      </c>
      <c r="E14" s="256"/>
      <c r="F14" s="256" t="s">
        <v>11</v>
      </c>
      <c r="G14" s="277"/>
      <c r="H14" s="275" t="s">
        <v>30</v>
      </c>
      <c r="I14" s="278"/>
      <c r="J14" s="279" t="s">
        <v>4</v>
      </c>
      <c r="K14" s="262"/>
      <c r="L14" s="256" t="s">
        <v>32</v>
      </c>
      <c r="M14" s="262"/>
      <c r="N14" s="280" t="s">
        <v>4</v>
      </c>
    </row>
    <row r="15" spans="1:14" ht="16.5" thickBot="1">
      <c r="A15" s="336" t="s">
        <v>2</v>
      </c>
      <c r="B15" s="286"/>
      <c r="C15" s="281"/>
      <c r="D15" s="271"/>
      <c r="E15" s="271"/>
      <c r="F15" s="271"/>
      <c r="G15" s="271"/>
      <c r="H15" s="271"/>
      <c r="I15" s="271"/>
      <c r="J15" s="271"/>
      <c r="K15" s="271"/>
      <c r="L15" s="271"/>
      <c r="M15" s="271"/>
      <c r="N15" s="271"/>
    </row>
    <row r="16" spans="1:14">
      <c r="A16" s="335"/>
      <c r="B16" s="286"/>
      <c r="C16" s="274"/>
      <c r="D16" s="271"/>
      <c r="E16" s="271"/>
      <c r="F16" s="271"/>
      <c r="G16" s="271"/>
      <c r="H16" s="271"/>
      <c r="I16" s="271"/>
      <c r="J16" s="282"/>
      <c r="K16" s="271"/>
      <c r="L16" s="271"/>
      <c r="M16" s="271"/>
      <c r="N16" s="271"/>
    </row>
    <row r="17" spans="1:14" ht="15.75">
      <c r="A17" s="337">
        <v>1</v>
      </c>
      <c r="B17" s="286"/>
      <c r="C17" s="255" t="s">
        <v>463</v>
      </c>
      <c r="D17" s="283" t="s">
        <v>464</v>
      </c>
      <c r="E17" s="283"/>
      <c r="F17" s="284">
        <f xml:space="preserve"> 'MP Attach O'!J77 + 'MP Attach O'!J100 + 'MP Attach O'!J108</f>
        <v>406032108</v>
      </c>
      <c r="G17" s="271"/>
      <c r="H17" s="284">
        <f xml:space="preserve"> 'MP Attach O'!M77 + 'MP Attach O'!M100 + 'MP Attach O'!M108</f>
        <v>289703335</v>
      </c>
      <c r="I17" s="285"/>
      <c r="J17" s="282"/>
      <c r="K17" s="271"/>
      <c r="L17" s="284">
        <f xml:space="preserve"> 'MP Attach O'!P77 + 'MP Attach O'!P100 + 'MP Attach O'!P108</f>
        <v>116328773</v>
      </c>
      <c r="M17" s="271"/>
      <c r="N17" s="271"/>
    </row>
    <row r="18" spans="1:14" ht="15.75">
      <c r="A18" s="337">
        <v>2</v>
      </c>
      <c r="B18" s="286"/>
      <c r="C18" s="255" t="s">
        <v>465</v>
      </c>
      <c r="D18" s="283" t="s">
        <v>466</v>
      </c>
      <c r="E18" s="283"/>
      <c r="F18" s="284">
        <f xml:space="preserve"> 'MP Attach O'!J93 + 'MP Attach O'!J100 + 'MP Attach O'!J108</f>
        <v>247476815.30692124</v>
      </c>
      <c r="G18" s="271"/>
      <c r="H18" s="284">
        <f xml:space="preserve"> 'MP Attach O'!M93 + 'MP Attach O'!M100 + 'MP Attach O'!M108</f>
        <v>177996465.30692124</v>
      </c>
      <c r="I18" s="291"/>
      <c r="J18" s="282"/>
      <c r="K18" s="291"/>
      <c r="L18" s="284">
        <f xml:space="preserve"> 'MP Attach O'!P93 + 'MP Attach O'!P100 + 'MP Attach O'!P108</f>
        <v>69480350</v>
      </c>
      <c r="M18" s="386"/>
      <c r="N18" s="271"/>
    </row>
    <row r="19" spans="1:14" ht="15.75">
      <c r="A19" s="337"/>
      <c r="B19" s="286"/>
      <c r="C19" s="255"/>
      <c r="D19" s="283"/>
      <c r="E19" s="283"/>
      <c r="F19" s="387"/>
      <c r="G19" s="271"/>
      <c r="H19" s="271"/>
      <c r="I19" s="271"/>
      <c r="J19" s="282"/>
      <c r="K19" s="387"/>
      <c r="L19" s="271"/>
      <c r="M19" s="387"/>
      <c r="N19" s="271"/>
    </row>
    <row r="20" spans="1:14" ht="15.75">
      <c r="A20" s="337"/>
      <c r="B20" s="286"/>
      <c r="C20" s="255"/>
      <c r="D20" s="283"/>
      <c r="E20" s="283"/>
      <c r="F20" s="271"/>
      <c r="G20" s="271"/>
      <c r="H20" s="271"/>
      <c r="I20" s="271"/>
      <c r="J20" s="282"/>
      <c r="K20" s="271"/>
      <c r="L20" s="271"/>
      <c r="M20" s="271"/>
      <c r="N20" s="271"/>
    </row>
    <row r="21" spans="1:14" ht="15.75">
      <c r="A21" s="337"/>
      <c r="B21" s="286"/>
      <c r="C21" s="255" t="s">
        <v>467</v>
      </c>
      <c r="D21" s="283"/>
      <c r="E21" s="283"/>
      <c r="F21" s="271"/>
      <c r="G21" s="271"/>
      <c r="H21" s="271"/>
      <c r="I21" s="271"/>
      <c r="J21" s="282"/>
      <c r="K21" s="271"/>
      <c r="L21" s="271"/>
      <c r="M21" s="271"/>
      <c r="N21" s="271"/>
    </row>
    <row r="22" spans="1:14" ht="15.75">
      <c r="A22" s="337">
        <v>3</v>
      </c>
      <c r="B22" s="286"/>
      <c r="C22" s="255" t="s">
        <v>468</v>
      </c>
      <c r="D22" s="283" t="s">
        <v>469</v>
      </c>
      <c r="E22" s="283"/>
      <c r="F22" s="284">
        <f>'MP Attach O'!J146</f>
        <v>24378392.032737322</v>
      </c>
      <c r="G22" s="271"/>
      <c r="H22" s="284">
        <f>'MP Attach O'!M146</f>
        <v>20000688.135524172</v>
      </c>
      <c r="I22" s="271"/>
      <c r="J22" s="282"/>
      <c r="K22" s="291"/>
      <c r="L22" s="284">
        <f>'MP Attach O'!P146</f>
        <v>4377703.8972131489</v>
      </c>
      <c r="M22" s="386"/>
      <c r="N22" s="271"/>
    </row>
    <row r="23" spans="1:14" ht="15.75">
      <c r="A23" s="337">
        <v>4</v>
      </c>
      <c r="B23" s="286"/>
      <c r="C23" s="255" t="s">
        <v>470</v>
      </c>
      <c r="D23" s="283" t="s">
        <v>471</v>
      </c>
      <c r="E23" s="283"/>
      <c r="F23" s="282">
        <f>IF(F22=0,0,F22/F17)</f>
        <v>6.0040552341583099E-2</v>
      </c>
      <c r="G23" s="271"/>
      <c r="H23" s="282">
        <f>IF(H22=0,0,H22/H17)</f>
        <v>6.9038515333363942E-2</v>
      </c>
      <c r="I23" s="271"/>
      <c r="J23" s="282">
        <f>H23</f>
        <v>6.9038515333363942E-2</v>
      </c>
      <c r="K23" s="291"/>
      <c r="L23" s="282">
        <f>IF(L22=0,0,L22/L17)</f>
        <v>3.7632167728728204E-2</v>
      </c>
      <c r="M23" s="291"/>
      <c r="N23" s="282">
        <f>L23</f>
        <v>3.7632167728728204E-2</v>
      </c>
    </row>
    <row r="24" spans="1:14" ht="15.75">
      <c r="A24" s="337"/>
      <c r="B24" s="286"/>
      <c r="C24" s="255"/>
      <c r="D24" s="283" t="s">
        <v>472</v>
      </c>
      <c r="E24" s="283"/>
      <c r="F24" s="271"/>
      <c r="G24" s="271"/>
      <c r="H24" s="271"/>
      <c r="I24" s="282"/>
      <c r="J24" s="282"/>
      <c r="K24" s="271"/>
      <c r="L24" s="271"/>
      <c r="M24" s="271"/>
      <c r="N24" s="282"/>
    </row>
    <row r="25" spans="1:14" ht="15.75">
      <c r="A25" s="337"/>
      <c r="B25" s="286"/>
      <c r="C25" s="255"/>
      <c r="D25" s="283"/>
      <c r="E25" s="283"/>
      <c r="F25" s="271"/>
      <c r="G25" s="271"/>
      <c r="H25" s="271"/>
      <c r="I25" s="282"/>
      <c r="J25" s="282"/>
      <c r="K25" s="271"/>
      <c r="L25" s="271"/>
      <c r="M25" s="271"/>
      <c r="N25" s="282"/>
    </row>
    <row r="26" spans="1:14" ht="15.75">
      <c r="A26" s="337"/>
      <c r="B26" s="286"/>
      <c r="C26" s="287" t="s">
        <v>473</v>
      </c>
      <c r="D26" s="283"/>
      <c r="E26" s="283"/>
      <c r="F26" s="271"/>
      <c r="G26" s="271"/>
      <c r="H26" s="271"/>
      <c r="I26" s="282"/>
      <c r="J26" s="282"/>
      <c r="K26" s="271"/>
      <c r="L26" s="271"/>
      <c r="M26" s="271"/>
      <c r="N26" s="282"/>
    </row>
    <row r="27" spans="1:14" ht="15.75">
      <c r="A27" s="337">
        <v>5</v>
      </c>
      <c r="B27" s="286"/>
      <c r="C27" s="255" t="s">
        <v>474</v>
      </c>
      <c r="D27" s="283" t="s">
        <v>475</v>
      </c>
      <c r="E27" s="283"/>
      <c r="F27" s="284">
        <f>'MP Attach O'!J152</f>
        <v>1388804.5529504921</v>
      </c>
      <c r="G27" s="271"/>
      <c r="H27" s="284">
        <f>'MP Attach O'!M152</f>
        <v>969441.15137376555</v>
      </c>
      <c r="I27" s="271"/>
      <c r="J27" s="282"/>
      <c r="K27" s="291"/>
      <c r="L27" s="284">
        <f>'MP Attach O'!P152</f>
        <v>419363.40157672658</v>
      </c>
      <c r="M27" s="386"/>
      <c r="N27" s="271"/>
    </row>
    <row r="28" spans="1:14" ht="15.75">
      <c r="A28" s="337">
        <v>6</v>
      </c>
      <c r="B28" s="286"/>
      <c r="C28" s="288" t="s">
        <v>476</v>
      </c>
      <c r="D28" s="283" t="s">
        <v>477</v>
      </c>
      <c r="E28" s="283"/>
      <c r="F28" s="282">
        <f>IF(F27=0,0,F27/F17)</f>
        <v>3.420430368897063E-3</v>
      </c>
      <c r="G28" s="271"/>
      <c r="H28" s="282">
        <f>IF(H27=0,0,H27/H17)</f>
        <v>3.346323753483078E-3</v>
      </c>
      <c r="I28" s="271"/>
      <c r="J28" s="282">
        <f>H28</f>
        <v>3.346323753483078E-3</v>
      </c>
      <c r="K28" s="291"/>
      <c r="L28" s="282">
        <f>IF(L27=0,0,L27/L17)</f>
        <v>3.6049843109470995E-3</v>
      </c>
      <c r="M28" s="291"/>
      <c r="N28" s="282">
        <f>L28</f>
        <v>3.6049843109470995E-3</v>
      </c>
    </row>
    <row r="29" spans="1:14" ht="15.75">
      <c r="A29" s="337"/>
      <c r="B29" s="286"/>
      <c r="C29" s="288" t="s">
        <v>478</v>
      </c>
      <c r="D29" s="283" t="s">
        <v>479</v>
      </c>
      <c r="E29" s="283"/>
      <c r="F29" s="271"/>
      <c r="G29" s="271"/>
      <c r="H29" s="271"/>
      <c r="I29" s="282"/>
      <c r="J29" s="282"/>
      <c r="K29" s="271"/>
      <c r="L29" s="271"/>
      <c r="M29" s="271"/>
      <c r="N29" s="282"/>
    </row>
    <row r="30" spans="1:14" ht="15.75">
      <c r="A30" s="337"/>
      <c r="B30" s="286"/>
      <c r="C30" s="255"/>
      <c r="D30" s="283"/>
      <c r="E30" s="283"/>
      <c r="F30" s="271"/>
      <c r="G30" s="271"/>
      <c r="H30" s="271"/>
      <c r="I30" s="282"/>
      <c r="J30" s="282"/>
      <c r="K30" s="271"/>
      <c r="L30" s="271"/>
      <c r="M30" s="271"/>
      <c r="N30" s="282"/>
    </row>
    <row r="31" spans="1:14" ht="15.75">
      <c r="A31" s="338"/>
      <c r="B31" s="286"/>
      <c r="C31" s="255" t="s">
        <v>480</v>
      </c>
      <c r="D31" s="269"/>
      <c r="E31" s="269"/>
      <c r="F31" s="271"/>
      <c r="G31" s="271"/>
      <c r="H31" s="271"/>
      <c r="I31" s="271"/>
      <c r="J31" s="282"/>
      <c r="K31" s="271"/>
      <c r="L31" s="271"/>
      <c r="M31" s="271"/>
      <c r="N31" s="282"/>
    </row>
    <row r="32" spans="1:14" ht="15.75">
      <c r="A32" s="338" t="s">
        <v>536</v>
      </c>
      <c r="B32" s="286"/>
      <c r="C32" s="255" t="s">
        <v>481</v>
      </c>
      <c r="D32" s="283" t="s">
        <v>482</v>
      </c>
      <c r="E32" s="283"/>
      <c r="F32" s="289">
        <f>'MP Attach O'!J165</f>
        <v>4687828.5644457117</v>
      </c>
      <c r="G32" s="271"/>
      <c r="H32" s="289">
        <f>'MP Attach O'!M165</f>
        <v>3655459.2348694019</v>
      </c>
      <c r="I32" s="290"/>
      <c r="J32" s="282"/>
      <c r="K32" s="291"/>
      <c r="L32" s="284">
        <f>'MP Attach O'!P165</f>
        <v>1032369.3295763108</v>
      </c>
      <c r="M32" s="386"/>
      <c r="N32" s="282"/>
    </row>
    <row r="33" spans="1:14" ht="15.75">
      <c r="A33" s="338" t="s">
        <v>537</v>
      </c>
      <c r="B33" s="286"/>
      <c r="C33" s="255" t="s">
        <v>483</v>
      </c>
      <c r="D33" s="283" t="s">
        <v>484</v>
      </c>
      <c r="E33" s="283"/>
      <c r="F33" s="282">
        <f>IF(F32=0,0,F32/F17)</f>
        <v>1.1545462716080847E-2</v>
      </c>
      <c r="G33" s="271"/>
      <c r="H33" s="282">
        <f>IF(H32=0,0,H32/H17)</f>
        <v>1.2617939779220705E-2</v>
      </c>
      <c r="I33" s="271"/>
      <c r="J33" s="282">
        <f>H33</f>
        <v>1.2617939779220705E-2</v>
      </c>
      <c r="K33" s="291"/>
      <c r="L33" s="282">
        <f>IF(L32=0,0,L32/L17)</f>
        <v>8.8745828134567436E-3</v>
      </c>
      <c r="M33" s="291"/>
      <c r="N33" s="282">
        <f>L33</f>
        <v>8.8745828134567436E-3</v>
      </c>
    </row>
    <row r="34" spans="1:14" ht="15.75">
      <c r="A34" s="338"/>
      <c r="B34" s="286"/>
      <c r="C34" s="255"/>
      <c r="D34" s="283" t="s">
        <v>485</v>
      </c>
      <c r="E34" s="283"/>
      <c r="F34" s="282"/>
      <c r="G34" s="271"/>
      <c r="H34" s="282"/>
      <c r="I34" s="271"/>
      <c r="J34" s="282"/>
      <c r="K34" s="291"/>
      <c r="L34" s="282"/>
      <c r="M34" s="291"/>
      <c r="N34" s="282"/>
    </row>
    <row r="35" spans="1:14" ht="15.75">
      <c r="A35" s="338"/>
      <c r="B35" s="286"/>
      <c r="C35" s="255"/>
      <c r="D35" s="283"/>
      <c r="E35" s="283"/>
      <c r="F35" s="282"/>
      <c r="G35" s="271"/>
      <c r="H35" s="271"/>
      <c r="I35" s="271"/>
      <c r="J35" s="282"/>
      <c r="K35" s="291"/>
      <c r="L35" s="271"/>
      <c r="M35" s="291"/>
      <c r="N35" s="282"/>
    </row>
    <row r="36" spans="1:14" ht="15.75">
      <c r="A36" s="338" t="s">
        <v>538</v>
      </c>
      <c r="B36" s="286"/>
      <c r="C36" s="255" t="s">
        <v>486</v>
      </c>
      <c r="D36" s="283" t="s">
        <v>487</v>
      </c>
      <c r="E36" s="283"/>
      <c r="F36" s="282">
        <f>F23+F28+F33</f>
        <v>7.5006445426561014E-2</v>
      </c>
      <c r="G36" s="271"/>
      <c r="H36" s="282">
        <f>H23+H28+H33</f>
        <v>8.5002778866067732E-2</v>
      </c>
      <c r="I36" s="271"/>
      <c r="J36" s="282">
        <f>H36</f>
        <v>8.5002778866067732E-2</v>
      </c>
      <c r="K36" s="291"/>
      <c r="L36" s="282">
        <f>L23+L28+L33</f>
        <v>5.0111734853132049E-2</v>
      </c>
      <c r="M36" s="291"/>
      <c r="N36" s="282">
        <f>L36</f>
        <v>5.0111734853132049E-2</v>
      </c>
    </row>
    <row r="37" spans="1:14" ht="15.75">
      <c r="A37" s="338"/>
      <c r="B37" s="286"/>
      <c r="C37" s="255"/>
      <c r="D37" s="283" t="s">
        <v>488</v>
      </c>
      <c r="E37" s="283"/>
      <c r="F37" s="282"/>
      <c r="G37" s="271"/>
      <c r="H37" s="282"/>
      <c r="I37" s="271"/>
      <c r="J37" s="282"/>
      <c r="K37" s="291"/>
      <c r="L37" s="282"/>
      <c r="M37" s="291"/>
      <c r="N37" s="282"/>
    </row>
    <row r="38" spans="1:14" ht="15.75">
      <c r="A38" s="338"/>
      <c r="B38" s="286"/>
      <c r="C38" s="255"/>
      <c r="D38" s="283"/>
      <c r="E38" s="283"/>
      <c r="F38" s="271"/>
      <c r="G38" s="271"/>
      <c r="H38" s="271"/>
      <c r="I38" s="290"/>
      <c r="J38" s="282"/>
      <c r="K38" s="271"/>
      <c r="L38" s="271"/>
      <c r="M38" s="271"/>
      <c r="N38" s="282"/>
    </row>
    <row r="39" spans="1:14" ht="15.75">
      <c r="A39" s="339"/>
      <c r="B39" s="340"/>
      <c r="C39" s="262" t="s">
        <v>489</v>
      </c>
      <c r="D39" s="283"/>
      <c r="E39" s="283"/>
      <c r="F39" s="271"/>
      <c r="G39" s="291"/>
      <c r="H39" s="271"/>
      <c r="I39" s="282"/>
      <c r="J39" s="282"/>
      <c r="K39" s="271"/>
      <c r="L39" s="271"/>
      <c r="M39" s="271"/>
      <c r="N39" s="282"/>
    </row>
    <row r="40" spans="1:14" ht="15.75">
      <c r="A40" s="338" t="s">
        <v>539</v>
      </c>
      <c r="B40" s="340"/>
      <c r="C40" s="262" t="s">
        <v>14</v>
      </c>
      <c r="D40" s="283" t="s">
        <v>490</v>
      </c>
      <c r="E40" s="283"/>
      <c r="F40" s="284">
        <f>'MP Attach O'!J178</f>
        <v>9768594.0233366545</v>
      </c>
      <c r="G40" s="291"/>
      <c r="H40" s="284">
        <f>'MP Attach O'!M178</f>
        <v>7028499.0082991235</v>
      </c>
      <c r="I40" s="282"/>
      <c r="J40" s="282"/>
      <c r="K40" s="271"/>
      <c r="L40" s="284">
        <f>'MP Attach O'!P178</f>
        <v>2740095.0150375334</v>
      </c>
      <c r="M40" s="271"/>
      <c r="N40" s="282"/>
    </row>
    <row r="41" spans="1:14" ht="15.75">
      <c r="A41" s="338" t="s">
        <v>540</v>
      </c>
      <c r="B41" s="340"/>
      <c r="C41" s="262" t="s">
        <v>491</v>
      </c>
      <c r="D41" s="283" t="s">
        <v>492</v>
      </c>
      <c r="E41" s="283"/>
      <c r="F41" s="282">
        <f>IF(F40=0,0,F40/F18)</f>
        <v>3.9472764392986165E-2</v>
      </c>
      <c r="G41" s="291"/>
      <c r="H41" s="282">
        <f>IF(H40=0,0,H40/H18)</f>
        <v>3.9486733605523044E-2</v>
      </c>
      <c r="I41" s="282"/>
      <c r="J41" s="282">
        <f>H41</f>
        <v>3.9486733605523044E-2</v>
      </c>
      <c r="K41" s="271"/>
      <c r="L41" s="282">
        <f>IF(L40=0,0,L40/L18)</f>
        <v>3.9436977721579315E-2</v>
      </c>
      <c r="M41" s="271"/>
      <c r="N41" s="282">
        <f>L41</f>
        <v>3.9436977721579315E-2</v>
      </c>
    </row>
    <row r="42" spans="1:14" ht="15.75">
      <c r="A42" s="338"/>
      <c r="B42" s="340"/>
      <c r="C42" s="262"/>
      <c r="D42" s="283" t="s">
        <v>493</v>
      </c>
      <c r="E42" s="283"/>
      <c r="F42" s="282"/>
      <c r="G42" s="291"/>
      <c r="H42" s="282"/>
      <c r="I42" s="282"/>
      <c r="J42" s="282"/>
      <c r="K42" s="271"/>
      <c r="L42" s="282"/>
      <c r="M42" s="271"/>
      <c r="N42" s="282"/>
    </row>
    <row r="43" spans="1:14" ht="15.75">
      <c r="A43" s="339"/>
      <c r="B43" s="340"/>
      <c r="C43" s="262"/>
      <c r="D43" s="283"/>
      <c r="E43" s="283"/>
      <c r="F43" s="282"/>
      <c r="G43" s="291"/>
      <c r="H43" s="271"/>
      <c r="I43" s="282"/>
      <c r="J43" s="282"/>
      <c r="K43" s="271"/>
      <c r="L43" s="271"/>
      <c r="M43" s="271"/>
      <c r="N43" s="282"/>
    </row>
    <row r="44" spans="1:14" ht="15.75">
      <c r="A44" s="338"/>
      <c r="B44" s="286"/>
      <c r="C44" s="255" t="s">
        <v>15</v>
      </c>
      <c r="D44" s="292"/>
      <c r="E44" s="292"/>
      <c r="F44" s="291"/>
      <c r="G44" s="271"/>
      <c r="H44" s="271"/>
      <c r="I44" s="291"/>
      <c r="J44" s="282"/>
      <c r="K44" s="291"/>
      <c r="L44" s="271"/>
      <c r="M44" s="291"/>
      <c r="N44" s="282"/>
    </row>
    <row r="45" spans="1:14" ht="15.75">
      <c r="A45" s="338" t="s">
        <v>541</v>
      </c>
      <c r="B45" s="286"/>
      <c r="C45" s="255" t="s">
        <v>494</v>
      </c>
      <c r="D45" s="269" t="s">
        <v>495</v>
      </c>
      <c r="E45" s="269"/>
      <c r="F45" s="284">
        <f>'MP Attach O'!J180</f>
        <v>19169034.454993229</v>
      </c>
      <c r="G45" s="293"/>
      <c r="H45" s="284">
        <f>'MP Attach O'!M180</f>
        <v>13896156.775443735</v>
      </c>
      <c r="I45" s="293"/>
      <c r="J45" s="282"/>
      <c r="K45" s="291"/>
      <c r="L45" s="284">
        <f>'MP Attach O'!P180</f>
        <v>5272877.6795494994</v>
      </c>
      <c r="M45" s="386"/>
      <c r="N45" s="282"/>
    </row>
    <row r="46" spans="1:14" ht="15.75">
      <c r="A46" s="338" t="s">
        <v>542</v>
      </c>
      <c r="B46" s="286"/>
      <c r="C46" s="255" t="s">
        <v>496</v>
      </c>
      <c r="D46" s="283" t="s">
        <v>497</v>
      </c>
      <c r="E46" s="292"/>
      <c r="F46" s="282">
        <f>IF(F45=0,0,F45/F18)</f>
        <v>7.745790017226363E-2</v>
      </c>
      <c r="G46" s="271"/>
      <c r="H46" s="282">
        <f>IF(H45=0,0,H45/H18)</f>
        <v>7.806984678871258E-2</v>
      </c>
      <c r="I46" s="294"/>
      <c r="J46" s="282">
        <f>H46</f>
        <v>7.806984678871258E-2</v>
      </c>
      <c r="K46" s="295"/>
      <c r="L46" s="282">
        <f>IF(L45=0,0,L45/L18)</f>
        <v>7.5890200316341236E-2</v>
      </c>
      <c r="M46" s="295"/>
      <c r="N46" s="282">
        <f>L46</f>
        <v>7.5890200316341236E-2</v>
      </c>
    </row>
    <row r="47" spans="1:14" ht="15.75">
      <c r="A47" s="338"/>
      <c r="B47" s="286"/>
      <c r="C47" s="255"/>
      <c r="D47" s="283" t="s">
        <v>498</v>
      </c>
      <c r="E47" s="292"/>
      <c r="F47" s="282"/>
      <c r="G47" s="271"/>
      <c r="H47" s="282"/>
      <c r="I47" s="294"/>
      <c r="J47" s="282"/>
      <c r="K47" s="295"/>
      <c r="L47" s="282"/>
      <c r="M47" s="295"/>
      <c r="N47" s="282"/>
    </row>
    <row r="48" spans="1:14" ht="15.75">
      <c r="A48" s="339"/>
      <c r="B48" s="340"/>
      <c r="C48" s="255"/>
      <c r="D48" s="292"/>
      <c r="E48" s="292"/>
      <c r="F48" s="271"/>
      <c r="G48" s="271"/>
      <c r="H48" s="295"/>
      <c r="I48" s="294"/>
      <c r="J48" s="282"/>
      <c r="K48" s="295"/>
      <c r="L48" s="271"/>
      <c r="M48" s="295"/>
      <c r="N48" s="282"/>
    </row>
    <row r="49" spans="1:14" ht="15.75">
      <c r="A49" s="338" t="s">
        <v>543</v>
      </c>
      <c r="B49" s="340"/>
      <c r="C49" s="255" t="s">
        <v>499</v>
      </c>
      <c r="D49" s="283" t="s">
        <v>500</v>
      </c>
      <c r="E49" s="292"/>
      <c r="F49" s="296"/>
      <c r="G49" s="271"/>
      <c r="H49" s="294">
        <f>H41+H46</f>
        <v>0.11755658039423562</v>
      </c>
      <c r="I49" s="294"/>
      <c r="J49" s="282">
        <f>H49</f>
        <v>0.11755658039423562</v>
      </c>
      <c r="K49" s="295"/>
      <c r="L49" s="294">
        <f>L41+L46</f>
        <v>0.11532717803792056</v>
      </c>
      <c r="M49" s="295"/>
      <c r="N49" s="282"/>
    </row>
    <row r="50" spans="1:14" ht="15.75">
      <c r="A50" s="339"/>
      <c r="B50" s="340"/>
      <c r="C50" s="255"/>
      <c r="D50" s="283" t="s">
        <v>501</v>
      </c>
      <c r="E50" s="292"/>
      <c r="F50" s="271" t="s">
        <v>3</v>
      </c>
      <c r="G50" s="271"/>
      <c r="H50" s="271"/>
      <c r="I50" s="294"/>
      <c r="J50" s="271"/>
      <c r="K50" s="295"/>
      <c r="L50" s="295"/>
      <c r="M50" s="295"/>
      <c r="N50" s="271" t="s">
        <v>3</v>
      </c>
    </row>
    <row r="51" spans="1:14" ht="15.75">
      <c r="A51" s="339"/>
      <c r="B51" s="340"/>
      <c r="C51" s="255"/>
      <c r="D51" s="292"/>
      <c r="E51" s="292"/>
      <c r="F51" s="271"/>
      <c r="G51" s="271"/>
      <c r="H51" s="271"/>
      <c r="I51" s="294"/>
      <c r="J51" s="271"/>
      <c r="K51" s="295"/>
      <c r="L51" s="295"/>
      <c r="M51" s="295"/>
      <c r="N51" s="271"/>
    </row>
    <row r="52" spans="1:14">
      <c r="A52" s="339"/>
      <c r="B52" s="340"/>
      <c r="C52" s="274"/>
      <c r="D52" s="297"/>
      <c r="E52" s="297"/>
      <c r="F52" s="271"/>
      <c r="G52" s="274"/>
      <c r="H52" s="274"/>
      <c r="I52" s="282"/>
      <c r="J52" s="271"/>
      <c r="K52" s="271"/>
      <c r="L52" s="271"/>
      <c r="M52" s="271"/>
      <c r="N52" s="271"/>
    </row>
    <row r="53" spans="1:14" ht="15.75">
      <c r="A53" s="341"/>
      <c r="B53" s="340"/>
      <c r="C53" s="272"/>
      <c r="D53" s="269"/>
      <c r="E53" s="269"/>
      <c r="F53" s="262"/>
      <c r="G53" s="255"/>
      <c r="H53" s="255"/>
      <c r="I53" s="298"/>
      <c r="J53" s="271"/>
      <c r="K53" s="262"/>
      <c r="L53" s="263"/>
      <c r="M53" s="262"/>
      <c r="N53" s="271"/>
    </row>
    <row r="54" spans="1:14" ht="15.75">
      <c r="A54" s="341"/>
      <c r="B54" s="342"/>
      <c r="C54" s="272"/>
      <c r="D54" s="269"/>
      <c r="E54" s="269"/>
      <c r="F54" s="262"/>
      <c r="G54" s="255"/>
      <c r="H54" s="255"/>
      <c r="I54" s="298"/>
      <c r="J54" s="271"/>
      <c r="K54" s="262"/>
      <c r="L54" s="262"/>
      <c r="M54" s="262"/>
      <c r="N54" s="271"/>
    </row>
    <row r="55" spans="1:14">
      <c r="A55" s="335"/>
      <c r="B55" s="286"/>
      <c r="C55" s="274"/>
      <c r="D55" s="274"/>
      <c r="E55" s="274"/>
      <c r="F55" s="271"/>
      <c r="G55" s="274"/>
      <c r="H55" s="274"/>
      <c r="I55" s="274"/>
      <c r="J55" s="276"/>
      <c r="K55" s="274"/>
      <c r="L55" s="274"/>
      <c r="M55" s="274"/>
      <c r="N55" s="271"/>
    </row>
    <row r="56" spans="1:14">
      <c r="A56" s="263"/>
      <c r="B56" s="263"/>
      <c r="C56" s="263"/>
      <c r="D56" s="263"/>
      <c r="E56" s="263"/>
      <c r="F56" s="263"/>
      <c r="G56" s="263"/>
      <c r="H56" s="263"/>
      <c r="I56" s="263"/>
      <c r="J56" s="263"/>
      <c r="K56" s="263"/>
      <c r="L56" s="263"/>
      <c r="M56" s="263"/>
      <c r="N56" s="263"/>
    </row>
    <row r="57" spans="1:14">
      <c r="A57" s="263"/>
      <c r="B57" s="263"/>
      <c r="C57" s="263"/>
      <c r="D57" s="263"/>
      <c r="E57" s="263"/>
      <c r="F57" s="263"/>
      <c r="G57" s="263"/>
      <c r="H57" s="263"/>
      <c r="I57" s="263"/>
      <c r="J57" s="263"/>
      <c r="K57" s="263"/>
      <c r="L57" s="263"/>
      <c r="M57" s="263"/>
      <c r="N57" s="263"/>
    </row>
    <row r="58" spans="1:14">
      <c r="A58" s="299"/>
      <c r="B58" s="299"/>
      <c r="C58" s="299"/>
      <c r="D58" s="299"/>
      <c r="E58" s="299"/>
      <c r="F58" s="299"/>
      <c r="G58" s="299"/>
      <c r="H58" s="299"/>
      <c r="I58" s="299"/>
      <c r="J58" s="299"/>
      <c r="K58" s="299"/>
      <c r="L58" s="299"/>
      <c r="M58" s="299"/>
      <c r="N58" s="300"/>
    </row>
    <row r="59" spans="1:14">
      <c r="A59" s="299"/>
      <c r="B59" s="299"/>
      <c r="C59" s="299"/>
      <c r="D59" s="299"/>
      <c r="E59" s="299"/>
      <c r="F59" s="299"/>
      <c r="G59" s="299"/>
      <c r="H59" s="299"/>
      <c r="I59" s="299"/>
      <c r="J59" s="299"/>
      <c r="K59" s="299"/>
      <c r="L59" s="299"/>
      <c r="M59" s="299"/>
      <c r="N59" s="300"/>
    </row>
    <row r="60" spans="1:14">
      <c r="A60" s="299"/>
      <c r="B60" s="299"/>
      <c r="C60" s="299"/>
      <c r="D60" s="299"/>
      <c r="E60" s="299"/>
      <c r="F60" s="299"/>
      <c r="G60" s="299"/>
      <c r="H60" s="299"/>
      <c r="I60" s="299"/>
      <c r="J60" s="299"/>
      <c r="K60" s="299"/>
      <c r="L60" s="299"/>
      <c r="M60" s="299"/>
      <c r="N60" s="299"/>
    </row>
    <row r="61" spans="1:14">
      <c r="A61" s="343"/>
      <c r="B61" s="299"/>
      <c r="C61" s="301"/>
      <c r="D61" s="301"/>
      <c r="E61" s="301"/>
      <c r="F61" s="301"/>
      <c r="G61" s="302"/>
      <c r="H61" s="301"/>
      <c r="I61" s="301"/>
      <c r="J61" s="301"/>
      <c r="K61" s="301"/>
      <c r="L61" s="299"/>
      <c r="M61" s="302"/>
      <c r="N61" s="303" t="s">
        <v>457</v>
      </c>
    </row>
    <row r="62" spans="1:14">
      <c r="A62" s="343"/>
      <c r="B62" s="299"/>
      <c r="C62" s="301" t="str">
        <f>+C4</f>
        <v>Formula Rate calculation</v>
      </c>
      <c r="D62" s="301"/>
      <c r="E62" s="301"/>
      <c r="F62" s="301"/>
      <c r="G62" s="304" t="str">
        <f>+F4</f>
        <v xml:space="preserve">     Rate Formula Template</v>
      </c>
      <c r="H62" s="301"/>
      <c r="I62" s="301"/>
      <c r="J62" s="301"/>
      <c r="K62" s="301"/>
      <c r="L62" s="299"/>
      <c r="M62" s="302"/>
      <c r="N62" s="303" t="str">
        <f>+N4</f>
        <v>For the 12 months ended 12/31/12</v>
      </c>
    </row>
    <row r="63" spans="1:14">
      <c r="A63" s="343"/>
      <c r="B63" s="299"/>
      <c r="C63" s="301"/>
      <c r="D63" s="301"/>
      <c r="E63" s="301"/>
      <c r="F63" s="301"/>
      <c r="G63" s="304" t="str">
        <f>+F5</f>
        <v xml:space="preserve"> Utilizing Attachment O Data</v>
      </c>
      <c r="H63" s="301"/>
      <c r="I63" s="301"/>
      <c r="J63" s="301"/>
      <c r="K63" s="301"/>
      <c r="L63" s="302"/>
      <c r="M63" s="302"/>
      <c r="N63" s="299"/>
    </row>
    <row r="64" spans="1:14">
      <c r="A64" s="343"/>
      <c r="B64" s="299"/>
      <c r="C64" s="301"/>
      <c r="D64" s="301"/>
      <c r="E64" s="301"/>
      <c r="F64" s="301"/>
      <c r="G64" s="301"/>
      <c r="H64" s="301"/>
      <c r="I64" s="301"/>
      <c r="J64" s="301"/>
      <c r="K64" s="301"/>
      <c r="L64" s="299"/>
      <c r="M64" s="302"/>
      <c r="N64" s="301" t="s">
        <v>502</v>
      </c>
    </row>
    <row r="65" spans="1:14">
      <c r="A65" s="343"/>
      <c r="B65" s="299"/>
      <c r="C65" s="299"/>
      <c r="D65" s="299"/>
      <c r="E65" s="301"/>
      <c r="F65" s="301"/>
      <c r="G65" s="304" t="str">
        <f>+F7</f>
        <v>Allete, Inc. dba Minnesota Power</v>
      </c>
      <c r="H65" s="301"/>
      <c r="I65" s="301"/>
      <c r="J65" s="301"/>
      <c r="K65" s="301"/>
      <c r="L65" s="301"/>
      <c r="M65" s="302"/>
      <c r="N65" s="302"/>
    </row>
    <row r="66" spans="1:14">
      <c r="A66" s="343"/>
      <c r="B66" s="299"/>
      <c r="C66" s="299"/>
      <c r="D66" s="299"/>
      <c r="E66" s="301"/>
      <c r="F66" s="301"/>
      <c r="G66" s="301"/>
      <c r="H66" s="301"/>
      <c r="I66" s="301"/>
      <c r="J66" s="301"/>
      <c r="K66" s="301"/>
      <c r="L66" s="301"/>
      <c r="M66" s="301"/>
      <c r="N66" s="301"/>
    </row>
    <row r="67" spans="1:14" ht="15.75">
      <c r="A67" s="343"/>
      <c r="B67" s="299"/>
      <c r="C67" s="301"/>
      <c r="D67" s="301"/>
      <c r="E67" s="305" t="s">
        <v>503</v>
      </c>
      <c r="F67" s="305"/>
      <c r="G67" s="299"/>
      <c r="H67" s="306"/>
      <c r="I67" s="306"/>
      <c r="J67" s="306"/>
      <c r="K67" s="306"/>
      <c r="L67" s="306"/>
      <c r="M67" s="302"/>
      <c r="N67" s="302"/>
    </row>
    <row r="68" spans="1:14" ht="15.75">
      <c r="A68" s="343"/>
      <c r="B68" s="299"/>
      <c r="C68" s="301"/>
      <c r="D68" s="301"/>
      <c r="E68" s="305"/>
      <c r="F68" s="305"/>
      <c r="G68" s="299"/>
      <c r="H68" s="306"/>
      <c r="I68" s="306"/>
      <c r="J68" s="306"/>
      <c r="K68" s="306"/>
      <c r="L68" s="306"/>
      <c r="M68" s="302"/>
      <c r="N68" s="302"/>
    </row>
    <row r="69" spans="1:14" ht="15.75">
      <c r="A69" s="343"/>
      <c r="B69" s="299"/>
      <c r="C69" s="307">
        <v>-1</v>
      </c>
      <c r="D69" s="307">
        <v>-2</v>
      </c>
      <c r="E69" s="307">
        <v>-3</v>
      </c>
      <c r="F69" s="307">
        <v>-4</v>
      </c>
      <c r="G69" s="307">
        <v>-5</v>
      </c>
      <c r="H69" s="307">
        <v>-6</v>
      </c>
      <c r="I69" s="307">
        <v>-7</v>
      </c>
      <c r="J69" s="307">
        <v>-8</v>
      </c>
      <c r="K69" s="307">
        <v>-9</v>
      </c>
      <c r="L69" s="307">
        <v>-10</v>
      </c>
      <c r="M69" s="307">
        <v>-11</v>
      </c>
      <c r="N69" s="307">
        <v>-12</v>
      </c>
    </row>
    <row r="70" spans="1:14" ht="63">
      <c r="A70" s="344" t="s">
        <v>544</v>
      </c>
      <c r="B70" s="308"/>
      <c r="C70" s="308" t="s">
        <v>504</v>
      </c>
      <c r="D70" s="309" t="s">
        <v>505</v>
      </c>
      <c r="E70" s="310" t="s">
        <v>506</v>
      </c>
      <c r="F70" s="310" t="s">
        <v>507</v>
      </c>
      <c r="G70" s="311" t="s">
        <v>508</v>
      </c>
      <c r="H70" s="310" t="s">
        <v>509</v>
      </c>
      <c r="I70" s="310" t="s">
        <v>499</v>
      </c>
      <c r="J70" s="311" t="s">
        <v>510</v>
      </c>
      <c r="K70" s="310" t="s">
        <v>511</v>
      </c>
      <c r="L70" s="312" t="s">
        <v>512</v>
      </c>
      <c r="M70" s="313" t="s">
        <v>513</v>
      </c>
      <c r="N70" s="312" t="s">
        <v>514</v>
      </c>
    </row>
    <row r="71" spans="1:14" ht="30">
      <c r="A71" s="345" t="s">
        <v>545</v>
      </c>
      <c r="B71" s="314"/>
      <c r="C71" s="314"/>
      <c r="D71" s="314"/>
      <c r="E71" s="315" t="s">
        <v>5</v>
      </c>
      <c r="F71" s="316" t="s">
        <v>515</v>
      </c>
      <c r="G71" s="317" t="s">
        <v>516</v>
      </c>
      <c r="H71" s="315" t="s">
        <v>6</v>
      </c>
      <c r="I71" s="316" t="s">
        <v>517</v>
      </c>
      <c r="J71" s="317" t="s">
        <v>518</v>
      </c>
      <c r="K71" s="315" t="s">
        <v>519</v>
      </c>
      <c r="L71" s="317" t="s">
        <v>520</v>
      </c>
      <c r="M71" s="318" t="s">
        <v>521</v>
      </c>
      <c r="N71" s="319" t="s">
        <v>522</v>
      </c>
    </row>
    <row r="72" spans="1:14">
      <c r="A72" s="346"/>
      <c r="B72" s="306"/>
      <c r="C72" s="306"/>
      <c r="D72" s="306"/>
      <c r="E72" s="306"/>
      <c r="F72" s="306"/>
      <c r="G72" s="320"/>
      <c r="H72" s="306"/>
      <c r="I72" s="306"/>
      <c r="J72" s="320"/>
      <c r="K72" s="306"/>
      <c r="L72" s="320"/>
      <c r="M72" s="302"/>
      <c r="N72" s="321"/>
    </row>
    <row r="73" spans="1:14">
      <c r="A73" s="347" t="s">
        <v>13</v>
      </c>
      <c r="B73" s="299"/>
      <c r="C73" s="301" t="s">
        <v>565</v>
      </c>
      <c r="D73" s="363">
        <v>277</v>
      </c>
      <c r="E73" s="380">
        <v>20870216.024615385</v>
      </c>
      <c r="F73" s="324">
        <f t="shared" ref="F73:F79" si="0">+$H$36</f>
        <v>8.5002778866067732E-2</v>
      </c>
      <c r="G73" s="372">
        <f t="shared" ref="G73:G79" si="1">E73*F73</f>
        <v>1774026.3576274447</v>
      </c>
      <c r="H73" s="380">
        <v>19461977.024615381</v>
      </c>
      <c r="I73" s="324">
        <f t="shared" ref="I73:I79" si="2">+$H$49</f>
        <v>0.11755658039423562</v>
      </c>
      <c r="J73" s="372">
        <f t="shared" ref="J73:J79" si="3">H73*I73</f>
        <v>2287883.4667249648</v>
      </c>
      <c r="K73" s="380">
        <v>526260</v>
      </c>
      <c r="L73" s="372">
        <f t="shared" ref="L73:L79" si="4">G73+J73+K73</f>
        <v>4588169.8243524097</v>
      </c>
      <c r="M73" s="380">
        <v>628064</v>
      </c>
      <c r="N73" s="378">
        <f>L73+M73</f>
        <v>5216233.8243524097</v>
      </c>
    </row>
    <row r="74" spans="1:14">
      <c r="A74" s="347" t="s">
        <v>546</v>
      </c>
      <c r="B74" s="299"/>
      <c r="C74" s="301" t="s">
        <v>564</v>
      </c>
      <c r="D74" s="363">
        <v>279</v>
      </c>
      <c r="E74" s="380">
        <v>9890398.2123076934</v>
      </c>
      <c r="F74" s="324">
        <f t="shared" si="0"/>
        <v>8.5002778866067732E-2</v>
      </c>
      <c r="G74" s="372">
        <f t="shared" si="1"/>
        <v>840711.33213814243</v>
      </c>
      <c r="H74" s="380">
        <v>9876323.4552175291</v>
      </c>
      <c r="I74" s="324">
        <f t="shared" si="2"/>
        <v>0.11755658039423562</v>
      </c>
      <c r="J74" s="372">
        <f t="shared" si="3"/>
        <v>1161026.8122627544</v>
      </c>
      <c r="K74" s="380">
        <v>78202.242452583334</v>
      </c>
      <c r="L74" s="372">
        <f t="shared" si="4"/>
        <v>2079940.3868534802</v>
      </c>
      <c r="M74" s="380">
        <v>0</v>
      </c>
      <c r="N74" s="378">
        <f>L74+M74</f>
        <v>2079940.3868534802</v>
      </c>
    </row>
    <row r="75" spans="1:14">
      <c r="A75" s="347" t="s">
        <v>547</v>
      </c>
      <c r="B75" s="299"/>
      <c r="C75" s="301" t="s">
        <v>560</v>
      </c>
      <c r="D75" s="363" t="s">
        <v>557</v>
      </c>
      <c r="E75" s="380">
        <v>11860629.960000005</v>
      </c>
      <c r="F75" s="324">
        <f t="shared" si="0"/>
        <v>8.5002778866067732E-2</v>
      </c>
      <c r="G75" s="372">
        <f t="shared" si="1"/>
        <v>1008186.5057021382</v>
      </c>
      <c r="H75" s="380">
        <v>11568600.368982</v>
      </c>
      <c r="I75" s="324">
        <f t="shared" si="2"/>
        <v>0.11755658039423562</v>
      </c>
      <c r="J75" s="372">
        <f t="shared" si="3"/>
        <v>1359965.0993250164</v>
      </c>
      <c r="K75" s="380">
        <v>285841.18203599984</v>
      </c>
      <c r="L75" s="372">
        <f t="shared" si="4"/>
        <v>2653992.7870631544</v>
      </c>
      <c r="M75" s="380">
        <v>0</v>
      </c>
      <c r="N75" s="378">
        <f>L75+M75</f>
        <v>2653992.7870631544</v>
      </c>
    </row>
    <row r="76" spans="1:14">
      <c r="A76" s="347"/>
      <c r="B76" s="299"/>
      <c r="C76" s="301" t="s">
        <v>561</v>
      </c>
      <c r="D76" s="363" t="s">
        <v>558</v>
      </c>
      <c r="E76" s="380">
        <v>12259721.836153844</v>
      </c>
      <c r="F76" s="324">
        <f t="shared" si="0"/>
        <v>8.5002778866067732E-2</v>
      </c>
      <c r="G76" s="372">
        <f t="shared" si="1"/>
        <v>1042110.4241980871</v>
      </c>
      <c r="H76" s="380">
        <v>12259721.836153844</v>
      </c>
      <c r="I76" s="324">
        <f t="shared" si="2"/>
        <v>0.11755658039423562</v>
      </c>
      <c r="J76" s="372">
        <f t="shared" si="3"/>
        <v>1441210.9756427854</v>
      </c>
      <c r="K76" s="380">
        <v>0</v>
      </c>
      <c r="L76" s="372">
        <f t="shared" si="4"/>
        <v>2483321.3998408727</v>
      </c>
      <c r="M76" s="380">
        <v>0</v>
      </c>
      <c r="N76" s="378">
        <f>L76+M76</f>
        <v>2483321.3998408727</v>
      </c>
    </row>
    <row r="77" spans="1:14">
      <c r="A77" s="347"/>
      <c r="B77" s="299"/>
      <c r="C77" s="301" t="s">
        <v>562</v>
      </c>
      <c r="D77" s="363" t="s">
        <v>559</v>
      </c>
      <c r="E77" s="380">
        <v>3358962.7061538449</v>
      </c>
      <c r="F77" s="324">
        <f t="shared" si="0"/>
        <v>8.5002778866067732E-2</v>
      </c>
      <c r="G77" s="372">
        <f t="shared" si="1"/>
        <v>285521.16413056373</v>
      </c>
      <c r="H77" s="380">
        <v>3358962.7061538449</v>
      </c>
      <c r="I77" s="324">
        <f t="shared" si="2"/>
        <v>0.11755658039423562</v>
      </c>
      <c r="J77" s="372">
        <f t="shared" si="3"/>
        <v>394868.16940721375</v>
      </c>
      <c r="K77" s="380">
        <v>0</v>
      </c>
      <c r="L77" s="372">
        <f t="shared" si="4"/>
        <v>680389.33353777742</v>
      </c>
      <c r="M77" s="380">
        <v>0</v>
      </c>
      <c r="N77" s="378">
        <f>L77+M77</f>
        <v>680389.33353777742</v>
      </c>
    </row>
    <row r="78" spans="1:14" s="367" customFormat="1">
      <c r="A78" s="368" t="s">
        <v>548</v>
      </c>
      <c r="B78" s="368"/>
      <c r="C78" s="368" t="s">
        <v>563</v>
      </c>
      <c r="D78" s="368">
        <v>3373</v>
      </c>
      <c r="E78" s="380">
        <v>0</v>
      </c>
      <c r="F78" s="324">
        <f t="shared" si="0"/>
        <v>8.5002778866067732E-2</v>
      </c>
      <c r="G78" s="373">
        <f t="shared" si="1"/>
        <v>0</v>
      </c>
      <c r="H78" s="381">
        <v>0</v>
      </c>
      <c r="I78" s="371">
        <f t="shared" si="2"/>
        <v>0.11755658039423562</v>
      </c>
      <c r="J78" s="375">
        <f t="shared" si="3"/>
        <v>0</v>
      </c>
      <c r="K78" s="381">
        <v>0</v>
      </c>
      <c r="L78" s="377">
        <f t="shared" si="4"/>
        <v>0</v>
      </c>
      <c r="M78" s="382">
        <v>0</v>
      </c>
      <c r="N78" s="378">
        <f t="shared" ref="N78:N79" si="5">L78+M78</f>
        <v>0</v>
      </c>
    </row>
    <row r="79" spans="1:14" s="367" customFormat="1">
      <c r="A79" s="365" t="s">
        <v>556</v>
      </c>
      <c r="B79" s="366"/>
      <c r="C79" s="369" t="s">
        <v>566</v>
      </c>
      <c r="D79" s="366">
        <v>1025</v>
      </c>
      <c r="E79" s="383">
        <v>0</v>
      </c>
      <c r="F79" s="370">
        <f t="shared" si="0"/>
        <v>8.5002778866067732E-2</v>
      </c>
      <c r="G79" s="374">
        <f t="shared" si="1"/>
        <v>0</v>
      </c>
      <c r="H79" s="384">
        <v>0</v>
      </c>
      <c r="I79" s="370">
        <f t="shared" si="2"/>
        <v>0.11755658039423562</v>
      </c>
      <c r="J79" s="376">
        <f t="shared" si="3"/>
        <v>0</v>
      </c>
      <c r="K79" s="384">
        <v>0</v>
      </c>
      <c r="L79" s="376">
        <f t="shared" si="4"/>
        <v>0</v>
      </c>
      <c r="M79" s="385">
        <v>0</v>
      </c>
      <c r="N79" s="379">
        <f t="shared" si="5"/>
        <v>0</v>
      </c>
    </row>
    <row r="80" spans="1:14">
      <c r="A80" s="350" t="s">
        <v>549</v>
      </c>
      <c r="B80" s="351"/>
      <c r="C80" s="301" t="s">
        <v>523</v>
      </c>
      <c r="D80" s="301"/>
      <c r="E80" s="332"/>
      <c r="F80" s="332"/>
      <c r="G80" s="302"/>
      <c r="H80" s="302"/>
      <c r="I80" s="302"/>
      <c r="J80" s="302"/>
      <c r="K80" s="302"/>
      <c r="L80" s="333">
        <f>SUM(L73:L79)</f>
        <v>12485813.731647694</v>
      </c>
      <c r="M80" s="333">
        <f>SUM(M73:M79)</f>
        <v>628064</v>
      </c>
      <c r="N80" s="333">
        <f>SUM(N73:N79)</f>
        <v>13113877.731647694</v>
      </c>
    </row>
    <row r="81" spans="1:14">
      <c r="A81" s="350"/>
      <c r="B81" s="351"/>
      <c r="C81" s="301"/>
      <c r="D81" s="301"/>
      <c r="E81" s="332"/>
      <c r="F81" s="332"/>
      <c r="G81" s="302"/>
      <c r="H81" s="302"/>
      <c r="I81" s="302"/>
      <c r="J81" s="302"/>
      <c r="K81" s="302"/>
      <c r="L81" s="333"/>
      <c r="M81" s="333"/>
      <c r="N81" s="333"/>
    </row>
    <row r="82" spans="1:14">
      <c r="A82" s="350"/>
      <c r="B82" s="351"/>
      <c r="C82" s="301"/>
      <c r="D82" s="301"/>
      <c r="E82" s="332"/>
      <c r="F82" s="332"/>
      <c r="G82" s="302"/>
      <c r="H82" s="302"/>
      <c r="I82" s="302"/>
      <c r="J82" s="302"/>
      <c r="K82" s="302"/>
      <c r="L82" s="333"/>
      <c r="M82" s="333"/>
      <c r="N82" s="333"/>
    </row>
    <row r="83" spans="1:14" ht="30">
      <c r="A83" s="345" t="s">
        <v>550</v>
      </c>
      <c r="B83" s="314"/>
      <c r="C83" s="314"/>
      <c r="D83" s="314"/>
      <c r="E83" s="315" t="s">
        <v>5</v>
      </c>
      <c r="F83" s="316" t="s">
        <v>524</v>
      </c>
      <c r="G83" s="317" t="s">
        <v>516</v>
      </c>
      <c r="H83" s="315" t="s">
        <v>6</v>
      </c>
      <c r="I83" s="316" t="s">
        <v>525</v>
      </c>
      <c r="J83" s="317" t="s">
        <v>518</v>
      </c>
      <c r="K83" s="315" t="s">
        <v>519</v>
      </c>
      <c r="L83" s="317" t="s">
        <v>520</v>
      </c>
      <c r="M83" s="318" t="s">
        <v>521</v>
      </c>
      <c r="N83" s="319" t="s">
        <v>522</v>
      </c>
    </row>
    <row r="84" spans="1:14">
      <c r="A84" s="346"/>
      <c r="B84" s="306"/>
      <c r="C84" s="306"/>
      <c r="D84" s="306"/>
      <c r="E84" s="306"/>
      <c r="F84" s="306"/>
      <c r="G84" s="320"/>
      <c r="H84" s="306"/>
      <c r="I84" s="306"/>
      <c r="J84" s="320"/>
      <c r="K84" s="306"/>
      <c r="L84" s="320"/>
      <c r="M84" s="302"/>
      <c r="N84" s="321"/>
    </row>
    <row r="85" spans="1:14">
      <c r="A85" s="352" t="s">
        <v>551</v>
      </c>
      <c r="B85" s="299"/>
      <c r="C85" s="334"/>
      <c r="D85" s="322"/>
      <c r="E85" s="323">
        <v>0</v>
      </c>
      <c r="F85" s="324">
        <f>+$L$36</f>
        <v>5.0111734853132049E-2</v>
      </c>
      <c r="G85" s="325">
        <f>E85*F85</f>
        <v>0</v>
      </c>
      <c r="H85" s="323">
        <v>0</v>
      </c>
      <c r="I85" s="324">
        <f>+$L$49</f>
        <v>0.11532717803792056</v>
      </c>
      <c r="J85" s="325">
        <f>H85*I85</f>
        <v>0</v>
      </c>
      <c r="K85" s="323">
        <v>0</v>
      </c>
      <c r="L85" s="325">
        <f>G85+J85+K85</f>
        <v>0</v>
      </c>
      <c r="M85" s="323">
        <v>0</v>
      </c>
      <c r="N85" s="326">
        <f>L85+M85</f>
        <v>0</v>
      </c>
    </row>
    <row r="86" spans="1:14">
      <c r="A86" s="352" t="s">
        <v>552</v>
      </c>
      <c r="B86" s="299"/>
      <c r="C86" s="299"/>
      <c r="D86" s="322"/>
      <c r="E86" s="323">
        <v>0</v>
      </c>
      <c r="F86" s="324">
        <f>+$L$36</f>
        <v>5.0111734853132049E-2</v>
      </c>
      <c r="G86" s="325">
        <f>E86*F86</f>
        <v>0</v>
      </c>
      <c r="H86" s="323">
        <v>0</v>
      </c>
      <c r="I86" s="324">
        <f>+$L$49</f>
        <v>0.11532717803792056</v>
      </c>
      <c r="J86" s="325">
        <f>H86*I86</f>
        <v>0</v>
      </c>
      <c r="K86" s="323">
        <v>0</v>
      </c>
      <c r="L86" s="325">
        <f>G86+J86+K86</f>
        <v>0</v>
      </c>
      <c r="M86" s="323">
        <v>0</v>
      </c>
      <c r="N86" s="326">
        <f>L86+M86</f>
        <v>0</v>
      </c>
    </row>
    <row r="87" spans="1:14">
      <c r="A87" s="352" t="s">
        <v>553</v>
      </c>
      <c r="B87" s="299"/>
      <c r="C87" s="299"/>
      <c r="D87" s="322"/>
      <c r="E87" s="323">
        <v>0</v>
      </c>
      <c r="F87" s="324">
        <f>+$L$36</f>
        <v>5.0111734853132049E-2</v>
      </c>
      <c r="G87" s="325">
        <f>E87*F87</f>
        <v>0</v>
      </c>
      <c r="H87" s="323">
        <v>0</v>
      </c>
      <c r="I87" s="324">
        <f>+$L$49</f>
        <v>0.11532717803792056</v>
      </c>
      <c r="J87" s="325">
        <f>H87*I87</f>
        <v>0</v>
      </c>
      <c r="K87" s="323">
        <v>0</v>
      </c>
      <c r="L87" s="325">
        <f>G87+J87+K87</f>
        <v>0</v>
      </c>
      <c r="M87" s="323">
        <v>0</v>
      </c>
      <c r="N87" s="326">
        <f>L87+M87</f>
        <v>0</v>
      </c>
    </row>
    <row r="88" spans="1:14">
      <c r="A88" s="347"/>
      <c r="B88" s="299"/>
      <c r="C88" s="327"/>
      <c r="D88" s="328"/>
      <c r="E88" s="327"/>
      <c r="F88" s="327"/>
      <c r="G88" s="329"/>
      <c r="H88" s="327"/>
      <c r="I88" s="327"/>
      <c r="J88" s="329"/>
      <c r="K88" s="327"/>
      <c r="L88" s="329"/>
      <c r="M88" s="327"/>
      <c r="N88" s="329"/>
    </row>
    <row r="89" spans="1:14">
      <c r="A89" s="348"/>
      <c r="B89" s="349"/>
      <c r="C89" s="330"/>
      <c r="D89" s="330"/>
      <c r="E89" s="330"/>
      <c r="F89" s="330"/>
      <c r="G89" s="331"/>
      <c r="H89" s="330"/>
      <c r="I89" s="330"/>
      <c r="J89" s="331"/>
      <c r="K89" s="330"/>
      <c r="L89" s="331"/>
      <c r="M89" s="330"/>
      <c r="N89" s="331"/>
    </row>
    <row r="90" spans="1:14">
      <c r="A90" s="350" t="s">
        <v>554</v>
      </c>
      <c r="B90" s="351"/>
      <c r="C90" s="301" t="s">
        <v>526</v>
      </c>
      <c r="D90" s="301"/>
      <c r="E90" s="332"/>
      <c r="F90" s="332"/>
      <c r="G90" s="302"/>
      <c r="H90" s="302"/>
      <c r="I90" s="302"/>
      <c r="J90" s="302"/>
      <c r="K90" s="302"/>
      <c r="L90" s="333">
        <f>SUM(L85:L89)</f>
        <v>0</v>
      </c>
      <c r="M90" s="333">
        <f>SUM(M85:M89)</f>
        <v>0</v>
      </c>
      <c r="N90" s="333">
        <f>SUM(N85:N89)</f>
        <v>0</v>
      </c>
    </row>
    <row r="91" spans="1:14">
      <c r="A91" s="350"/>
      <c r="B91" s="351"/>
      <c r="C91" s="301"/>
      <c r="D91" s="301"/>
      <c r="E91" s="332"/>
      <c r="F91" s="332"/>
      <c r="G91" s="302"/>
      <c r="H91" s="302"/>
      <c r="I91" s="302"/>
      <c r="J91" s="302"/>
      <c r="K91" s="302"/>
      <c r="L91" s="333"/>
      <c r="M91" s="333"/>
      <c r="N91" s="333"/>
    </row>
    <row r="92" spans="1:14">
      <c r="A92" s="353">
        <v>5</v>
      </c>
      <c r="B92" s="327"/>
      <c r="C92" s="301" t="s">
        <v>527</v>
      </c>
      <c r="D92" s="327"/>
      <c r="E92" s="327"/>
      <c r="F92" s="327"/>
      <c r="G92" s="327"/>
      <c r="H92" s="327"/>
      <c r="I92" s="327"/>
      <c r="J92" s="327"/>
      <c r="K92" s="327"/>
      <c r="L92" s="333">
        <f>+L80+L90</f>
        <v>12485813.731647694</v>
      </c>
      <c r="M92" s="327"/>
      <c r="N92" s="333">
        <f>+N80+N90</f>
        <v>13113877.731647694</v>
      </c>
    </row>
    <row r="93" spans="1:14">
      <c r="A93" s="327"/>
      <c r="B93" s="327"/>
      <c r="C93" s="327"/>
      <c r="D93" s="327"/>
      <c r="E93" s="327"/>
      <c r="F93" s="327"/>
      <c r="G93" s="327"/>
      <c r="H93" s="327"/>
      <c r="I93" s="327"/>
      <c r="J93" s="327"/>
      <c r="K93" s="327"/>
      <c r="L93" s="327"/>
      <c r="M93" s="327"/>
      <c r="N93" s="327"/>
    </row>
    <row r="94" spans="1:14">
      <c r="A94" s="327"/>
      <c r="B94" s="327"/>
      <c r="C94" s="327"/>
      <c r="D94" s="327"/>
      <c r="E94" s="327"/>
      <c r="F94" s="327"/>
      <c r="G94" s="327"/>
      <c r="H94" s="327"/>
      <c r="I94" s="327"/>
      <c r="J94" s="327"/>
      <c r="K94" s="327"/>
      <c r="L94" s="327"/>
      <c r="M94" s="327"/>
      <c r="N94" s="327"/>
    </row>
    <row r="95" spans="1:14">
      <c r="A95" s="301" t="s">
        <v>16</v>
      </c>
      <c r="B95" s="327"/>
      <c r="C95" s="327"/>
      <c r="D95" s="327"/>
      <c r="E95" s="327"/>
      <c r="F95" s="327"/>
      <c r="G95" s="327"/>
      <c r="H95" s="327"/>
      <c r="I95" s="327"/>
      <c r="J95" s="327"/>
      <c r="K95" s="327"/>
      <c r="L95" s="327"/>
      <c r="M95" s="327"/>
      <c r="N95" s="327"/>
    </row>
    <row r="96" spans="1:14" ht="15.75" thickBot="1">
      <c r="A96" s="354" t="s">
        <v>17</v>
      </c>
      <c r="B96" s="327"/>
      <c r="C96" s="327"/>
      <c r="D96" s="327"/>
      <c r="E96" s="327"/>
      <c r="F96" s="327"/>
      <c r="G96" s="327"/>
      <c r="H96" s="327"/>
      <c r="I96" s="327"/>
      <c r="J96" s="327"/>
      <c r="K96" s="327"/>
      <c r="L96" s="327"/>
      <c r="M96" s="327"/>
      <c r="N96" s="327"/>
    </row>
    <row r="97" spans="1:14">
      <c r="A97" s="355" t="s">
        <v>18</v>
      </c>
      <c r="B97" s="356"/>
      <c r="C97" s="392" t="s">
        <v>528</v>
      </c>
      <c r="D97" s="391"/>
      <c r="E97" s="391"/>
      <c r="F97" s="391"/>
      <c r="G97" s="391"/>
      <c r="H97" s="391"/>
      <c r="I97" s="391"/>
      <c r="J97" s="391"/>
      <c r="K97" s="391"/>
      <c r="L97" s="391"/>
      <c r="M97" s="391"/>
      <c r="N97" s="391"/>
    </row>
    <row r="98" spans="1:14">
      <c r="A98" s="355" t="s">
        <v>19</v>
      </c>
      <c r="B98" s="356"/>
      <c r="C98" s="391" t="s">
        <v>529</v>
      </c>
      <c r="D98" s="391"/>
      <c r="E98" s="391"/>
      <c r="F98" s="391"/>
      <c r="G98" s="391"/>
      <c r="H98" s="391"/>
      <c r="I98" s="391"/>
      <c r="J98" s="391"/>
      <c r="K98" s="391"/>
      <c r="L98" s="391"/>
      <c r="M98" s="391"/>
      <c r="N98" s="391"/>
    </row>
    <row r="99" spans="1:14">
      <c r="A99" s="357" t="s">
        <v>20</v>
      </c>
      <c r="B99" s="356"/>
      <c r="C99" s="393" t="s">
        <v>530</v>
      </c>
      <c r="D99" s="393"/>
      <c r="E99" s="393"/>
      <c r="F99" s="393"/>
      <c r="G99" s="393"/>
      <c r="H99" s="393"/>
      <c r="I99" s="393"/>
      <c r="J99" s="393"/>
      <c r="K99" s="393"/>
      <c r="L99" s="393"/>
      <c r="M99" s="393"/>
      <c r="N99" s="393"/>
    </row>
    <row r="100" spans="1:14">
      <c r="A100" s="355" t="s">
        <v>21</v>
      </c>
      <c r="B100" s="356"/>
      <c r="C100" s="394" t="s">
        <v>531</v>
      </c>
      <c r="D100" s="393"/>
      <c r="E100" s="393"/>
      <c r="F100" s="393"/>
      <c r="G100" s="393"/>
      <c r="H100" s="393"/>
      <c r="I100" s="393"/>
      <c r="J100" s="393"/>
      <c r="K100" s="393"/>
      <c r="L100" s="393"/>
      <c r="M100" s="393"/>
      <c r="N100" s="393"/>
    </row>
    <row r="101" spans="1:14">
      <c r="A101" s="355" t="s">
        <v>22</v>
      </c>
      <c r="B101" s="358"/>
      <c r="C101" s="395" t="s">
        <v>532</v>
      </c>
      <c r="D101" s="391"/>
      <c r="E101" s="391"/>
      <c r="F101" s="391"/>
      <c r="G101" s="391"/>
      <c r="H101" s="391"/>
      <c r="I101" s="391"/>
      <c r="J101" s="391"/>
      <c r="K101" s="391"/>
      <c r="L101" s="391"/>
      <c r="M101" s="391"/>
      <c r="N101" s="391"/>
    </row>
    <row r="102" spans="1:14">
      <c r="A102" s="355" t="s">
        <v>23</v>
      </c>
      <c r="B102" s="358"/>
      <c r="C102" s="391" t="s">
        <v>533</v>
      </c>
      <c r="D102" s="391"/>
      <c r="E102" s="391"/>
      <c r="F102" s="391"/>
      <c r="G102" s="391"/>
      <c r="H102" s="391"/>
      <c r="I102" s="391"/>
      <c r="J102" s="391"/>
      <c r="K102" s="391"/>
      <c r="L102" s="391"/>
      <c r="M102" s="391"/>
      <c r="N102" s="391"/>
    </row>
    <row r="103" spans="1:14">
      <c r="A103" s="355" t="s">
        <v>24</v>
      </c>
      <c r="B103" s="358"/>
      <c r="C103" s="391" t="s">
        <v>534</v>
      </c>
      <c r="D103" s="391"/>
      <c r="E103" s="391"/>
      <c r="F103" s="391"/>
      <c r="G103" s="391"/>
      <c r="H103" s="391"/>
      <c r="I103" s="391"/>
      <c r="J103" s="391"/>
      <c r="K103" s="391"/>
      <c r="L103" s="391"/>
      <c r="M103" s="391"/>
      <c r="N103" s="391"/>
    </row>
    <row r="104" spans="1:14">
      <c r="A104" s="359" t="s">
        <v>335</v>
      </c>
      <c r="B104" s="327"/>
      <c r="C104" s="392" t="s">
        <v>535</v>
      </c>
      <c r="D104" s="391"/>
      <c r="E104" s="391"/>
      <c r="F104" s="391"/>
      <c r="G104" s="391"/>
      <c r="H104" s="391"/>
      <c r="I104" s="391"/>
      <c r="J104" s="391"/>
      <c r="K104" s="391"/>
      <c r="L104" s="391"/>
      <c r="M104" s="391"/>
      <c r="N104" s="391"/>
    </row>
  </sheetData>
  <mergeCells count="8">
    <mergeCell ref="C102:N102"/>
    <mergeCell ref="C103:N103"/>
    <mergeCell ref="C104:N104"/>
    <mergeCell ref="C97:N97"/>
    <mergeCell ref="C98:N98"/>
    <mergeCell ref="C99:N99"/>
    <mergeCell ref="C100:N100"/>
    <mergeCell ref="C101:N101"/>
  </mergeCells>
  <pageMargins left="0.7" right="0.7" top="0.75" bottom="0.75" header="0.3" footer="0.3"/>
  <pageSetup scale="42" fitToHeight="2" orientation="landscape"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MP Attach O</vt:lpstr>
      <vt:lpstr>MP Attach GG</vt:lpstr>
      <vt:lpstr>'MP Attach O'!Print_Area</vt:lpstr>
    </vt:vector>
  </TitlesOfParts>
  <Company>American Transmission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Tim Bradshaw (MP)</cp:lastModifiedBy>
  <cp:lastPrinted>2013-05-30T18:53:49Z</cp:lastPrinted>
  <dcterms:created xsi:type="dcterms:W3CDTF">2009-07-01T14:12:33Z</dcterms:created>
  <dcterms:modified xsi:type="dcterms:W3CDTF">2014-01-13T19:41:49Z</dcterms:modified>
</cp:coreProperties>
</file>