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9570" windowHeight="11640" tabRatio="297"/>
  </bookViews>
  <sheets>
    <sheet name="Nonlevelized-IOU" sheetId="1" r:id="rId1"/>
    <sheet name="Plant Balance" sheetId="9" r:id="rId2"/>
    <sheet name="Accum Depr" sheetId="11" r:id="rId3"/>
    <sheet name="CWIP" sheetId="18" r:id="rId4"/>
    <sheet name="ADIT less FAS 109" sheetId="30" r:id="rId5"/>
    <sheet name="ADIT" sheetId="10" r:id="rId6"/>
    <sheet name="AFUDC on CWIP" sheetId="19" r:id="rId7"/>
    <sheet name="Inv Bal" sheetId="12" r:id="rId8"/>
    <sheet name="Prepay" sheetId="13" r:id="rId9"/>
    <sheet name="O&amp;M" sheetId="21" r:id="rId10"/>
    <sheet name="A&amp;G" sheetId="22" r:id="rId11"/>
    <sheet name="Depreciation" sheetId="14" r:id="rId12"/>
    <sheet name="Other Tax" sheetId="23" r:id="rId13"/>
    <sheet name="Amort Inves Tax Credit" sheetId="24" r:id="rId14"/>
    <sheet name="Acct 561" sheetId="25" r:id="rId15"/>
    <sheet name="Acct 565" sheetId="27" r:id="rId16"/>
    <sheet name="FERC Exp &amp; EPRI" sheetId="28" r:id="rId17"/>
    <sheet name="Labor Ratios" sheetId="15" r:id="rId18"/>
    <sheet name="Pref Stock" sheetId="26" r:id="rId19"/>
    <sheet name="Common Equity" sheetId="16" r:id="rId20"/>
    <sheet name="Acct 216.1" sheetId="29" r:id="rId21"/>
    <sheet name="Cost of Debt" sheetId="17" r:id="rId22"/>
    <sheet name="trans for others" sheetId="2" r:id="rId23"/>
    <sheet name="454 rents" sheetId="3" r:id="rId24"/>
    <sheet name="Divisor" sheetId="20" r:id="rId25"/>
    <sheet name="tax" sheetId="8" r:id="rId26"/>
    <sheet name="footnote k tax" sheetId="33" r:id="rId27"/>
    <sheet name="2012 Attach O True-Up" sheetId="31" r:id="rId28"/>
    <sheet name="short term interest" sheetId="32" r:id="rId29"/>
  </sheets>
  <definedNames>
    <definedName name="PAGE1" localSheetId="27">#REF!</definedName>
    <definedName name="PAGE1" localSheetId="26">#REF!</definedName>
    <definedName name="PAGE1" localSheetId="28">#REF!</definedName>
    <definedName name="PAGE1">#REF!</definedName>
    <definedName name="PAGE2" localSheetId="27">#REF!</definedName>
    <definedName name="PAGE2" localSheetId="26">#REF!</definedName>
    <definedName name="PAGE2" localSheetId="28">#REF!</definedName>
    <definedName name="PAGE2">#REF!</definedName>
    <definedName name="_xlnm.Print_Area" localSheetId="0">'Nonlevelized-IOU'!$A$1:$K$423</definedName>
    <definedName name="_xlnm.Print_Area" localSheetId="25">tax!$C$1:$L$63</definedName>
  </definedNames>
  <calcPr calcId="145621"/>
</workbook>
</file>

<file path=xl/calcChain.xml><?xml version="1.0" encoding="utf-8"?>
<calcChain xmlns="http://schemas.openxmlformats.org/spreadsheetml/2006/main">
  <c r="K7" i="2" l="1"/>
  <c r="D326" i="1" l="1"/>
  <c r="D325" i="1"/>
  <c r="D324" i="1"/>
  <c r="C12" i="33"/>
  <c r="C11" i="33"/>
  <c r="C9" i="33"/>
  <c r="C8" i="33"/>
  <c r="C14" i="33" l="1"/>
  <c r="C20" i="21" l="1"/>
  <c r="C19" i="21"/>
  <c r="C18" i="21"/>
  <c r="C17" i="21"/>
  <c r="C16" i="21"/>
  <c r="C15" i="21"/>
  <c r="C14" i="21"/>
  <c r="C13" i="21"/>
  <c r="C12" i="21"/>
  <c r="C11" i="21"/>
  <c r="C10" i="21"/>
  <c r="C9" i="21"/>
  <c r="D372" i="1" l="1"/>
  <c r="D371" i="1"/>
  <c r="I24" i="1"/>
  <c r="I23" i="1"/>
  <c r="C25" i="32"/>
  <c r="G32" i="31" s="1"/>
  <c r="G18" i="31"/>
  <c r="G21" i="31" s="1"/>
  <c r="G27" i="31" s="1"/>
  <c r="G11" i="31"/>
  <c r="G26" i="31" s="1"/>
  <c r="G28" i="31" l="1"/>
  <c r="G33" i="31" s="1"/>
  <c r="I27" i="1" s="1"/>
  <c r="I210" i="1"/>
  <c r="I213" i="1"/>
  <c r="G35" i="31" l="1"/>
  <c r="E21" i="18"/>
  <c r="E11" i="18"/>
  <c r="E12" i="18"/>
  <c r="E13" i="18"/>
  <c r="E14" i="18"/>
  <c r="E15" i="18"/>
  <c r="E16" i="18"/>
  <c r="E17" i="18"/>
  <c r="E18" i="18"/>
  <c r="E19" i="18"/>
  <c r="E20" i="18"/>
  <c r="E10" i="18"/>
  <c r="E9" i="18"/>
  <c r="D23" i="18"/>
  <c r="I12" i="9" l="1"/>
  <c r="I13" i="9"/>
  <c r="I14" i="9"/>
  <c r="I15" i="9"/>
  <c r="I16" i="9"/>
  <c r="I17" i="9"/>
  <c r="I18" i="9"/>
  <c r="I19" i="9"/>
  <c r="I20" i="9"/>
  <c r="I21" i="9"/>
  <c r="F14" i="30"/>
  <c r="E14" i="30"/>
  <c r="F13" i="30"/>
  <c r="F16" i="30" s="1"/>
  <c r="D118" i="1" s="1"/>
  <c r="E13" i="30"/>
  <c r="E16" i="30" s="1"/>
  <c r="D117" i="1" s="1"/>
  <c r="D13" i="30"/>
  <c r="D16" i="30" s="1"/>
  <c r="D116" i="1" s="1"/>
  <c r="C13" i="30"/>
  <c r="C16" i="30" s="1"/>
  <c r="D115" i="1" s="1"/>
  <c r="H11" i="30"/>
  <c r="H10" i="30"/>
  <c r="P21" i="8"/>
  <c r="M77" i="8"/>
  <c r="M75" i="8"/>
  <c r="M73" i="8"/>
  <c r="M67" i="8"/>
  <c r="M65" i="8"/>
  <c r="M63" i="8"/>
  <c r="M43" i="8"/>
  <c r="M56" i="8"/>
  <c r="M54" i="8"/>
  <c r="M47" i="8"/>
  <c r="M45" i="8"/>
  <c r="M38" i="8"/>
  <c r="M36" i="8"/>
  <c r="M34" i="8"/>
  <c r="M29" i="8"/>
  <c r="M27" i="8"/>
  <c r="M24" i="8"/>
  <c r="M18" i="8"/>
  <c r="M72" i="8" s="1"/>
  <c r="M74" i="8" s="1"/>
  <c r="M76" i="8" s="1"/>
  <c r="M78" i="8" s="1"/>
  <c r="M79" i="8" s="1"/>
  <c r="P79" i="8" s="1"/>
  <c r="K12" i="8"/>
  <c r="K13" i="8"/>
  <c r="K14" i="8"/>
  <c r="K15" i="8"/>
  <c r="K16" i="8"/>
  <c r="K17" i="8"/>
  <c r="K6" i="8"/>
  <c r="I73" i="8"/>
  <c r="I18" i="8"/>
  <c r="I72" i="8" s="1"/>
  <c r="I74" i="8" s="1"/>
  <c r="I76" i="8" s="1"/>
  <c r="I78" i="8" s="1"/>
  <c r="I11" i="8"/>
  <c r="E11" i="8"/>
  <c r="F11" i="8"/>
  <c r="G11" i="8"/>
  <c r="G18" i="8" s="1"/>
  <c r="G51" i="8" s="1"/>
  <c r="G53" i="8" s="1"/>
  <c r="G55" i="8" s="1"/>
  <c r="G57" i="8" s="1"/>
  <c r="H11" i="8"/>
  <c r="D11" i="8"/>
  <c r="K11" i="8" s="1"/>
  <c r="H63" i="8"/>
  <c r="H18" i="8"/>
  <c r="H62" i="8" s="1"/>
  <c r="H64" i="8" s="1"/>
  <c r="H66" i="8" s="1"/>
  <c r="H68" i="8" s="1"/>
  <c r="H69" i="8" s="1"/>
  <c r="F43" i="8"/>
  <c r="F18" i="8"/>
  <c r="F20" i="8" s="1"/>
  <c r="F21" i="8" s="1"/>
  <c r="E34" i="8"/>
  <c r="E18" i="8"/>
  <c r="E33" i="8" s="1"/>
  <c r="G58" i="8" l="1"/>
  <c r="K57" i="8"/>
  <c r="K58" i="8" s="1"/>
  <c r="K78" i="8"/>
  <c r="K79" i="8" s="1"/>
  <c r="I79" i="8"/>
  <c r="M23" i="8"/>
  <c r="M62" i="8"/>
  <c r="M64" i="8" s="1"/>
  <c r="M66" i="8" s="1"/>
  <c r="M68" i="8" s="1"/>
  <c r="M69" i="8" s="1"/>
  <c r="P69" i="8" s="1"/>
  <c r="H14" i="30"/>
  <c r="E35" i="8"/>
  <c r="E37" i="8" s="1"/>
  <c r="E39" i="8" s="1"/>
  <c r="I20" i="8"/>
  <c r="I21" i="8" s="1"/>
  <c r="I82" i="8" s="1"/>
  <c r="K68" i="8"/>
  <c r="K69" i="8" s="1"/>
  <c r="M20" i="8"/>
  <c r="M25" i="8" s="1"/>
  <c r="M33" i="8"/>
  <c r="M35" i="8" s="1"/>
  <c r="M37" i="8" s="1"/>
  <c r="M39" i="8" s="1"/>
  <c r="M40" i="8" s="1"/>
  <c r="P40" i="8" s="1"/>
  <c r="M42" i="8"/>
  <c r="M44" i="8" s="1"/>
  <c r="M46" i="8" s="1"/>
  <c r="M48" i="8" s="1"/>
  <c r="M49" i="8" s="1"/>
  <c r="P49" i="8" s="1"/>
  <c r="M51" i="8"/>
  <c r="M53" i="8" s="1"/>
  <c r="M55" i="8" s="1"/>
  <c r="M57" i="8" s="1"/>
  <c r="M58" i="8" s="1"/>
  <c r="H16" i="30"/>
  <c r="H13" i="30"/>
  <c r="F42" i="8"/>
  <c r="F44" i="8" s="1"/>
  <c r="F46" i="8" s="1"/>
  <c r="F48" i="8" s="1"/>
  <c r="H20" i="8"/>
  <c r="H21" i="8" s="1"/>
  <c r="H82" i="8" s="1"/>
  <c r="E20" i="8"/>
  <c r="E21" i="8" s="1"/>
  <c r="G20" i="8"/>
  <c r="G21" i="8" s="1"/>
  <c r="G82" i="8" s="1"/>
  <c r="F49" i="8" l="1"/>
  <c r="K48" i="8"/>
  <c r="K49" i="8" s="1"/>
  <c r="M26" i="8"/>
  <c r="M28" i="8" s="1"/>
  <c r="M30" i="8" s="1"/>
  <c r="M31" i="8" s="1"/>
  <c r="E40" i="8"/>
  <c r="E82" i="8" s="1"/>
  <c r="K39" i="8"/>
  <c r="K40" i="8" s="1"/>
  <c r="M82" i="8" l="1"/>
  <c r="N82" i="8" s="1"/>
  <c r="P31" i="8"/>
  <c r="P82" i="8" s="1"/>
  <c r="D24" i="8"/>
  <c r="D18" i="8"/>
  <c r="D23" i="8" l="1"/>
  <c r="K18" i="8"/>
  <c r="N83" i="8"/>
  <c r="M83" i="8"/>
  <c r="D20" i="8"/>
  <c r="E15" i="10"/>
  <c r="E13" i="10"/>
  <c r="E11" i="10"/>
  <c r="E9" i="10"/>
  <c r="C13" i="10"/>
  <c r="C15" i="10"/>
  <c r="C11" i="10"/>
  <c r="C9" i="10"/>
  <c r="N69" i="8" l="1"/>
  <c r="D21" i="8"/>
  <c r="K20" i="8"/>
  <c r="K21" i="8" s="1"/>
  <c r="N58" i="8"/>
  <c r="N40" i="8"/>
  <c r="N79" i="8"/>
  <c r="N49" i="8"/>
  <c r="N31" i="8"/>
  <c r="N81" i="8" s="1"/>
  <c r="D25" i="8"/>
  <c r="D26" i="8" s="1"/>
  <c r="D28" i="8" s="1"/>
  <c r="D30" i="8" s="1"/>
  <c r="I25" i="1"/>
  <c r="D373" i="1"/>
  <c r="D31" i="8" l="1"/>
  <c r="D82" i="8" s="1"/>
  <c r="K30" i="8"/>
  <c r="K31" i="8" s="1"/>
  <c r="K82" i="8" s="1"/>
  <c r="C17" i="23"/>
  <c r="C13" i="23"/>
  <c r="D25" i="13"/>
  <c r="F17" i="10"/>
  <c r="F23" i="9"/>
  <c r="E23" i="9"/>
  <c r="D23" i="9"/>
  <c r="D23" i="11"/>
  <c r="F23" i="11"/>
  <c r="E23" i="11"/>
  <c r="I271" i="1" l="1"/>
  <c r="D167" i="1"/>
  <c r="D166" i="1"/>
  <c r="C13" i="27" l="1"/>
  <c r="D164" i="1" s="1"/>
  <c r="D163" i="1"/>
  <c r="G23" i="9" l="1"/>
  <c r="D92" i="1" s="1"/>
  <c r="D91" i="1"/>
  <c r="D89" i="1"/>
  <c r="I11" i="9"/>
  <c r="D90" i="1"/>
  <c r="I266" i="1"/>
  <c r="D276" i="1"/>
  <c r="H23" i="9"/>
  <c r="D259" i="1" s="1"/>
  <c r="I10" i="9"/>
  <c r="I242" i="1"/>
  <c r="C25" i="25"/>
  <c r="C11" i="24"/>
  <c r="D198" i="1" s="1"/>
  <c r="D94" i="1" l="1"/>
  <c r="I9" i="9"/>
  <c r="D189" i="1"/>
  <c r="D188" i="1"/>
  <c r="D187" i="1"/>
  <c r="D186" i="1"/>
  <c r="D184" i="1"/>
  <c r="D177" i="1"/>
  <c r="C22" i="22" l="1"/>
  <c r="D165" i="1" s="1"/>
  <c r="C22" i="21"/>
  <c r="D162" i="1" s="1"/>
  <c r="D24" i="20" l="1"/>
  <c r="E24" i="20"/>
  <c r="I41" i="1" s="1"/>
  <c r="F24" i="20"/>
  <c r="G24" i="20"/>
  <c r="H24" i="20"/>
  <c r="I24" i="20"/>
  <c r="J12" i="20"/>
  <c r="J13" i="20"/>
  <c r="J14" i="20"/>
  <c r="J15" i="20"/>
  <c r="J16" i="20"/>
  <c r="J17" i="20"/>
  <c r="J18" i="20"/>
  <c r="J19" i="20"/>
  <c r="J20" i="20"/>
  <c r="J21" i="20"/>
  <c r="J22" i="20"/>
  <c r="J11" i="20"/>
  <c r="C24" i="20"/>
  <c r="I39" i="1" s="1"/>
  <c r="D23" i="19"/>
  <c r="C23" i="19"/>
  <c r="E21" i="19"/>
  <c r="E20" i="19"/>
  <c r="E19" i="19"/>
  <c r="E18" i="19"/>
  <c r="E17" i="19"/>
  <c r="E16" i="19"/>
  <c r="E15" i="19"/>
  <c r="E14" i="19"/>
  <c r="E13" i="19"/>
  <c r="E12" i="19"/>
  <c r="E11" i="19"/>
  <c r="E10" i="19"/>
  <c r="E9" i="19"/>
  <c r="E23" i="19" s="1"/>
  <c r="D120" i="1" s="1"/>
  <c r="C23" i="18"/>
  <c r="I290" i="1"/>
  <c r="D375" i="1"/>
  <c r="I26" i="1" s="1"/>
  <c r="D24" i="17"/>
  <c r="I264" i="1" s="1"/>
  <c r="C23" i="17"/>
  <c r="D275" i="1" s="1"/>
  <c r="E23" i="18" l="1"/>
  <c r="D112" i="1" s="1"/>
  <c r="J24" i="20"/>
  <c r="D253" i="1"/>
  <c r="D252" i="1"/>
  <c r="D251" i="1"/>
  <c r="D174" i="1"/>
  <c r="C23" i="16"/>
  <c r="I269" i="1" s="1"/>
  <c r="C20" i="15" l="1"/>
  <c r="D254" i="1" s="1"/>
  <c r="C22" i="15" l="1"/>
  <c r="D13" i="15" s="1"/>
  <c r="C17" i="14"/>
  <c r="C12" i="13"/>
  <c r="C13" i="13"/>
  <c r="C14" i="13"/>
  <c r="C15" i="13"/>
  <c r="C16" i="13"/>
  <c r="C17" i="13"/>
  <c r="C18" i="13"/>
  <c r="C19" i="13"/>
  <c r="C20" i="13"/>
  <c r="C21" i="13"/>
  <c r="C22" i="13"/>
  <c r="C11" i="13"/>
  <c r="D129" i="1"/>
  <c r="D24" i="13"/>
  <c r="D24" i="12"/>
  <c r="D128" i="1" s="1"/>
  <c r="E24" i="12"/>
  <c r="C24" i="12"/>
  <c r="D23" i="12"/>
  <c r="E23" i="12"/>
  <c r="C23" i="12"/>
  <c r="F10" i="12"/>
  <c r="F11" i="12"/>
  <c r="F12" i="12"/>
  <c r="F13" i="12"/>
  <c r="F14" i="12"/>
  <c r="F15" i="12"/>
  <c r="F16" i="12"/>
  <c r="F17" i="12"/>
  <c r="F18" i="12"/>
  <c r="F19" i="12"/>
  <c r="F20" i="12"/>
  <c r="F21" i="12"/>
  <c r="F9" i="12"/>
  <c r="F9" i="10"/>
  <c r="F15" i="10"/>
  <c r="F13" i="10"/>
  <c r="F11" i="10"/>
  <c r="D17" i="10"/>
  <c r="D15" i="10" s="1"/>
  <c r="G23" i="11"/>
  <c r="D100" i="1" s="1"/>
  <c r="D99" i="1"/>
  <c r="D98" i="1"/>
  <c r="D97" i="1"/>
  <c r="H21" i="11"/>
  <c r="H20" i="11"/>
  <c r="H19" i="11"/>
  <c r="H18" i="11"/>
  <c r="H17" i="11"/>
  <c r="H16" i="11"/>
  <c r="H15" i="11"/>
  <c r="H14" i="11"/>
  <c r="H13" i="11"/>
  <c r="H12" i="11"/>
  <c r="H11" i="11"/>
  <c r="H10" i="11"/>
  <c r="H9" i="11"/>
  <c r="D18" i="15" l="1"/>
  <c r="D15" i="15"/>
  <c r="D20" i="15"/>
  <c r="D19" i="15"/>
  <c r="D11" i="15"/>
  <c r="F24" i="12"/>
  <c r="F23" i="12"/>
  <c r="D9" i="10"/>
  <c r="D11" i="10"/>
  <c r="D13" i="10"/>
  <c r="I23" i="9"/>
  <c r="D258" i="1"/>
  <c r="H23" i="11"/>
  <c r="D22" i="15" l="1"/>
  <c r="I121" i="1"/>
  <c r="I120" i="1"/>
  <c r="D122" i="1"/>
  <c r="I112" i="1"/>
  <c r="D255" i="1"/>
  <c r="N242" i="1"/>
  <c r="N244" i="1" s="1"/>
  <c r="D171" i="1"/>
  <c r="D127" i="1" s="1"/>
  <c r="D105" i="1"/>
  <c r="N12" i="3"/>
  <c r="M12" i="3"/>
  <c r="L12" i="3"/>
  <c r="K12" i="3"/>
  <c r="J12" i="3"/>
  <c r="I12" i="3"/>
  <c r="H12" i="3"/>
  <c r="G12" i="3"/>
  <c r="F12" i="3"/>
  <c r="E12" i="3"/>
  <c r="D12" i="3"/>
  <c r="C12" i="3"/>
  <c r="P10" i="3"/>
  <c r="P8" i="3"/>
  <c r="J33" i="2"/>
  <c r="K35" i="2" s="1"/>
  <c r="N249" i="1"/>
  <c r="I233" i="1"/>
  <c r="I236" i="1" s="1"/>
  <c r="G251" i="1"/>
  <c r="G253" i="1"/>
  <c r="D261" i="1"/>
  <c r="G259" i="1" s="1"/>
  <c r="I241" i="1"/>
  <c r="D106" i="1"/>
  <c r="D107" i="1"/>
  <c r="D108" i="1"/>
  <c r="I270" i="1"/>
  <c r="I272" i="1" s="1"/>
  <c r="D277" i="1" s="1"/>
  <c r="G276" i="1"/>
  <c r="D193" i="1"/>
  <c r="D197" i="1" s="1"/>
  <c r="D201" i="1" s="1"/>
  <c r="I46" i="1"/>
  <c r="I170" i="1"/>
  <c r="D109" i="1"/>
  <c r="D179" i="1"/>
  <c r="K304" i="1"/>
  <c r="G226" i="1"/>
  <c r="K154" i="1"/>
  <c r="K80" i="1"/>
  <c r="F18" i="1"/>
  <c r="F19" i="1" s="1"/>
  <c r="F20" i="1" s="1"/>
  <c r="I57" i="1"/>
  <c r="I58" i="1"/>
  <c r="D83" i="1"/>
  <c r="F168" i="1"/>
  <c r="F97" i="1"/>
  <c r="F115" i="1" s="1"/>
  <c r="F187" i="1" s="1"/>
  <c r="F188" i="1"/>
  <c r="I285" i="1"/>
  <c r="I257" i="1"/>
  <c r="F118" i="1"/>
  <c r="D307" i="1"/>
  <c r="F98" i="1"/>
  <c r="D229" i="1"/>
  <c r="D157" i="1"/>
  <c r="C188" i="1"/>
  <c r="F184" i="1"/>
  <c r="C184" i="1"/>
  <c r="B178" i="1"/>
  <c r="B174" i="1"/>
  <c r="C169" i="1"/>
  <c r="F166" i="1"/>
  <c r="F167" i="1" s="1"/>
  <c r="F124" i="1"/>
  <c r="B101" i="1"/>
  <c r="B109" i="1" s="1"/>
  <c r="B100" i="1"/>
  <c r="B108" i="1" s="1"/>
  <c r="B99" i="1"/>
  <c r="B107" i="1" s="1"/>
  <c r="B98" i="1"/>
  <c r="B106" i="1" s="1"/>
  <c r="B97" i="1"/>
  <c r="B105" i="1" s="1"/>
  <c r="F101" i="1"/>
  <c r="F100" i="1"/>
  <c r="G99" i="1"/>
  <c r="F99" i="1"/>
  <c r="G97" i="1"/>
  <c r="K37" i="2" l="1"/>
  <c r="I291" i="1"/>
  <c r="I294" i="1" s="1"/>
  <c r="D18" i="1" s="1"/>
  <c r="D102" i="1"/>
  <c r="I243" i="1"/>
  <c r="I245" i="1" s="1"/>
  <c r="D130" i="1"/>
  <c r="G275" i="1"/>
  <c r="P12" i="3"/>
  <c r="I287" i="1" s="1"/>
  <c r="D17" i="1" s="1"/>
  <c r="D278" i="1"/>
  <c r="E276" i="1" s="1"/>
  <c r="I276" i="1" s="1"/>
  <c r="G254" i="1"/>
  <c r="I163" i="1"/>
  <c r="I238" i="1"/>
  <c r="I246" i="1" s="1"/>
  <c r="N250" i="1"/>
  <c r="D110" i="1"/>
  <c r="G90" i="1" l="1"/>
  <c r="D132" i="1"/>
  <c r="E252" i="1"/>
  <c r="G252" i="1" s="1"/>
  <c r="G255" i="1" s="1"/>
  <c r="I255" i="1" s="1"/>
  <c r="G92" i="1" s="1"/>
  <c r="I92" i="1" s="1"/>
  <c r="G17" i="1"/>
  <c r="G18" i="1" s="1"/>
  <c r="E277" i="1"/>
  <c r="I277" i="1" s="1"/>
  <c r="E275" i="1"/>
  <c r="I275" i="1" s="1"/>
  <c r="I247" i="1"/>
  <c r="G128" i="1" s="1"/>
  <c r="I128" i="1" s="1"/>
  <c r="G98" i="1" l="1"/>
  <c r="G124" i="1" s="1"/>
  <c r="I90" i="1"/>
  <c r="I17" i="1"/>
  <c r="I259" i="1"/>
  <c r="K259" i="1" s="1"/>
  <c r="G93" i="1" s="1"/>
  <c r="I93" i="1" s="1"/>
  <c r="I278" i="1"/>
  <c r="D194" i="1" s="1"/>
  <c r="G162" i="1"/>
  <c r="I162" i="1" s="1"/>
  <c r="I98" i="1"/>
  <c r="G100" i="1"/>
  <c r="I18" i="1"/>
  <c r="G19" i="1"/>
  <c r="I94" i="1" l="1"/>
  <c r="G94" i="1" s="1"/>
  <c r="G186" i="1" s="1"/>
  <c r="I106" i="1"/>
  <c r="G164" i="1"/>
  <c r="I164" i="1" s="1"/>
  <c r="D204" i="1"/>
  <c r="D200" i="1" s="1"/>
  <c r="D202" i="1" s="1"/>
  <c r="G101" i="1"/>
  <c r="G169" i="1" s="1"/>
  <c r="G168" i="1"/>
  <c r="I168" i="1" s="1"/>
  <c r="G175" i="1"/>
  <c r="I175" i="1" s="1"/>
  <c r="G176" i="1"/>
  <c r="I176" i="1" s="1"/>
  <c r="G20" i="1"/>
  <c r="I20" i="1" s="1"/>
  <c r="I19" i="1"/>
  <c r="I100" i="1"/>
  <c r="G165" i="1"/>
  <c r="I124" i="1"/>
  <c r="G174" i="1"/>
  <c r="I174" i="1" s="1"/>
  <c r="I101" i="1" l="1"/>
  <c r="I109" i="1" s="1"/>
  <c r="G129" i="1"/>
  <c r="I129" i="1" s="1"/>
  <c r="I102" i="1"/>
  <c r="I21" i="1"/>
  <c r="I169" i="1"/>
  <c r="G178" i="1"/>
  <c r="I178" i="1" s="1"/>
  <c r="G166" i="1"/>
  <c r="I165" i="1"/>
  <c r="G177" i="1"/>
  <c r="G188" i="1"/>
  <c r="I188" i="1" s="1"/>
  <c r="G189" i="1"/>
  <c r="I189" i="1" s="1"/>
  <c r="I186" i="1"/>
  <c r="I108" i="1"/>
  <c r="I110" i="1" s="1"/>
  <c r="G110" i="1" s="1"/>
  <c r="G116" i="1" l="1"/>
  <c r="G201" i="1"/>
  <c r="I201" i="1" s="1"/>
  <c r="I177" i="1"/>
  <c r="I179" i="1" s="1"/>
  <c r="G183" i="1"/>
  <c r="G167" i="1"/>
  <c r="I167" i="1" s="1"/>
  <c r="I166" i="1"/>
  <c r="I171" i="1" l="1"/>
  <c r="I127" i="1" s="1"/>
  <c r="I130" i="1" s="1"/>
  <c r="G184" i="1"/>
  <c r="I184" i="1" s="1"/>
  <c r="I116" i="1"/>
  <c r="G117" i="1"/>
  <c r="G118" i="1" l="1"/>
  <c r="I118" i="1" s="1"/>
  <c r="I117" i="1"/>
  <c r="G119" i="1"/>
  <c r="I119" i="1" s="1"/>
  <c r="I122" i="1" l="1"/>
  <c r="I132" i="1" s="1"/>
  <c r="I204" i="1" s="1"/>
  <c r="I200" i="1" s="1"/>
  <c r="I202" i="1" s="1"/>
  <c r="I33" i="2" l="1"/>
  <c r="C9" i="23" l="1"/>
  <c r="D183" i="1" s="1"/>
  <c r="D190" i="1" l="1"/>
  <c r="D207" i="1" s="1"/>
  <c r="D214" i="1" s="1"/>
  <c r="I183" i="1"/>
  <c r="I190" i="1" s="1"/>
  <c r="I207" i="1" s="1"/>
  <c r="I214" i="1" s="1"/>
  <c r="I14" i="1" s="1"/>
  <c r="I29" i="1" s="1"/>
  <c r="I35" i="1" s="1"/>
  <c r="D48" i="1" s="1"/>
  <c r="I52" i="1" l="1"/>
  <c r="D53" i="1"/>
  <c r="I54" i="1"/>
  <c r="D54" i="1"/>
  <c r="I53" i="1"/>
  <c r="D52" i="1"/>
  <c r="D49" i="1"/>
  <c r="F82" i="8"/>
</calcChain>
</file>

<file path=xl/sharedStrings.xml><?xml version="1.0" encoding="utf-8"?>
<sst xmlns="http://schemas.openxmlformats.org/spreadsheetml/2006/main" count="1057" uniqueCount="693">
  <si>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</si>
  <si>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</si>
  <si>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</si>
  <si>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</si>
  <si>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</si>
  <si>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</si>
  <si>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</si>
  <si>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</si>
  <si>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</si>
  <si>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</si>
  <si>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</si>
  <si>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</si>
  <si>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</si>
  <si>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</si>
  <si>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</si>
  <si>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</si>
  <si>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</si>
  <si>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</si>
  <si>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</si>
  <si>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</si>
  <si>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</si>
  <si>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</si>
  <si>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</si>
  <si>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</si>
  <si>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</si>
  <si>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</si>
  <si>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</si>
  <si>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</si>
  <si>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</si>
  <si>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</si>
  <si>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</si>
  <si>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</si>
  <si>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</si>
  <si>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</si>
  <si>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</si>
  <si>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</si>
  <si>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</si>
  <si>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</si>
  <si>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</si>
  <si>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</si>
  <si>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</si>
  <si>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</si>
  <si>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</si>
  <si>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</si>
  <si>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</si>
  <si>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</si>
  <si>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</si>
  <si>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</si>
  <si>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</si>
  <si>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</si>
  <si>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</si>
  <si>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</si>
  <si>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</si>
  <si>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NP=</t>
  </si>
  <si>
    <t>NP</t>
  </si>
  <si>
    <t xml:space="preserve">LAND HELD FOR FUTURE USE </t>
  </si>
  <si>
    <t>214.x.d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</si>
  <si>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</si>
  <si>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</si>
  <si>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</si>
  <si>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</si>
  <si>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</si>
  <si>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</si>
  <si>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</si>
  <si>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</si>
  <si>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</si>
  <si>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</si>
  <si>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</si>
  <si>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</si>
  <si>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</si>
  <si>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</si>
  <si>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</si>
  <si>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</si>
  <si>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</si>
  <si>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</si>
  <si>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</si>
  <si>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</si>
  <si>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</si>
  <si>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</si>
  <si>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</si>
  <si>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</si>
  <si>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</si>
  <si>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</si>
  <si>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</si>
  <si>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</si>
  <si>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</si>
  <si>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</si>
  <si>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</si>
  <si>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</si>
  <si>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</si>
  <si>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</si>
  <si>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</si>
  <si>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</si>
  <si>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</si>
  <si>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</si>
  <si>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</si>
  <si>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</si>
  <si>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</si>
  <si>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</si>
  <si>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</si>
  <si>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</si>
  <si>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</si>
  <si>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</si>
  <si>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</si>
  <si>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</si>
  <si>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</si>
  <si>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</si>
  <si>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</si>
  <si>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</si>
  <si>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</si>
  <si>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</si>
  <si>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</si>
  <si>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</si>
  <si>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</si>
  <si>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</si>
  <si>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</si>
  <si>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</si>
  <si>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</si>
  <si>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</si>
  <si>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</si>
  <si>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</si>
  <si>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</si>
  <si>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</si>
  <si>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</si>
  <si>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</si>
  <si>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</si>
  <si>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</si>
  <si>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</si>
  <si>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</si>
  <si>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</si>
  <si>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</si>
  <si>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</si>
  <si>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</si>
  <si>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</si>
  <si>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</si>
  <si>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</si>
  <si>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</si>
  <si>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</si>
  <si>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</si>
  <si>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</si>
  <si>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</si>
  <si>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</si>
  <si>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</si>
  <si>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</si>
  <si>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</si>
  <si>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</si>
  <si>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</si>
  <si>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</si>
  <si>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</si>
  <si>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</si>
  <si>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</si>
  <si>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</si>
  <si>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</si>
  <si>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</si>
  <si>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</si>
  <si>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</si>
  <si>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</si>
  <si>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</si>
  <si>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</si>
  <si>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</si>
  <si>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</si>
  <si>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</si>
  <si>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</si>
  <si>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Amortized Investment Tax Credit (266.8f) (enter negative)</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</si>
  <si>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</si>
  <si>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</si>
  <si>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</si>
  <si>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</si>
  <si>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</si>
  <si>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</si>
  <si>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</si>
  <si>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</si>
  <si>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</si>
  <si>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</si>
  <si>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</si>
  <si>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</si>
  <si>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</si>
  <si>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</si>
  <si>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</si>
  <si>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</si>
  <si>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</si>
  <si>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</si>
  <si>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</si>
  <si>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</si>
  <si>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</si>
  <si>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</si>
  <si>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</si>
  <si>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</si>
  <si>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Attachment O</t>
  </si>
  <si>
    <t>219.20-24.c</t>
  </si>
  <si>
    <t>219.25.c</t>
  </si>
  <si>
    <t>219.26.c</t>
  </si>
  <si>
    <t>263.i</t>
  </si>
  <si>
    <t>201.3.d</t>
  </si>
  <si>
    <t>201.3.e</t>
  </si>
  <si>
    <t>(330.x.n)</t>
  </si>
  <si>
    <t>U</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</si>
  <si>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</si>
  <si>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</si>
  <si>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</si>
  <si>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</si>
  <si>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</si>
  <si>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</si>
  <si>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</si>
  <si>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</si>
  <si>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</si>
  <si>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</si>
  <si>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</si>
  <si>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</si>
  <si>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</si>
  <si>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</si>
  <si>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</si>
  <si>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</si>
  <si>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</si>
  <si>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</si>
  <si>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</si>
  <si>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</si>
  <si>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</si>
  <si>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</si>
  <si>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</si>
  <si>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</si>
  <si>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</si>
  <si>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</si>
  <si>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</si>
  <si>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</si>
  <si>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</si>
  <si>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</si>
  <si>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</si>
  <si>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</si>
  <si>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</si>
  <si>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</si>
  <si>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</si>
  <si>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</si>
  <si>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</si>
  <si>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</si>
  <si>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</si>
  <si>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</si>
  <si>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</si>
  <si>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</si>
  <si>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</si>
  <si>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</si>
  <si>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</si>
  <si>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</si>
  <si>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</si>
  <si>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</si>
  <si>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</si>
  <si>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</si>
  <si>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</si>
  <si>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</si>
  <si>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</si>
  <si>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</si>
  <si>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</si>
  <si>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</si>
  <si>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</si>
  <si>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</si>
  <si>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</si>
  <si>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</si>
  <si>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</si>
  <si>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</si>
  <si>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</si>
  <si>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</si>
  <si>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</si>
  <si>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</si>
  <si>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</si>
  <si>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</si>
  <si>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</si>
  <si>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</si>
  <si>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</si>
  <si>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</si>
  <si>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Debt cost rate = long-term interest (line 21) / long term debt (line 27).  Preferred cost rate = preferred dividends (line 22) / preferred outstanding (line 28).   ROE will be supported in the original filing and no change in ROE may be made absent a filing with FERC.</t>
  </si>
  <si>
    <t>Line 33 must equal zero since all short-term power sales must be unbundled and the transmission component reflected in Account No. 456.1 and all other uses are to be included in the divisor.</t>
  </si>
  <si>
    <t>Pursuant to Attachment GG of the Midwest ISO Tariff, removes dollar amount of revenue requirements calculated pursuant to Attachment GG and recovered under Schedule 26 of the Midwest ISO Tariff.</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</si>
  <si>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</si>
  <si>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</si>
  <si>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</si>
  <si>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</si>
  <si>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Please fill out info requested in the box below</t>
  </si>
  <si>
    <t>Schedule 1 Recoverable Expenses</t>
  </si>
  <si>
    <t>Acct 561.1 - 561.3, 561.BA included in Line 7</t>
  </si>
  <si>
    <t>Acct 561.BA for Schedule 24</t>
  </si>
  <si>
    <t>Acct 561.1 - 561.3 available for Schedule 1</t>
  </si>
  <si>
    <t>Revenue Credits for Sched 1 Acct 561.1 - 561.3</t>
  </si>
  <si>
    <t>transactions &lt;1 yr</t>
  </si>
  <si>
    <t>non-firm</t>
  </si>
  <si>
    <t>transactions w/ load not in divisor</t>
  </si>
  <si>
    <t>total Revenue Credits</t>
  </si>
  <si>
    <t>Net Schedule 1 Expenses (Acct 561.1-561.3 minus Credits)</t>
  </si>
  <si>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</si>
  <si>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</si>
  <si>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</si>
  <si>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</si>
  <si>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</si>
  <si>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</si>
  <si>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</si>
  <si>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</si>
  <si>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MidAmerican Energy Company</t>
  </si>
  <si>
    <t>Account 456 (Transmission of Electricity for Others)</t>
  </si>
  <si>
    <t>kW</t>
  </si>
  <si>
    <t>Network Integration Transmission Service</t>
  </si>
  <si>
    <t>Network</t>
  </si>
  <si>
    <t>12 CP</t>
  </si>
  <si>
    <t>Revenue</t>
  </si>
  <si>
    <t xml:space="preserve">Alliant (Coulter) </t>
  </si>
  <si>
    <t xml:space="preserve">Atlantic Municpal Utilities </t>
  </si>
  <si>
    <t xml:space="preserve">Cedar Falls, Iowa </t>
  </si>
  <si>
    <t xml:space="preserve">City of Breda, Iowa </t>
  </si>
  <si>
    <t xml:space="preserve">City of Buffalo, Iowa </t>
  </si>
  <si>
    <t xml:space="preserve">City of Carlisle, Iowa </t>
  </si>
  <si>
    <t xml:space="preserve">City of Denver, Iowa </t>
  </si>
  <si>
    <t xml:space="preserve">City of Fonda, Iowa </t>
  </si>
  <si>
    <t xml:space="preserve">City of Geneseo, Illinois </t>
  </si>
  <si>
    <t xml:space="preserve">City of Lake View, Iowa </t>
  </si>
  <si>
    <t xml:space="preserve">City of Montezuma, Iowa </t>
  </si>
  <si>
    <t xml:space="preserve">City of Sergeant Bluff, Iowa  </t>
  </si>
  <si>
    <t xml:space="preserve">City of Wall Lake, Iowa </t>
  </si>
  <si>
    <t xml:space="preserve">Central Iowa Power Cooperative </t>
  </si>
  <si>
    <t xml:space="preserve">Corn Belt (Auburn) </t>
  </si>
  <si>
    <t xml:space="preserve">Eldridge Municpal Utilities </t>
  </si>
  <si>
    <t xml:space="preserve">Indianola Municipal </t>
  </si>
  <si>
    <t xml:space="preserve">City of Pella, Iowa </t>
  </si>
  <si>
    <t xml:space="preserve">Corn Belt Power Coop (Hudson) </t>
  </si>
  <si>
    <t xml:space="preserve">Waverly, Iowa </t>
  </si>
  <si>
    <t>Total (Sum of Lines 2 through 22)</t>
  </si>
  <si>
    <t>Total Excludable Transmission Revenue</t>
  </si>
  <si>
    <t>(Line 23)</t>
  </si>
  <si>
    <t>Net Transmission Revenues (Account 456)</t>
  </si>
  <si>
    <t>(Line 1 - Line 24)</t>
  </si>
  <si>
    <t>Account 454 (Transmission Rents)</t>
  </si>
  <si>
    <t>12CP</t>
  </si>
  <si>
    <t>ADJUST</t>
  </si>
  <si>
    <t>STATES BASED ON ONLY THEIR  SHARE OF COMPANY INCOME</t>
  </si>
  <si>
    <t>ALL STATE</t>
  </si>
  <si>
    <t>FEDERAL</t>
  </si>
  <si>
    <t>make sure iteration is turned ON</t>
  </si>
  <si>
    <t>TOTAL</t>
  </si>
  <si>
    <t>IOWA</t>
  </si>
  <si>
    <t>ILLINOIS</t>
  </si>
  <si>
    <t>NEB</t>
  </si>
  <si>
    <t>SUM OF</t>
  </si>
  <si>
    <t>COMPOSITE</t>
  </si>
  <si>
    <t>DEFERREDS</t>
  </si>
  <si>
    <t>COMPANY</t>
  </si>
  <si>
    <t>ONLY</t>
  </si>
  <si>
    <t>STATES</t>
  </si>
  <si>
    <t>RATE</t>
  </si>
  <si>
    <t>TO 35%</t>
  </si>
  <si>
    <t xml:space="preserve">1. Based on operating revenues excl interdepartmental sales for IA, SD, Neb.  Illinois on 3 factor from invest Capital Tax </t>
  </si>
  <si>
    <t>FEDERAL INCOME TAX:</t>
  </si>
  <si>
    <t xml:space="preserve">FEDERAL TAXABLE INCOME </t>
  </si>
  <si>
    <t>B/4 STATE TAXES</t>
  </si>
  <si>
    <t xml:space="preserve">   LESS: IOWA TAX</t>
  </si>
  <si>
    <t xml:space="preserve">             ILLINOIS TAX</t>
  </si>
  <si>
    <t xml:space="preserve">             NEBRASKA TAX</t>
  </si>
  <si>
    <t>FEDERAL TAXABLE INCOME</t>
  </si>
  <si>
    <t>FEDERAL TAX RATE</t>
  </si>
  <si>
    <t>FEDERAL INCOME TAX</t>
  </si>
  <si>
    <t>IOWA INCOME TAX:</t>
  </si>
  <si>
    <t>ADD BACK:  IOWA INCOME TAX</t>
  </si>
  <si>
    <t>SUBTRACT:  50% OF FEDERAL INC TAXES</t>
  </si>
  <si>
    <t>IA TAXABLE INCOME before APPORTIONMENT</t>
  </si>
  <si>
    <t>IOWA APPORTIONMENT FACTOR</t>
  </si>
  <si>
    <t>IOWA TAXABLE INCOME</t>
  </si>
  <si>
    <t>IOWA TAX RATE</t>
  </si>
  <si>
    <t>IOWA INCOME TAX</t>
  </si>
  <si>
    <t>ILLINOIS INCOME TAX:</t>
  </si>
  <si>
    <t>ILL rate for 2011 thru 2014 = 9.5%</t>
  </si>
  <si>
    <t>ADD BACK:  ILLINOIS INCOME TAX</t>
  </si>
  <si>
    <t>ILL TAXABLE INCOME before APPORTIONMENT</t>
  </si>
  <si>
    <t>ILL APPORTIONMENT FACTOR</t>
  </si>
  <si>
    <t>ILL TAXABLE INCOME</t>
  </si>
  <si>
    <t>ILL TAX RATE</t>
  </si>
  <si>
    <t>ILL INCOME TAX</t>
  </si>
  <si>
    <t>NEBRASKA INCOME TAX:</t>
  </si>
  <si>
    <t>N/A*</t>
  </si>
  <si>
    <t>NEB TAXABLE INCOME before APPORTIONMENT</t>
  </si>
  <si>
    <t>NEB APPORTIONMENT FACTOR</t>
  </si>
  <si>
    <t>NEB TAXABLE INCOME</t>
  </si>
  <si>
    <t>NEBRASKA TAX RATE</t>
  </si>
  <si>
    <t>NEB INCOME TAX</t>
  </si>
  <si>
    <t>*  ACCORDING TO NEBRASKA LAW, NEBRASKA INCOME TAX IS NOT REQUIRED TO BE</t>
  </si>
  <si>
    <t xml:space="preserve">    ADDED BACK TO FEDERAL TAXABLE INCOME FOR  CALCULATING NEBRASKA TAXABLE INCOME</t>
  </si>
  <si>
    <t>TOTAL COMPOSITE TAX RATE</t>
  </si>
  <si>
    <t xml:space="preserve">Source for apportionment % </t>
  </si>
  <si>
    <t>Combined state tax rates</t>
  </si>
  <si>
    <t>350.7.b</t>
  </si>
  <si>
    <t xml:space="preserve">     Less EPRI &amp; Reg. Comm. Exp. &amp; Non-safety  Ad.  (Note I)  353.1.f</t>
  </si>
  <si>
    <t>7a</t>
  </si>
  <si>
    <t>7b</t>
  </si>
  <si>
    <t>NITS Customer 1</t>
  </si>
  <si>
    <t>7c</t>
  </si>
  <si>
    <t>NITS Customer 2</t>
  </si>
  <si>
    <t>7d</t>
  </si>
  <si>
    <t>NITS Customer 3</t>
  </si>
  <si>
    <t>7e</t>
  </si>
  <si>
    <t>NITS Customer 4</t>
  </si>
  <si>
    <t>7f</t>
  </si>
  <si>
    <t>NITS Customer 5</t>
  </si>
  <si>
    <t>MidAmerican Adjusted Revenue Req.</t>
  </si>
  <si>
    <t>(NoteY)  (sum lines 7a - 7f)</t>
  </si>
  <si>
    <t>Y</t>
  </si>
  <si>
    <t>The sum of MidAmerican Energy Company's net revenue requirement and the individual revenue requirements of each Network Integration Transmission Service</t>
  </si>
  <si>
    <t>(NITS) customer which owns integrated transmission facilities within the MidAmerican pricing zone.  Customers 1 - 5 are indicative only, and additional customers</t>
  </si>
  <si>
    <t>may be added or deleted to the extent they are eligible to receive the Section 30.9 credit.  The revenue requirement for each NITS customer will be</t>
  </si>
  <si>
    <t>calculated based on the process described in the MidAmerican Network Customers Section 30.9 Credits Calculation Procedure set forth on Sheet 2758Z.03.</t>
  </si>
  <si>
    <t>Historic Year Actual ATRR</t>
  </si>
  <si>
    <t>Projected ATRR from Prior Year</t>
  </si>
  <si>
    <t>Import from Prior Year</t>
  </si>
  <si>
    <t>Prior Year ATRR True-Up</t>
  </si>
  <si>
    <t>(line 6a - line 6b)</t>
  </si>
  <si>
    <t>Prior Year Divisor True-Up</t>
  </si>
  <si>
    <t>Interest on Prior Year True-Up</t>
  </si>
  <si>
    <t>6a</t>
  </si>
  <si>
    <t>6b</t>
  </si>
  <si>
    <t>6c</t>
  </si>
  <si>
    <t>6d</t>
  </si>
  <si>
    <t>6e</t>
  </si>
  <si>
    <t>216.b</t>
  </si>
  <si>
    <t>18a</t>
  </si>
  <si>
    <t>Unamortized Balance of Abandoned Plant</t>
  </si>
  <si>
    <t>23a</t>
  </si>
  <si>
    <t>23b</t>
  </si>
  <si>
    <t>Midwest ISO (MEC Trans Rev Forecast) (Schedule 9)</t>
  </si>
  <si>
    <t>9a</t>
  </si>
  <si>
    <t>9b</t>
  </si>
  <si>
    <t>Abandoned Plant Amortization</t>
  </si>
  <si>
    <t>Plant Account Balances</t>
  </si>
  <si>
    <t>End of Month</t>
  </si>
  <si>
    <t>Production</t>
  </si>
  <si>
    <t>Distribution</t>
  </si>
  <si>
    <t>General &amp;</t>
  </si>
  <si>
    <t>Intangible</t>
  </si>
  <si>
    <t>13-Month Average</t>
  </si>
  <si>
    <t>(A)</t>
  </si>
  <si>
    <t>(B)</t>
  </si>
  <si>
    <t>(D)</t>
  </si>
  <si>
    <t>(E)</t>
  </si>
  <si>
    <t>(F)</t>
  </si>
  <si>
    <t>Analysis of Accumulated Depreciation</t>
  </si>
  <si>
    <t>(C)</t>
  </si>
  <si>
    <t>Accumulated Deferred Income Tax</t>
  </si>
  <si>
    <t>Balance Per Books</t>
  </si>
  <si>
    <t>Change</t>
  </si>
  <si>
    <t xml:space="preserve">Simple Average </t>
  </si>
  <si>
    <t>Calculation</t>
  </si>
  <si>
    <t>Account 190 Accumulated Deferred Income Taxes - Utility</t>
  </si>
  <si>
    <t>Account 282 ADIT - Utility Operations</t>
  </si>
  <si>
    <t>Total Utility Accumulated Deferred Income Taxes Per Books</t>
  </si>
  <si>
    <t>Account 281 ADIT - Accelerated Amortization</t>
  </si>
  <si>
    <t>Net Prefunded AFUDC on CWIP Included in Rate Base</t>
  </si>
  <si>
    <t>Prefunded AFUDC Amortization</t>
  </si>
  <si>
    <t>Forecast Inventory Balances</t>
  </si>
  <si>
    <t>Total M&amp;S</t>
  </si>
  <si>
    <t>Material and Supplies</t>
  </si>
  <si>
    <t>Prepayments</t>
  </si>
  <si>
    <t>Monthly Change</t>
  </si>
  <si>
    <t>Prepaid Insurance</t>
  </si>
  <si>
    <t>and Interest</t>
  </si>
  <si>
    <t>FERC 165</t>
  </si>
  <si>
    <t>Depreciation Expense</t>
  </si>
  <si>
    <t>General</t>
  </si>
  <si>
    <t>Labor Ratios</t>
  </si>
  <si>
    <t>Function Labor</t>
  </si>
  <si>
    <t>Other:</t>
  </si>
  <si>
    <t>Total Other</t>
  </si>
  <si>
    <t>Portion of Total</t>
  </si>
  <si>
    <t xml:space="preserve">    Customer Accounts</t>
  </si>
  <si>
    <t xml:space="preserve">    Customer Services</t>
  </si>
  <si>
    <t>Common Equity</t>
  </si>
  <si>
    <t>Account 283 ADIT - Other Utility Operations</t>
  </si>
  <si>
    <t>Embedded Cost of Debt</t>
  </si>
  <si>
    <t>Long-Term Debt</t>
  </si>
  <si>
    <t>Interest Cost</t>
  </si>
  <si>
    <t>Total L-T Interest Cost</t>
  </si>
  <si>
    <t>Z</t>
  </si>
  <si>
    <t>Page 2 Line 23a includes the net prefunded AFUDC on CWIP included in rate base and Page 3 Line 9a includes the annual amortization of the prefunded AFUDC amounts</t>
  </si>
  <si>
    <t>Page 2 Line 23b includes any unamortized balances related to the recovery of abandoned plant costs approved by FERC under a separate docket</t>
  </si>
  <si>
    <t>Page 3 Line 9b includes the Amortization expense of abandonment costs included in transmission depreciation expense</t>
  </si>
  <si>
    <t>These are shown in the workpapers required pursuant to the Annual Rate Calculation and True-Up Procedures.</t>
  </si>
  <si>
    <t>AA</t>
  </si>
  <si>
    <t>Calculate using 13 month average balance reconciling to FERC Form No. 1 by page, line and column as shown in Column 2.</t>
  </si>
  <si>
    <t>BB</t>
  </si>
  <si>
    <t>Calculate using a simple average of beginning of year and end of year balances reconciling to FERC Form No. 1 by page, line and columns as shown in Column 2.</t>
  </si>
  <si>
    <t>CC</t>
  </si>
  <si>
    <t>Calculation of Prior Year Divisor True-Up</t>
  </si>
  <si>
    <t>Pg 1. Line 15</t>
  </si>
  <si>
    <t xml:space="preserve">    Difference between Historic and Projected Yr Divisor</t>
  </si>
  <si>
    <t xml:space="preserve">    Projected Year Divisor</t>
  </si>
  <si>
    <t xml:space="preserve">    Historic Year Actual Divsor</t>
  </si>
  <si>
    <t xml:space="preserve">    Prior Year Projected Annual Cost ($ per kW per year)</t>
  </si>
  <si>
    <t>Pg 1. Line 16</t>
  </si>
  <si>
    <t xml:space="preserve">    Projected Year Divisor True-up (Difference * Prior Year Projected Annual Cost)</t>
  </si>
  <si>
    <t>page 1 of 6</t>
  </si>
  <si>
    <t>page 2 of 6</t>
  </si>
  <si>
    <t>page 3 of 6</t>
  </si>
  <si>
    <t>page 4 of 6</t>
  </si>
  <si>
    <t>page 5 of 6</t>
  </si>
  <si>
    <t>page 6 of 6</t>
  </si>
  <si>
    <t>CWIP 13-Month Average</t>
  </si>
  <si>
    <t>Project 1</t>
  </si>
  <si>
    <t>Project 2</t>
  </si>
  <si>
    <t xml:space="preserve">Pending </t>
  </si>
  <si>
    <t xml:space="preserve">Pending  </t>
  </si>
  <si>
    <t>Net Prefunded AFUDC on CWIP</t>
  </si>
  <si>
    <t>Month</t>
  </si>
  <si>
    <t>System Peak</t>
  </si>
  <si>
    <t>for RQ Service</t>
  </si>
  <si>
    <t>Firm PTP</t>
  </si>
  <si>
    <t>&gt; 1 year</t>
  </si>
  <si>
    <t>Plus:</t>
  </si>
  <si>
    <t xml:space="preserve">Contract </t>
  </si>
  <si>
    <t xml:space="preserve">Demand of </t>
  </si>
  <si>
    <t>Less:</t>
  </si>
  <si>
    <t xml:space="preserve">Grandfathered </t>
  </si>
  <si>
    <t>Interzonal</t>
  </si>
  <si>
    <t>Tran. &gt; 1 yr</t>
  </si>
  <si>
    <t>Serv. To ISO</t>
  </si>
  <si>
    <t>at a Discount</t>
  </si>
  <si>
    <t>Firm Sales</t>
  </si>
  <si>
    <t>Divisor</t>
  </si>
  <si>
    <t>(G)</t>
  </si>
  <si>
    <t>(H)</t>
  </si>
  <si>
    <t>(line 1 minus line 6 plus line 6c through 6e)</t>
  </si>
  <si>
    <t>Pursuant to Attachment MM of the Midwest ISO Tariff, removes dollar amount of revenue requirements calculated pursuant to Attachment MM and recovered</t>
  </si>
  <si>
    <t>under Schedule 26-A of the Midwest ISO Tariff.</t>
  </si>
  <si>
    <t>Removes from revenue credits that are distributed pursuant to Schedule 26-A of the Midwest ISO Tariff, since the Transmission Owner's Attachment O</t>
  </si>
  <si>
    <t>revenue requirements have already been reduced by the Attachment M revenue requirements.</t>
  </si>
  <si>
    <t>DD</t>
  </si>
  <si>
    <t>EE</t>
  </si>
  <si>
    <t>30a</t>
  </si>
  <si>
    <t>LESS ATTACHMENT MM ADJUSTMENT [Attachment MM, page 2, line 3, column 10]   (Note Z)</t>
  </si>
  <si>
    <t>included in Attachment MM]</t>
  </si>
  <si>
    <t>36b</t>
  </si>
  <si>
    <t xml:space="preserve">  d. Transmission charges associated with Schedule 26-A (Note AA)</t>
  </si>
  <si>
    <t xml:space="preserve">  Total of (a)-(b)-(c)-(d)</t>
  </si>
  <si>
    <t>(Transmission Owner)</t>
  </si>
  <si>
    <t>Operation and Maintenance Expenses</t>
  </si>
  <si>
    <t>Monthly Expense</t>
  </si>
  <si>
    <t>Administrative and General Expenses</t>
  </si>
  <si>
    <t>219.28.c &amp; 200.21</t>
  </si>
  <si>
    <t>O&amp;M  (Note CC)</t>
  </si>
  <si>
    <t xml:space="preserve">  General &amp; Intangible </t>
  </si>
  <si>
    <t xml:space="preserve">  c. Transmission charges associated with Schedule 26 and 37  (Note X)</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</si>
  <si>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Payroll Taxes should only be included in line 13 and should not be included in A&amp;G.</t>
  </si>
  <si>
    <t xml:space="preserve">Account Nos. 561.4 and 561.8 consist of RTO expenses billed to load-serving entities and are not included in Transmission Owner revenue requirements.  </t>
  </si>
  <si>
    <t xml:space="preserve">Removes from revenue credits revenues that are distributed pursuant to Schedule 26 and 37 of the Midwest ISO Tariff, since the Transmission Owner's Attachment O revenue requirements have already been reduced by the Attachment GG revenue requirements.  </t>
  </si>
  <si>
    <t>Plant in Service, Accumulated Depreciation, and Depreciation Expense amounts exclude Asset Retirement Obligation amounts unless authorized by FERC.</t>
  </si>
  <si>
    <t>Swchedule 10-FERC charges should not be included in O&amp;M.</t>
  </si>
  <si>
    <t>FF</t>
  </si>
  <si>
    <t>GG</t>
  </si>
  <si>
    <t>(Note GG)</t>
  </si>
  <si>
    <t>GROSS PLANT IN SERVICE     (Note BB and Note EE)</t>
  </si>
  <si>
    <t>ACCUMULATED DEPRECIATION   (Note BB and Note EE)</t>
  </si>
  <si>
    <t>NET PLANT IN SERVICE    (Note EE)</t>
  </si>
  <si>
    <t>CWIP for Certificate of Need Projects (Note EE)</t>
  </si>
  <si>
    <t>(Note DD, Note EE )</t>
  </si>
  <si>
    <t xml:space="preserve">  Materials &amp; Supplies  (Note G, Note EE)</t>
  </si>
  <si>
    <t xml:space="preserve">  Prepayments (Account 165, Note EE)</t>
  </si>
  <si>
    <t>(Note DD)</t>
  </si>
  <si>
    <t>DEPRECIATION AND AMORTIZATION EXPENSE (Note BB)</t>
  </si>
  <si>
    <t>273.8.k        (Note FF)</t>
  </si>
  <si>
    <t>275.2.k        (Note FF)</t>
  </si>
  <si>
    <t>277.9.k        (Note FF)</t>
  </si>
  <si>
    <t>234.8.c        (Note FF)</t>
  </si>
  <si>
    <t>267.8.h        (Note FF)</t>
  </si>
  <si>
    <t xml:space="preserve">  Account No. 281 (enter negative)      </t>
  </si>
  <si>
    <t xml:space="preserve">  Account No. 282 (enter negative)      </t>
  </si>
  <si>
    <t xml:space="preserve">  Account No. 283 (enter negative)      </t>
  </si>
  <si>
    <t xml:space="preserve">  Account No. 190                                   </t>
  </si>
  <si>
    <t xml:space="preserve">  Account No. 255 (enter negative)      </t>
  </si>
  <si>
    <t>Taxes Other Than Income Taxes</t>
  </si>
  <si>
    <t>Payroll</t>
  </si>
  <si>
    <t>Highway and Vehicle</t>
  </si>
  <si>
    <t>Property</t>
  </si>
  <si>
    <t>Gross Receipts</t>
  </si>
  <si>
    <t>Other</t>
  </si>
  <si>
    <t>Payments in Lieu of Taxes</t>
  </si>
  <si>
    <t>TOTAL ADJUSTMENTS  (sum lines 19 - 23b)</t>
  </si>
  <si>
    <t>RATE BASE  (sum lines 18, 18a, 24, 25, &amp; 29)</t>
  </si>
  <si>
    <t>Amortized Investment Tax Credit</t>
  </si>
  <si>
    <t>Investment Tax Credit</t>
  </si>
  <si>
    <t>Account 561</t>
  </si>
  <si>
    <t>Gas</t>
  </si>
  <si>
    <t>Preferred Stock</t>
  </si>
  <si>
    <t>Preferred Stock Dividend</t>
  </si>
  <si>
    <t>336.10.f &amp; 336.1.f</t>
  </si>
  <si>
    <t>For FAS 109</t>
  </si>
  <si>
    <t>incl w Iowa</t>
  </si>
  <si>
    <t>W:\INC\2010\Utility - MEC\state apportionment / _SalesApportionment_2010.xls</t>
  </si>
  <si>
    <t>Budget Year Ending December 31, 2013</t>
  </si>
  <si>
    <t>(line 29 - line 30 - line 30a)</t>
  </si>
  <si>
    <t>Account 565</t>
  </si>
  <si>
    <t>EPRI Expenses</t>
  </si>
  <si>
    <t>FERC Annual Fees</t>
  </si>
  <si>
    <t>FERC Annual Fees and EPRI Expenses</t>
  </si>
  <si>
    <t>FERC Fees and EPRI Expenses</t>
  </si>
  <si>
    <t>Account 216.1</t>
  </si>
  <si>
    <t>Unappropriated Undistributed Subsidiary Earnings</t>
  </si>
  <si>
    <t>Estimated - For the 12 months ended 12/31/14</t>
  </si>
  <si>
    <t>12 Months Ending December 31, 2014</t>
  </si>
  <si>
    <t>2014 - Estimated</t>
  </si>
  <si>
    <t>Transmission of Electricity for Others (2014 MidAmerican Transmission Revenue Forecast)</t>
  </si>
  <si>
    <t>2014 Simple Average Calculation</t>
  </si>
  <si>
    <t>Composite Income Tax Rate 2013 w new ILL state rate through 2014</t>
  </si>
  <si>
    <t>MISSOURI</t>
  </si>
  <si>
    <t>MICHIGAN</t>
  </si>
  <si>
    <t>BLENDED</t>
  </si>
  <si>
    <t>apportion %</t>
  </si>
  <si>
    <t xml:space="preserve"> apportion %</t>
  </si>
  <si>
    <t xml:space="preserve">             MISSOURI TAX</t>
  </si>
  <si>
    <t xml:space="preserve">             MICHIGAN TAX</t>
  </si>
  <si>
    <t xml:space="preserve">             BLENDED TAX</t>
  </si>
  <si>
    <t>MISSOURI INCOME TAX:</t>
  </si>
  <si>
    <t>ADD BACK:  STATE INCOME TAX</t>
  </si>
  <si>
    <t>MO TAXABLE INCOME before APPORTIONMENT</t>
  </si>
  <si>
    <t>MO APPORTIONMENT FACTOR</t>
  </si>
  <si>
    <t>MO TAXABLE INCOME</t>
  </si>
  <si>
    <t>MISSOURI TAX RATE</t>
  </si>
  <si>
    <t>MO INCOME TAX</t>
  </si>
  <si>
    <t xml:space="preserve">ADD BACK:  STATE INCOME TAX </t>
  </si>
  <si>
    <t>MICHIGAN INCOME TAX:</t>
  </si>
  <si>
    <t xml:space="preserve">ADD BACK:  MICHIGAN INCOME TAX </t>
  </si>
  <si>
    <t>MI TAXABLE INCOME before APPORTIONMENT</t>
  </si>
  <si>
    <t>MI APPORTIONMENT FACTOR</t>
  </si>
  <si>
    <t>MI TAXABLE INCOME</t>
  </si>
  <si>
    <t>MICHIGAN TAX RATE</t>
  </si>
  <si>
    <t>MI INCOME TAX</t>
  </si>
  <si>
    <t>BLENDED INCOME TAX:</t>
  </si>
  <si>
    <t xml:space="preserve">ADD BACK:  BLENDED INCOME TAX </t>
  </si>
  <si>
    <t>BLENDED TAXABLE INCOME before APPORTIONMENT</t>
  </si>
  <si>
    <t>BLENDED APPORTIONMENT FACTOR</t>
  </si>
  <si>
    <t>BLENDED TAXABLE INCOME</t>
  </si>
  <si>
    <t>BLENDED TAX RATE</t>
  </si>
  <si>
    <t>BLENDED INCOME TAX</t>
  </si>
  <si>
    <t>Anything not IL, SD or Neb is included as Iowa</t>
  </si>
  <si>
    <t>Accumulated Deferred Income Taxes</t>
  </si>
  <si>
    <t>Account</t>
  </si>
  <si>
    <t xml:space="preserve">Deferred </t>
  </si>
  <si>
    <t>Income Taxes</t>
  </si>
  <si>
    <t>Simple Average Calculation</t>
  </si>
  <si>
    <t>Less: FAS 109 Deferred Taxes (Simple Average)</t>
  </si>
  <si>
    <t>Net Simple Average Calculation</t>
  </si>
  <si>
    <t>December 2013</t>
  </si>
  <si>
    <t>December 2014</t>
  </si>
  <si>
    <t>For the 13 Months Ended December 31, 2014</t>
  </si>
  <si>
    <t>Budget Year Ending December 31, 2014</t>
  </si>
  <si>
    <t>Budget Year 2014</t>
  </si>
  <si>
    <t>Budget 2014</t>
  </si>
  <si>
    <t>2012 Attachment O True-up Adjustment</t>
  </si>
  <si>
    <t>For the Year Ended December 31, 2012</t>
  </si>
  <si>
    <t>Line No.</t>
  </si>
  <si>
    <t>I.</t>
  </si>
  <si>
    <t>Annual Transmission Revenue Requirement True-Up</t>
  </si>
  <si>
    <t xml:space="preserve">Historic Year Actual ATRR </t>
  </si>
  <si>
    <t>Historic Year Projected ATRR</t>
  </si>
  <si>
    <t xml:space="preserve">Historic Year ATRR True-Up  </t>
  </si>
  <si>
    <t>(Line 1 - Line 2)</t>
  </si>
  <si>
    <t>II.</t>
  </si>
  <si>
    <t>Divisor True-Up</t>
  </si>
  <si>
    <t>Historic Year Actual Divisor</t>
  </si>
  <si>
    <t>Historic Year Projected Divisor</t>
  </si>
  <si>
    <t xml:space="preserve">Difference in Divisor  </t>
  </si>
  <si>
    <t>(Line 5 - Line 4)</t>
  </si>
  <si>
    <t>Historic Year Projected Annual Cost ($/kW/Yr)</t>
  </si>
  <si>
    <t xml:space="preserve">Historic Year Divisor True-Up  </t>
  </si>
  <si>
    <t>(Line 6 X Line 7)</t>
  </si>
  <si>
    <t>III.</t>
  </si>
  <si>
    <t>Summary</t>
  </si>
  <si>
    <t xml:space="preserve">ATRR True-Up (Line 3)  </t>
  </si>
  <si>
    <t xml:space="preserve">Divisor True-Up (Line 8)  </t>
  </si>
  <si>
    <t xml:space="preserve">Total Principal 2012 True-Up  </t>
  </si>
  <si>
    <t>(Line 9 + Line 10)</t>
  </si>
  <si>
    <t>Interest on Historic Year True-Up</t>
  </si>
  <si>
    <t>Average Monthly MidAmerican Short-Term Debt Interest Rate (Jan. '12 - July '13)</t>
  </si>
  <si>
    <t xml:space="preserve">Interest for 24 Months (Jan'12 - Dec '13)  </t>
  </si>
  <si>
    <t>(Line 11 X Line 12 X 24 months)</t>
  </si>
  <si>
    <t xml:space="preserve">True-Up Principal and Interest (Over)Under Collected  </t>
  </si>
  <si>
    <t>(Line 11 + Line 13)</t>
  </si>
  <si>
    <t>Short-Term Interest Rate</t>
  </si>
  <si>
    <t>Average</t>
  </si>
  <si>
    <t>2014 MidAmerican Transmission Revenue Forecast</t>
  </si>
  <si>
    <t>Project P3213</t>
  </si>
  <si>
    <t>Project P3205</t>
  </si>
  <si>
    <t>MVP 4 *</t>
  </si>
  <si>
    <t>MVP 3 **</t>
  </si>
  <si>
    <t>**</t>
  </si>
  <si>
    <t>Assumes state regulatory siting approval is received in January 2014</t>
  </si>
  <si>
    <t>Assumes state regulatory siting approval is received in March 2014</t>
  </si>
  <si>
    <t>Attachment O - Footnote K</t>
  </si>
  <si>
    <t>Tax Percentages</t>
  </si>
  <si>
    <t>Federal Income Tax Deduction for State Income Tax Calculation</t>
  </si>
  <si>
    <t>Federal Income Taxes before State Income Tax Deduction</t>
  </si>
  <si>
    <t>(Line 3 / Line 4)</t>
  </si>
  <si>
    <r>
      <t xml:space="preserve">* Data used for calculations is from Tax Tab of workbook. The data cells used are highlighted in </t>
    </r>
    <r>
      <rPr>
        <sz val="12"/>
        <rFont val="Arial MT"/>
      </rPr>
      <t>yellow.</t>
    </r>
  </si>
</sst>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 #,##0_);_(* \(#,##0\);_(* &quot;-&quot;??_);_(@_)"/>
    <numFmt numFmtId="175" formatCode="_(&quot;$&quot;* #,##0_);_(&quot;$&quot;* \(#,##0\);_(&quot;$&quot;* &quot;-&quot;??_);_(@_)"/>
    <numFmt numFmtId="176" formatCode="0_);\(0\)"/>
    <numFmt numFmtId="177" formatCode="[$-409]mmm\-yy;@"/>
    <numFmt numFmtId="178" formatCode="dd\-mmm\-yy_)"/>
    <numFmt numFmtId="179" formatCode="0.0000%"/>
    <numFmt numFmtId="180" formatCode="_(* #,##0.00000_);_(* \(#,##0.00000\);_(* &quot;-&quot;??_);_(@_)"/>
    <numFmt numFmtId="181" formatCode="[$-409]mmmm\-yy;@"/>
    <numFmt numFmtId="182" formatCode="mm/dd/yy;@"/>
    <numFmt numFmtId="183" formatCode="0.000"/>
    <numFmt numFmtId="184" formatCode="#,##0;\-#,##0;&quot;-&quot;"/>
    <numFmt numFmtId="185" formatCode="[$-409]mmmm\ d\,\ yyyy;@"/>
    <numFmt numFmtId="186" formatCode="#,##0.00&quot;£&quot;_);\(#,##0.00&quot;£&quot;\)"/>
    <numFmt numFmtId="187" formatCode="mm/dd/yy"/>
    <numFmt numFmtId="188" formatCode="_(&quot;$&quot;* #,##0.0000_);_(&quot;$&quot;* \(#,##0.0000\);_(&quot;$&quot;* &quot;-&quot;??_);_(@_)"/>
    <numFmt numFmtId="189" formatCode="0.00000%"/>
  </numFmts>
  <fonts count="82">
    <font>
      <sz val="12"/>
      <name val="Arial MT"/>
    </font>
    <font>
      <sz val="11"/>
      <color theme="1"/>
      <name val="Calibri"/>
      <family val="2"/>
      <scheme val="minor"/>
    </font>
    <font>
      <sz val="11"/>
      <color theme="1"/>
      <name val="Calibri"/>
      <family val="2"/>
      <scheme val="minor"/>
    </font>
    <font>
      <sz val="12"/>
      <name val="Times New Roman"/>
      <family val="1"/>
    </font>
    <font>
      <b/>
      <sz val="12"/>
      <name val="Times New Roman"/>
      <family val="1"/>
    </font>
    <font>
      <sz val="12"/>
      <color indexed="10"/>
      <name val="Times New Roman"/>
      <family val="1"/>
    </font>
    <font>
      <strike/>
      <sz val="12"/>
      <color indexed="10"/>
      <name val="Times New Roman"/>
      <family val="1"/>
    </font>
    <font>
      <strike/>
      <sz val="12"/>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b/>
      <sz val="12"/>
      <name val="Arial"/>
      <family val="2"/>
    </font>
    <font>
      <sz val="12"/>
      <name val="Arial"/>
      <family val="2"/>
    </font>
    <font>
      <b/>
      <sz val="12"/>
      <name val="Arial MT"/>
    </font>
    <font>
      <u/>
      <sz val="12"/>
      <color rgb="FFFF0000"/>
      <name val="Times New Roman"/>
      <family val="1"/>
    </font>
    <font>
      <b/>
      <sz val="16"/>
      <color indexed="8"/>
      <name val="Arial"/>
      <family val="2"/>
    </font>
    <font>
      <b/>
      <sz val="14"/>
      <color indexed="8"/>
      <name val="Arial"/>
      <family val="2"/>
    </font>
    <font>
      <b/>
      <sz val="12"/>
      <color indexed="8"/>
      <name val="Arial"/>
      <family val="2"/>
    </font>
    <font>
      <sz val="12"/>
      <color indexed="8"/>
      <name val="Arial"/>
      <family val="2"/>
    </font>
    <font>
      <sz val="12"/>
      <color indexed="12"/>
      <name val="Arial"/>
      <family val="2"/>
    </font>
    <font>
      <sz val="12"/>
      <color indexed="8"/>
      <name val="Courier"/>
      <family val="3"/>
    </font>
    <font>
      <sz val="10"/>
      <color indexed="12"/>
      <name val="Arial"/>
      <family val="2"/>
    </font>
    <font>
      <b/>
      <u/>
      <sz val="12"/>
      <color indexed="8"/>
      <name val="Arial"/>
      <family val="2"/>
    </font>
    <font>
      <sz val="8"/>
      <color indexed="8"/>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sz val="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color indexed="8"/>
      <name val="Arial"/>
      <family val="2"/>
    </font>
    <font>
      <b/>
      <sz val="11"/>
      <color indexed="52"/>
      <name val="Calibri"/>
      <family val="2"/>
    </font>
    <font>
      <b/>
      <sz val="11"/>
      <color indexed="9"/>
      <name val="Calibri"/>
      <family val="2"/>
    </font>
    <font>
      <sz val="10"/>
      <name val="MS Sans Serif"/>
      <family val="2"/>
    </font>
    <font>
      <sz val="10"/>
      <name val="MS Serif"/>
      <family val="1"/>
    </font>
    <font>
      <sz val="10"/>
      <name val="Courier"/>
      <family val="3"/>
    </font>
    <font>
      <sz val="10"/>
      <color indexed="16"/>
      <name val="MS Serif"/>
      <family val="1"/>
    </font>
    <font>
      <i/>
      <sz val="11"/>
      <color indexed="23"/>
      <name val="Calibri"/>
      <family val="2"/>
    </font>
    <font>
      <sz val="11"/>
      <color indexed="17"/>
      <name val="Calibri"/>
      <family val="2"/>
    </font>
    <font>
      <b/>
      <sz val="18"/>
      <name val="Arial"/>
      <family val="2"/>
    </font>
    <font>
      <b/>
      <sz val="15"/>
      <color indexed="56"/>
      <name val="Calibri"/>
      <family val="2"/>
    </font>
    <font>
      <b/>
      <sz val="13"/>
      <color indexed="56"/>
      <name val="Calibri"/>
      <family val="2"/>
    </font>
    <font>
      <b/>
      <sz val="11"/>
      <color indexed="56"/>
      <name val="Calibri"/>
      <family val="2"/>
    </font>
    <font>
      <b/>
      <sz val="14"/>
      <name val="Book Antiqua"/>
      <family val="1"/>
    </font>
    <font>
      <i/>
      <sz val="10"/>
      <name val="Book Antiqua"/>
      <family val="1"/>
    </font>
    <font>
      <sz val="11"/>
      <color indexed="62"/>
      <name val="Calibri"/>
      <family val="2"/>
    </font>
    <font>
      <sz val="11"/>
      <color indexed="52"/>
      <name val="Calibri"/>
      <family val="2"/>
    </font>
    <font>
      <sz val="11"/>
      <color indexed="60"/>
      <name val="Calibri"/>
      <family val="2"/>
    </font>
    <font>
      <sz val="12"/>
      <name val="TimesNewRomanPS"/>
    </font>
    <font>
      <b/>
      <sz val="11"/>
      <color indexed="63"/>
      <name val="Calibri"/>
      <family val="2"/>
    </font>
    <font>
      <sz val="10"/>
      <name val="TimesNewRomanPS"/>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8"/>
      <name val="Helv"/>
    </font>
    <font>
      <b/>
      <sz val="8"/>
      <color indexed="8"/>
      <name val="Helv"/>
    </font>
    <font>
      <b/>
      <sz val="18"/>
      <color indexed="56"/>
      <name val="Cambria"/>
      <family val="2"/>
    </font>
    <font>
      <b/>
      <sz val="11"/>
      <color indexed="8"/>
      <name val="Calibri"/>
      <family val="2"/>
    </font>
    <font>
      <sz val="11"/>
      <color indexed="10"/>
      <name val="Calibri"/>
      <family val="2"/>
    </font>
    <font>
      <sz val="10"/>
      <color theme="1"/>
      <name val="Arial"/>
      <family val="2"/>
    </font>
    <font>
      <sz val="12"/>
      <color theme="1"/>
      <name val="Times New Roman"/>
      <family val="1"/>
    </font>
    <font>
      <b/>
      <sz val="10"/>
      <color theme="1"/>
      <name val="Arial"/>
      <family val="2"/>
    </font>
  </fonts>
  <fills count="3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s>
  <borders count="39">
    <border>
      <left/>
      <right/>
      <top/>
      <bottom/>
      <diagonal/>
    </border>
    <border>
      <left/>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right/>
      <top/>
      <bottom style="thin">
        <color indexed="8"/>
      </bottom>
      <diagonal/>
    </border>
    <border>
      <left/>
      <right/>
      <top/>
      <bottom style="double">
        <color indexed="8"/>
      </bottom>
      <diagonal/>
    </border>
    <border>
      <left/>
      <right style="medium">
        <color indexed="64"/>
      </right>
      <top/>
      <bottom style="medium">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36">
    <xf numFmtId="173" fontId="0" fillId="0" borderId="0" applyProtection="0"/>
    <xf numFmtId="44" fontId="9"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2" fillId="0" borderId="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4" borderId="0" applyNumberFormat="0" applyBorder="0" applyAlignment="0" applyProtection="0"/>
    <xf numFmtId="0" fontId="30" fillId="8" borderId="0" applyNumberFormat="0" applyBorder="0" applyAlignment="0" applyProtection="0"/>
    <xf numFmtId="173" fontId="31" fillId="0" borderId="0" applyFill="0"/>
    <xf numFmtId="173" fontId="31" fillId="0" borderId="0">
      <alignment horizontal="center"/>
    </xf>
    <xf numFmtId="0" fontId="31" fillId="0" borderId="0" applyFill="0">
      <alignment horizontal="center"/>
    </xf>
    <xf numFmtId="173" fontId="32" fillId="0" borderId="27" applyFill="0"/>
    <xf numFmtId="0" fontId="9" fillId="0" borderId="0" applyFont="0" applyAlignment="0"/>
    <xf numFmtId="0" fontId="33" fillId="0" borderId="0" applyFill="0">
      <alignment vertical="top"/>
    </xf>
    <xf numFmtId="0" fontId="32" fillId="0" borderId="0" applyFill="0">
      <alignment horizontal="left" vertical="top"/>
    </xf>
    <xf numFmtId="173" fontId="14" fillId="0" borderId="9" applyFill="0"/>
    <xf numFmtId="0" fontId="9" fillId="0" borderId="0" applyNumberFormat="0" applyFont="0" applyAlignment="0"/>
    <xf numFmtId="0" fontId="33" fillId="0" borderId="0" applyFill="0">
      <alignment wrapText="1"/>
    </xf>
    <xf numFmtId="0" fontId="32" fillId="0" borderId="0" applyFill="0">
      <alignment horizontal="left" vertical="top" wrapText="1"/>
    </xf>
    <xf numFmtId="173" fontId="34" fillId="0" borderId="0" applyFill="0"/>
    <xf numFmtId="0" fontId="35" fillId="0" borderId="0" applyNumberFormat="0" applyFont="0" applyAlignment="0">
      <alignment horizontal="center"/>
    </xf>
    <xf numFmtId="0" fontId="36" fillId="0" borderId="0" applyFill="0">
      <alignment vertical="top" wrapText="1"/>
    </xf>
    <xf numFmtId="0" fontId="14" fillId="0" borderId="0" applyFill="0">
      <alignment horizontal="left" vertical="top" wrapText="1"/>
    </xf>
    <xf numFmtId="173" fontId="9" fillId="0" borderId="0" applyFill="0"/>
    <xf numFmtId="0" fontId="35" fillId="0" borderId="0" applyNumberFormat="0" applyFont="0" applyAlignment="0">
      <alignment horizontal="center"/>
    </xf>
    <xf numFmtId="0" fontId="37" fillId="0" borderId="0" applyFill="0">
      <alignment vertical="center" wrapText="1"/>
    </xf>
    <xf numFmtId="0" fontId="15" fillId="0" borderId="0">
      <alignment horizontal="left" vertical="center" wrapText="1"/>
    </xf>
    <xf numFmtId="173" fontId="38" fillId="0" borderId="0" applyFill="0"/>
    <xf numFmtId="0" fontId="35" fillId="0" borderId="0" applyNumberFormat="0" applyFont="0" applyAlignment="0">
      <alignment horizontal="center"/>
    </xf>
    <xf numFmtId="0" fontId="39" fillId="0" borderId="0" applyFill="0">
      <alignment horizontal="center" vertical="center" wrapText="1"/>
    </xf>
    <xf numFmtId="0" fontId="9" fillId="0" borderId="0" applyFill="0">
      <alignment horizontal="center" vertical="center" wrapText="1"/>
    </xf>
    <xf numFmtId="173" fontId="40" fillId="0" borderId="0" applyFill="0"/>
    <xf numFmtId="0" fontId="35" fillId="0" borderId="0" applyNumberFormat="0" applyFont="0" applyAlignment="0">
      <alignment horizontal="center"/>
    </xf>
    <xf numFmtId="0" fontId="41" fillId="0" borderId="0" applyFill="0">
      <alignment horizontal="center" vertical="center" wrapText="1"/>
    </xf>
    <xf numFmtId="0" fontId="42" fillId="0" borderId="0" applyFill="0">
      <alignment horizontal="center" vertical="center" wrapText="1"/>
    </xf>
    <xf numFmtId="173" fontId="43" fillId="0" borderId="0" applyFill="0"/>
    <xf numFmtId="0" fontId="35" fillId="0" borderId="0" applyNumberFormat="0" applyFont="0" applyAlignment="0">
      <alignment horizontal="center"/>
    </xf>
    <xf numFmtId="0" fontId="44" fillId="0" borderId="0">
      <alignment horizontal="center" wrapText="1"/>
    </xf>
    <xf numFmtId="0" fontId="40" fillId="0" borderId="0" applyFill="0">
      <alignment horizontal="center" wrapText="1"/>
    </xf>
    <xf numFmtId="184" fontId="45" fillId="0" borderId="0" applyFill="0" applyBorder="0" applyAlignment="0"/>
    <xf numFmtId="0" fontId="46" fillId="25" borderId="28" applyNumberFormat="0" applyAlignment="0" applyProtection="0"/>
    <xf numFmtId="0" fontId="47" fillId="26" borderId="29" applyNumberFormat="0" applyAlignment="0" applyProtection="0"/>
    <xf numFmtId="41" fontId="21" fillId="0" borderId="0" applyFont="0" applyFill="0" applyBorder="0" applyAlignment="0" applyProtection="0"/>
    <xf numFmtId="41" fontId="21" fillId="0" borderId="0" applyFont="0" applyFill="0" applyBorder="0" applyAlignment="0" applyProtection="0"/>
    <xf numFmtId="43" fontId="15" fillId="0" borderId="0" applyFont="0" applyFill="0" applyBorder="0" applyAlignment="0" applyProtection="0"/>
    <xf numFmtId="43" fontId="21" fillId="0" borderId="0" applyFont="0" applyFill="0" applyBorder="0" applyAlignment="0" applyProtection="0"/>
    <xf numFmtId="43" fontId="13"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3" fontId="9" fillId="0" borderId="0" applyFont="0" applyFill="0" applyBorder="0" applyAlignment="0" applyProtection="0"/>
    <xf numFmtId="0" fontId="49" fillId="0" borderId="0" applyNumberFormat="0" applyAlignment="0">
      <alignment horizontal="left"/>
    </xf>
    <xf numFmtId="0" fontId="50" fillId="0" borderId="0"/>
    <xf numFmtId="44" fontId="9"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5" fontId="9" fillId="0" borderId="0" applyFont="0" applyFill="0" applyBorder="0" applyAlignment="0" applyProtection="0"/>
    <xf numFmtId="14" fontId="9" fillId="0" borderId="0" applyFont="0" applyFill="0" applyBorder="0" applyAlignment="0" applyProtection="0"/>
    <xf numFmtId="185" fontId="9" fillId="0" borderId="0" applyFont="0" applyFill="0" applyBorder="0" applyAlignment="0" applyProtection="0"/>
    <xf numFmtId="0" fontId="51" fillId="0" borderId="0" applyNumberFormat="0" applyAlignment="0">
      <alignment horizontal="left"/>
    </xf>
    <xf numFmtId="0" fontId="52" fillId="0" borderId="0" applyNumberFormat="0" applyFill="0" applyBorder="0" applyAlignment="0" applyProtection="0"/>
    <xf numFmtId="2" fontId="9" fillId="0" borderId="0" applyFont="0" applyFill="0" applyBorder="0" applyAlignment="0" applyProtection="0"/>
    <xf numFmtId="0" fontId="53" fillId="9" borderId="0" applyNumberFormat="0" applyBorder="0" applyAlignment="0" applyProtection="0"/>
    <xf numFmtId="38" fontId="31" fillId="27" borderId="0" applyNumberFormat="0" applyBorder="0" applyAlignment="0" applyProtection="0"/>
    <xf numFmtId="0" fontId="14" fillId="0" borderId="30" applyNumberFormat="0" applyAlignment="0" applyProtection="0">
      <alignment horizontal="left" vertical="center"/>
    </xf>
    <xf numFmtId="0" fontId="14" fillId="0" borderId="13">
      <alignment horizontal="left" vertical="center"/>
    </xf>
    <xf numFmtId="0" fontId="54" fillId="0" borderId="0" applyFont="0" applyFill="0" applyBorder="0" applyAlignment="0" applyProtection="0"/>
    <xf numFmtId="0" fontId="55" fillId="0" borderId="31" applyNumberFormat="0" applyFill="0" applyAlignment="0" applyProtection="0"/>
    <xf numFmtId="0" fontId="14" fillId="0" borderId="0" applyFont="0" applyFill="0" applyBorder="0" applyAlignment="0" applyProtection="0"/>
    <xf numFmtId="0" fontId="56" fillId="0" borderId="32" applyNumberFormat="0" applyFill="0" applyAlignment="0" applyProtection="0"/>
    <xf numFmtId="0" fontId="57" fillId="0" borderId="33" applyNumberFormat="0" applyFill="0" applyAlignment="0" applyProtection="0"/>
    <xf numFmtId="0" fontId="57" fillId="0" borderId="0" applyNumberFormat="0" applyFill="0" applyBorder="0" applyAlignment="0" applyProtection="0"/>
    <xf numFmtId="0" fontId="58" fillId="0" borderId="1"/>
    <xf numFmtId="0" fontId="59" fillId="0" borderId="0"/>
    <xf numFmtId="10" fontId="31" fillId="28" borderId="34" applyNumberFormat="0" applyBorder="0" applyAlignment="0" applyProtection="0"/>
    <xf numFmtId="0" fontId="60" fillId="12" borderId="28" applyNumberFormat="0" applyAlignment="0" applyProtection="0"/>
    <xf numFmtId="0" fontId="60" fillId="12" borderId="28" applyNumberFormat="0" applyAlignment="0" applyProtection="0"/>
    <xf numFmtId="0" fontId="60" fillId="12" borderId="28" applyNumberFormat="0" applyAlignment="0" applyProtection="0"/>
    <xf numFmtId="0" fontId="61" fillId="0" borderId="35" applyNumberFormat="0" applyFill="0" applyAlignment="0" applyProtection="0"/>
    <xf numFmtId="0" fontId="62" fillId="29" borderId="0" applyNumberFormat="0" applyBorder="0" applyAlignment="0" applyProtection="0"/>
    <xf numFmtId="186" fontId="9" fillId="0" borderId="0"/>
    <xf numFmtId="173" fontId="13" fillId="0" borderId="0" applyProtection="0"/>
    <xf numFmtId="0" fontId="63" fillId="0" borderId="0"/>
    <xf numFmtId="0" fontId="13" fillId="0" borderId="0"/>
    <xf numFmtId="0" fontId="13" fillId="0" borderId="0"/>
    <xf numFmtId="0" fontId="21" fillId="0" borderId="0"/>
    <xf numFmtId="0" fontId="2" fillId="0" borderId="0"/>
    <xf numFmtId="173" fontId="13" fillId="0" borderId="0" applyProtection="0"/>
    <xf numFmtId="0" fontId="9" fillId="0" borderId="0"/>
    <xf numFmtId="0" fontId="63" fillId="0" borderId="0"/>
    <xf numFmtId="0" fontId="15" fillId="0" borderId="0"/>
    <xf numFmtId="0" fontId="45" fillId="0" borderId="0"/>
    <xf numFmtId="39" fontId="13" fillId="0" borderId="0"/>
    <xf numFmtId="0" fontId="13" fillId="0" borderId="0"/>
    <xf numFmtId="0" fontId="63" fillId="0" borderId="0"/>
    <xf numFmtId="173" fontId="13" fillId="0" borderId="0" applyProtection="0"/>
    <xf numFmtId="173" fontId="13" fillId="0" borderId="0" applyProtection="0"/>
    <xf numFmtId="0" fontId="13" fillId="30" borderId="36" applyNumberFormat="0" applyFont="0" applyAlignment="0" applyProtection="0"/>
    <xf numFmtId="0" fontId="64" fillId="25" borderId="37" applyNumberFormat="0" applyAlignment="0" applyProtection="0"/>
    <xf numFmtId="10" fontId="9"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0" fontId="48" fillId="0" borderId="0" applyNumberFormat="0" applyFont="0" applyFill="0" applyBorder="0" applyAlignment="0" applyProtection="0">
      <alignment horizontal="left"/>
    </xf>
    <xf numFmtId="15" fontId="48" fillId="0" borderId="0" applyFont="0" applyFill="0" applyBorder="0" applyAlignment="0" applyProtection="0"/>
    <xf numFmtId="4" fontId="48" fillId="0" borderId="0" applyFont="0" applyFill="0" applyBorder="0" applyAlignment="0" applyProtection="0"/>
    <xf numFmtId="3" fontId="9" fillId="0" borderId="0">
      <alignment horizontal="left" vertical="top"/>
    </xf>
    <xf numFmtId="0" fontId="66" fillId="0" borderId="1">
      <alignment horizontal="center"/>
    </xf>
    <xf numFmtId="3" fontId="48" fillId="0" borderId="0" applyFont="0" applyFill="0" applyBorder="0" applyAlignment="0" applyProtection="0"/>
    <xf numFmtId="0" fontId="48" fillId="31" borderId="0" applyNumberFormat="0" applyFont="0" applyBorder="0" applyAlignment="0" applyProtection="0"/>
    <xf numFmtId="3" fontId="9" fillId="0" borderId="0">
      <alignment horizontal="right" vertical="top"/>
    </xf>
    <xf numFmtId="41" fontId="15" fillId="27" borderId="17" applyFill="0"/>
    <xf numFmtId="0" fontId="67" fillId="0" borderId="0">
      <alignment horizontal="left" indent="7"/>
    </xf>
    <xf numFmtId="41" fontId="15" fillId="0" borderId="17" applyFill="0">
      <alignment horizontal="left" indent="2"/>
    </xf>
    <xf numFmtId="173" fontId="68" fillId="0" borderId="6" applyFill="0">
      <alignment horizontal="right"/>
    </xf>
    <xf numFmtId="0" fontId="69" fillId="0" borderId="34" applyNumberFormat="0" applyFont="0" applyBorder="0">
      <alignment horizontal="right"/>
    </xf>
    <xf numFmtId="0" fontId="70" fillId="0" borderId="0" applyFill="0"/>
    <xf numFmtId="0" fontId="14" fillId="0" borderId="0" applyFill="0"/>
    <xf numFmtId="4" fontId="68" fillId="0" borderId="6" applyFill="0"/>
    <xf numFmtId="0" fontId="9" fillId="0" borderId="0" applyNumberFormat="0" applyFont="0" applyBorder="0" applyAlignment="0"/>
    <xf numFmtId="0" fontId="36" fillId="0" borderId="0" applyFill="0">
      <alignment horizontal="left" indent="1"/>
    </xf>
    <xf numFmtId="0" fontId="71" fillId="0" borderId="0" applyFill="0">
      <alignment horizontal="left" indent="1"/>
    </xf>
    <xf numFmtId="4" fontId="38" fillId="0" borderId="0" applyFill="0"/>
    <xf numFmtId="0" fontId="9" fillId="0" borderId="0" applyNumberFormat="0" applyFont="0" applyFill="0" applyBorder="0" applyAlignment="0"/>
    <xf numFmtId="0" fontId="36" fillId="0" borderId="0" applyFill="0">
      <alignment horizontal="left" indent="2"/>
    </xf>
    <xf numFmtId="0" fontId="14" fillId="0" borderId="0" applyFill="0">
      <alignment horizontal="left" indent="2"/>
    </xf>
    <xf numFmtId="4" fontId="38" fillId="0" borderId="0" applyFill="0"/>
    <xf numFmtId="0" fontId="9" fillId="0" borderId="0" applyNumberFormat="0" applyFont="0" applyBorder="0" applyAlignment="0"/>
    <xf numFmtId="0" fontId="72" fillId="0" borderId="0">
      <alignment horizontal="left" indent="3"/>
    </xf>
    <xf numFmtId="0" fontId="73" fillId="0" borderId="0" applyFill="0">
      <alignment horizontal="left" indent="3"/>
    </xf>
    <xf numFmtId="4" fontId="38" fillId="0" borderId="0" applyFill="0"/>
    <xf numFmtId="0" fontId="9" fillId="0" borderId="0" applyNumberFormat="0" applyFont="0" applyBorder="0" applyAlignment="0"/>
    <xf numFmtId="0" fontId="39" fillId="0" borderId="0">
      <alignment horizontal="left" indent="4"/>
    </xf>
    <xf numFmtId="0" fontId="9" fillId="0" borderId="0" applyFill="0">
      <alignment horizontal="left" indent="4"/>
    </xf>
    <xf numFmtId="4" fontId="40" fillId="0" borderId="0" applyFill="0"/>
    <xf numFmtId="0" fontId="9" fillId="0" borderId="0" applyNumberFormat="0" applyFont="0" applyBorder="0" applyAlignment="0"/>
    <xf numFmtId="0" fontId="41" fillId="0" borderId="0">
      <alignment horizontal="left" indent="5"/>
    </xf>
    <xf numFmtId="0" fontId="42" fillId="0" borderId="0" applyFill="0">
      <alignment horizontal="left" indent="5"/>
    </xf>
    <xf numFmtId="4" fontId="43" fillId="0" borderId="0" applyFill="0"/>
    <xf numFmtId="0" fontId="9" fillId="0" borderId="0" applyNumberFormat="0" applyFont="0" applyFill="0" applyBorder="0" applyAlignment="0"/>
    <xf numFmtId="0" fontId="44" fillId="0" borderId="0" applyFill="0">
      <alignment horizontal="left" indent="6"/>
    </xf>
    <xf numFmtId="0" fontId="40" fillId="0" borderId="0" applyFill="0">
      <alignment horizontal="left" indent="6"/>
    </xf>
    <xf numFmtId="187" fontId="74" fillId="0" borderId="0" applyNumberFormat="0" applyFill="0" applyBorder="0" applyAlignment="0" applyProtection="0">
      <alignment horizontal="left"/>
    </xf>
    <xf numFmtId="40" fontId="75" fillId="0" borderId="0" applyBorder="0">
      <alignment horizontal="right"/>
    </xf>
    <xf numFmtId="0" fontId="76" fillId="0" borderId="0" applyNumberFormat="0" applyFill="0" applyBorder="0" applyAlignment="0" applyProtection="0"/>
    <xf numFmtId="0" fontId="9" fillId="0" borderId="0" applyFont="0" applyFill="0" applyBorder="0" applyAlignment="0" applyProtection="0"/>
    <xf numFmtId="0" fontId="77" fillId="0" borderId="38" applyNumberFormat="0" applyFill="0" applyAlignment="0" applyProtection="0"/>
    <xf numFmtId="0" fontId="78" fillId="0" borderId="0" applyNumberForma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173" fontId="13" fillId="0" borderId="0" applyProtection="0"/>
    <xf numFmtId="9" fontId="1" fillId="0" borderId="0" applyFont="0" applyFill="0" applyBorder="0" applyAlignment="0" applyProtection="0"/>
  </cellStyleXfs>
  <cellXfs count="457">
    <xf numFmtId="173" fontId="0" fillId="0" borderId="0" xfId="0" applyAlignment="1"/>
    <xf numFmtId="173" fontId="3" fillId="0" borderId="0" xfId="0" applyFont="1" applyAlignment="1"/>
    <xf numFmtId="0" fontId="3" fillId="0" borderId="0" xfId="0" applyNumberFormat="1" applyFont="1" applyAlignment="1" applyProtection="1">
      <protection locked="0"/>
    </xf>
    <xf numFmtId="0" fontId="3" fillId="0" borderId="0" xfId="0" applyNumberFormat="1" applyFont="1" applyAlignment="1" applyProtection="1">
      <alignment horizontal="left"/>
      <protection locked="0"/>
    </xf>
    <xf numFmtId="0" fontId="3" fillId="0" borderId="0" xfId="0" applyNumberFormat="1" applyFont="1" applyProtection="1">
      <protection locked="0"/>
    </xf>
    <xf numFmtId="0" fontId="3" fillId="0" borderId="0" xfId="0" applyNumberFormat="1" applyFont="1" applyAlignment="1" applyProtection="1">
      <alignment horizontal="center"/>
      <protection locked="0"/>
    </xf>
    <xf numFmtId="0" fontId="3" fillId="0" borderId="0" xfId="0" applyNumberFormat="1" applyFont="1" applyFill="1" applyAlignment="1" applyProtection="1">
      <alignment horizontal="right"/>
      <protection locked="0"/>
    </xf>
    <xf numFmtId="0" fontId="3" fillId="0" borderId="0" xfId="0" applyNumberFormat="1" applyFont="1" applyAlignment="1" applyProtection="1">
      <alignment horizontal="right"/>
      <protection locked="0"/>
    </xf>
    <xf numFmtId="0" fontId="3" fillId="0" borderId="0" xfId="0" applyNumberFormat="1" applyFont="1" applyAlignment="1"/>
    <xf numFmtId="0" fontId="3" fillId="0" borderId="0" xfId="0" applyNumberFormat="1" applyFont="1"/>
    <xf numFmtId="173" fontId="3" fillId="0" borderId="0" xfId="0" applyFont="1" applyFill="1" applyAlignment="1"/>
    <xf numFmtId="0" fontId="3" fillId="0" borderId="0" xfId="0" applyNumberFormat="1" applyFont="1" applyFill="1" applyAlignment="1">
      <alignment horizontal="center"/>
    </xf>
    <xf numFmtId="0" fontId="3" fillId="0" borderId="0" xfId="0" applyNumberFormat="1" applyFont="1" applyFill="1"/>
    <xf numFmtId="0" fontId="3" fillId="2" borderId="0" xfId="0" applyNumberFormat="1" applyFont="1" applyFill="1"/>
    <xf numFmtId="3" fontId="3" fillId="0" borderId="0" xfId="0" applyNumberFormat="1" applyFont="1" applyAlignment="1"/>
    <xf numFmtId="49" fontId="3" fillId="0" borderId="0" xfId="0" applyNumberFormat="1" applyFont="1"/>
    <xf numFmtId="0" fontId="3" fillId="0" borderId="1" xfId="0" applyNumberFormat="1" applyFont="1" applyBorder="1" applyAlignment="1" applyProtection="1">
      <alignment horizontal="center"/>
      <protection locked="0"/>
    </xf>
    <xf numFmtId="3" fontId="3" fillId="0" borderId="0" xfId="0" applyNumberFormat="1" applyFont="1"/>
    <xf numFmtId="3" fontId="3" fillId="0" borderId="0" xfId="0" applyNumberFormat="1" applyFont="1" applyFill="1" applyAlignment="1"/>
    <xf numFmtId="0" fontId="3" fillId="0" borderId="1" xfId="0" applyNumberFormat="1" applyFont="1" applyBorder="1" applyAlignment="1" applyProtection="1">
      <alignment horizontal="centerContinuous"/>
      <protection locked="0"/>
    </xf>
    <xf numFmtId="166" fontId="3" fillId="0" borderId="0" xfId="0" applyNumberFormat="1" applyFont="1" applyAlignment="1"/>
    <xf numFmtId="3" fontId="3" fillId="0" borderId="0" xfId="0" applyNumberFormat="1" applyFont="1" applyFill="1" applyBorder="1"/>
    <xf numFmtId="3" fontId="3" fillId="2" borderId="0" xfId="0" applyNumberFormat="1" applyFont="1" applyFill="1" applyAlignment="1"/>
    <xf numFmtId="3" fontId="3" fillId="0" borderId="1" xfId="0" applyNumberFormat="1" applyFont="1" applyBorder="1" applyAlignment="1"/>
    <xf numFmtId="3" fontId="3" fillId="0" borderId="0" xfId="0" applyNumberFormat="1" applyFont="1" applyAlignment="1">
      <alignment horizontal="fill"/>
    </xf>
    <xf numFmtId="0" fontId="3" fillId="0" borderId="0" xfId="0" applyNumberFormat="1" applyFont="1" applyFill="1" applyProtection="1">
      <protection locked="0"/>
    </xf>
    <xf numFmtId="3" fontId="3" fillId="2" borderId="0" xfId="0" applyNumberFormat="1" applyFont="1" applyFill="1"/>
    <xf numFmtId="3" fontId="3" fillId="2" borderId="0" xfId="0" applyNumberFormat="1" applyFont="1" applyFill="1" applyBorder="1"/>
    <xf numFmtId="3" fontId="3" fillId="2" borderId="1" xfId="0" applyNumberFormat="1" applyFont="1" applyFill="1" applyBorder="1"/>
    <xf numFmtId="168" fontId="3" fillId="0" borderId="0" xfId="0" applyNumberFormat="1" applyFont="1"/>
    <xf numFmtId="168" fontId="3" fillId="0" borderId="0" xfId="0" applyNumberFormat="1" applyFont="1" applyAlignment="1">
      <alignment horizontal="center"/>
    </xf>
    <xf numFmtId="173" fontId="3" fillId="0" borderId="0" xfId="0" applyFont="1" applyAlignment="1">
      <alignment horizontal="center"/>
    </xf>
    <xf numFmtId="0" fontId="3" fillId="0" borderId="0" xfId="0" applyNumberFormat="1" applyFont="1" applyAlignment="1">
      <alignment horizontal="left"/>
    </xf>
    <xf numFmtId="172" fontId="3" fillId="0" borderId="0" xfId="0" applyNumberFormat="1" applyFont="1" applyAlignment="1"/>
    <xf numFmtId="172" fontId="3" fillId="2" borderId="0" xfId="0" applyNumberFormat="1" applyFont="1" applyFill="1" applyProtection="1">
      <protection locked="0"/>
    </xf>
    <xf numFmtId="172" fontId="3" fillId="0" borderId="0" xfId="0" applyNumberFormat="1" applyFont="1" applyProtection="1">
      <protection locked="0"/>
    </xf>
    <xf numFmtId="0" fontId="3" fillId="0" borderId="0" xfId="0" applyNumberFormat="1" applyFont="1" applyFill="1" applyAlignment="1">
      <alignment horizontal="right"/>
    </xf>
    <xf numFmtId="0"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horizontal="center"/>
    </xf>
    <xf numFmtId="3" fontId="4" fillId="0" borderId="0" xfId="0" applyNumberFormat="1" applyFont="1" applyAlignment="1">
      <alignment horizontal="center"/>
    </xf>
    <xf numFmtId="0" fontId="4" fillId="0" borderId="0" xfId="0" applyNumberFormat="1" applyFont="1" applyAlignment="1" applyProtection="1">
      <alignment horizontal="center"/>
      <protection locked="0"/>
    </xf>
    <xf numFmtId="173" fontId="4" fillId="0" borderId="0" xfId="0" applyFont="1" applyAlignment="1">
      <alignment horizontal="center"/>
    </xf>
    <xf numFmtId="3" fontId="4" fillId="0" borderId="0" xfId="0" applyNumberFormat="1" applyFont="1" applyAlignment="1"/>
    <xf numFmtId="0" fontId="4" fillId="0" borderId="0" xfId="0" applyNumberFormat="1" applyFont="1" applyAlignment="1"/>
    <xf numFmtId="165" fontId="3" fillId="0" borderId="0" xfId="0" applyNumberFormat="1" applyFont="1" applyAlignment="1"/>
    <xf numFmtId="3" fontId="3" fillId="2" borderId="1" xfId="0" applyNumberFormat="1" applyFont="1" applyFill="1" applyBorder="1" applyAlignment="1"/>
    <xf numFmtId="164" fontId="3" fillId="0" borderId="0" xfId="0" applyNumberFormat="1" applyFont="1" applyAlignment="1">
      <alignment horizontal="center"/>
    </xf>
    <xf numFmtId="164" fontId="3" fillId="0" borderId="0" xfId="0" applyNumberFormat="1" applyFont="1" applyFill="1" applyAlignment="1">
      <alignment horizontal="center"/>
    </xf>
    <xf numFmtId="165" fontId="3" fillId="0" borderId="0" xfId="0" applyNumberFormat="1" applyFont="1" applyFill="1" applyAlignment="1">
      <alignment horizontal="right"/>
    </xf>
    <xf numFmtId="3" fontId="3" fillId="2" borderId="0" xfId="0" applyNumberFormat="1" applyFont="1" applyFill="1" applyBorder="1" applyAlignment="1"/>
    <xf numFmtId="173" fontId="3" fillId="0" borderId="1" xfId="0" applyFont="1" applyBorder="1" applyAlignment="1"/>
    <xf numFmtId="3" fontId="3" fillId="0" borderId="2" xfId="0" applyNumberFormat="1" applyFont="1" applyBorder="1" applyAlignment="1"/>
    <xf numFmtId="3" fontId="3" fillId="0" borderId="0" xfId="0" applyNumberFormat="1" applyFont="1" applyBorder="1" applyAlignment="1"/>
    <xf numFmtId="3" fontId="3" fillId="0" borderId="0" xfId="0" applyNumberFormat="1" applyFont="1" applyFill="1" applyAlignment="1">
      <alignment horizontal="right"/>
    </xf>
    <xf numFmtId="0" fontId="4" fillId="0" borderId="0" xfId="0" applyNumberFormat="1" applyFont="1" applyFill="1" applyAlignment="1" applyProtection="1">
      <alignment horizontal="center"/>
      <protection locked="0"/>
    </xf>
    <xf numFmtId="0" fontId="3" fillId="0" borderId="0" xfId="0" applyNumberFormat="1" applyFont="1" applyFill="1" applyAlignment="1"/>
    <xf numFmtId="171" fontId="3" fillId="0" borderId="0" xfId="0" applyNumberFormat="1" applyFont="1" applyFill="1" applyAlignment="1">
      <alignment horizontal="left"/>
    </xf>
    <xf numFmtId="165" fontId="3" fillId="0" borderId="0" xfId="0" applyNumberFormat="1" applyFont="1" applyFill="1" applyAlignment="1"/>
    <xf numFmtId="166" fontId="3" fillId="0" borderId="0" xfId="0" applyNumberFormat="1" applyFont="1" applyFill="1" applyAlignment="1">
      <alignment horizontal="right"/>
    </xf>
    <xf numFmtId="166" fontId="3" fillId="0" borderId="0" xfId="0" applyNumberFormat="1" applyFont="1" applyAlignment="1">
      <alignment horizontal="center"/>
    </xf>
    <xf numFmtId="164" fontId="3" fillId="0" borderId="0" xfId="0" applyNumberFormat="1" applyFont="1" applyAlignment="1">
      <alignment horizontal="left"/>
    </xf>
    <xf numFmtId="10" fontId="3" fillId="0" borderId="0" xfId="0" applyNumberFormat="1" applyFont="1" applyFill="1" applyAlignment="1">
      <alignment horizontal="right"/>
    </xf>
    <xf numFmtId="169" fontId="3" fillId="0" borderId="0" xfId="0" applyNumberFormat="1" applyFont="1" applyFill="1" applyAlignment="1">
      <alignment horizontal="right"/>
    </xf>
    <xf numFmtId="10" fontId="3" fillId="0" borderId="0" xfId="0" applyNumberFormat="1" applyFont="1" applyAlignment="1">
      <alignment horizontal="left"/>
    </xf>
    <xf numFmtId="3" fontId="3" fillId="0" borderId="0" xfId="0" applyNumberFormat="1" applyFont="1" applyFill="1" applyAlignment="1">
      <alignment horizontal="left"/>
    </xf>
    <xf numFmtId="164" fontId="3" fillId="0" borderId="0" xfId="0" applyNumberFormat="1" applyFont="1" applyAlignment="1" applyProtection="1">
      <alignment horizontal="left"/>
      <protection locked="0"/>
    </xf>
    <xf numFmtId="167" fontId="3" fillId="0" borderId="0" xfId="0" applyNumberFormat="1" applyFont="1" applyAlignment="1"/>
    <xf numFmtId="0" fontId="3" fillId="0" borderId="0" xfId="0" applyNumberFormat="1" applyFont="1" applyFill="1" applyAlignment="1" applyProtection="1">
      <protection locked="0"/>
    </xf>
    <xf numFmtId="0" fontId="3" fillId="0" borderId="1" xfId="0" applyNumberFormat="1" applyFont="1" applyFill="1" applyBorder="1" applyProtection="1">
      <protection locked="0"/>
    </xf>
    <xf numFmtId="0" fontId="3" fillId="0" borderId="1" xfId="0" applyNumberFormat="1" applyFont="1" applyFill="1" applyBorder="1"/>
    <xf numFmtId="3" fontId="3" fillId="0" borderId="0" xfId="0" applyNumberFormat="1" applyFont="1" applyFill="1" applyAlignment="1">
      <alignment horizontal="center"/>
    </xf>
    <xf numFmtId="49" fontId="3" fillId="0" borderId="0" xfId="0" applyNumberFormat="1" applyFont="1" applyFill="1"/>
    <xf numFmtId="49" fontId="3" fillId="0" borderId="0" xfId="0" applyNumberFormat="1" applyFont="1" applyFill="1" applyAlignment="1"/>
    <xf numFmtId="49" fontId="3" fillId="0" borderId="0" xfId="0" applyNumberFormat="1" applyFont="1" applyFill="1" applyAlignment="1">
      <alignment horizontal="center"/>
    </xf>
    <xf numFmtId="165" fontId="3" fillId="0" borderId="0" xfId="0" applyNumberFormat="1" applyFont="1" applyFill="1"/>
    <xf numFmtId="166" fontId="3" fillId="0" borderId="0" xfId="0" applyNumberFormat="1" applyFont="1" applyFill="1"/>
    <xf numFmtId="3" fontId="3" fillId="0" borderId="0" xfId="0" applyNumberFormat="1" applyFont="1" applyAlignment="1">
      <alignment horizontal="center"/>
    </xf>
    <xf numFmtId="3" fontId="3" fillId="0" borderId="1" xfId="0" applyNumberFormat="1" applyFont="1" applyBorder="1" applyAlignment="1">
      <alignment horizontal="center"/>
    </xf>
    <xf numFmtId="4" fontId="3" fillId="0" borderId="0" xfId="0" applyNumberFormat="1" applyFont="1" applyAlignment="1"/>
    <xf numFmtId="3" fontId="3" fillId="0" borderId="0" xfId="0" applyNumberFormat="1" applyFont="1" applyBorder="1" applyAlignment="1">
      <alignment horizontal="center"/>
    </xf>
    <xf numFmtId="166" fontId="3" fillId="0" borderId="0" xfId="0" applyNumberFormat="1" applyFont="1" applyAlignment="1" applyProtection="1">
      <alignment horizontal="center"/>
      <protection locked="0"/>
    </xf>
    <xf numFmtId="166" fontId="3" fillId="0" borderId="0" xfId="0" applyNumberFormat="1" applyFont="1" applyFill="1" applyAlignment="1"/>
    <xf numFmtId="0" fontId="3" fillId="0" borderId="1" xfId="0" applyNumberFormat="1" applyFont="1" applyBorder="1" applyAlignment="1"/>
    <xf numFmtId="170" fontId="3" fillId="2" borderId="0" xfId="0" applyNumberFormat="1" applyFont="1" applyFill="1" applyAlignment="1"/>
    <xf numFmtId="42" fontId="3" fillId="2" borderId="0" xfId="0" applyNumberFormat="1" applyFont="1" applyFill="1" applyAlignment="1"/>
    <xf numFmtId="3" fontId="3" fillId="0" borderId="0" xfId="0" applyNumberFormat="1" applyFont="1" applyFill="1" applyAlignment="1" applyProtection="1">
      <protection locked="0"/>
    </xf>
    <xf numFmtId="9" fontId="3" fillId="0" borderId="0" xfId="0" applyNumberFormat="1" applyFont="1" applyAlignment="1"/>
    <xf numFmtId="169" fontId="3" fillId="0" borderId="0" xfId="0" applyNumberFormat="1" applyFont="1" applyAlignment="1"/>
    <xf numFmtId="3" fontId="3" fillId="0" borderId="0" xfId="0" quotePrefix="1" applyNumberFormat="1" applyFont="1" applyAlignment="1"/>
    <xf numFmtId="169" fontId="3" fillId="2" borderId="0" xfId="0" applyNumberFormat="1" applyFont="1" applyFill="1" applyAlignment="1"/>
    <xf numFmtId="169" fontId="3" fillId="0" borderId="1" xfId="0" applyNumberFormat="1" applyFont="1" applyBorder="1" applyAlignment="1"/>
    <xf numFmtId="0" fontId="3" fillId="0" borderId="0" xfId="0" applyNumberFormat="1" applyFont="1" applyBorder="1" applyAlignment="1" applyProtection="1">
      <alignment horizontal="center"/>
      <protection locked="0"/>
    </xf>
    <xf numFmtId="0" fontId="5" fillId="0" borderId="0" xfId="0" applyNumberFormat="1" applyFont="1" applyProtection="1">
      <protection locked="0"/>
    </xf>
    <xf numFmtId="173" fontId="5" fillId="0" borderId="0" xfId="0" applyFont="1" applyAlignment="1"/>
    <xf numFmtId="173" fontId="3" fillId="0" borderId="0" xfId="0" applyFont="1" applyFill="1" applyAlignment="1" applyProtection="1"/>
    <xf numFmtId="38" fontId="3" fillId="2" borderId="0" xfId="0" applyNumberFormat="1" applyFont="1" applyFill="1" applyBorder="1" applyProtection="1">
      <protection locked="0"/>
    </xf>
    <xf numFmtId="38" fontId="3" fillId="0" borderId="0" xfId="0" applyNumberFormat="1" applyFont="1" applyAlignment="1" applyProtection="1"/>
    <xf numFmtId="0" fontId="3" fillId="0" borderId="1" xfId="0" applyNumberFormat="1" applyFont="1" applyBorder="1"/>
    <xf numFmtId="38" fontId="3" fillId="2" borderId="1" xfId="0" applyNumberFormat="1" applyFont="1" applyFill="1" applyBorder="1" applyProtection="1">
      <protection locked="0"/>
    </xf>
    <xf numFmtId="38" fontId="3" fillId="0" borderId="0" xfId="0" applyNumberFormat="1" applyFont="1" applyAlignment="1"/>
    <xf numFmtId="38" fontId="3" fillId="0" borderId="0" xfId="0" applyNumberFormat="1" applyFont="1" applyFill="1" applyBorder="1" applyProtection="1"/>
    <xf numFmtId="170" fontId="3" fillId="0" borderId="0" xfId="0" applyNumberFormat="1" applyFont="1" applyFill="1" applyBorder="1" applyProtection="1"/>
    <xf numFmtId="1" fontId="3" fillId="0" borderId="0" xfId="0" applyNumberFormat="1" applyFont="1" applyFill="1" applyProtection="1"/>
    <xf numFmtId="168" fontId="3" fillId="0" borderId="0" xfId="0" applyNumberFormat="1" applyFont="1" applyProtection="1">
      <protection locked="0"/>
    </xf>
    <xf numFmtId="170" fontId="3" fillId="2" borderId="0" xfId="0" applyNumberFormat="1" applyFont="1" applyFill="1" applyBorder="1" applyProtection="1"/>
    <xf numFmtId="1" fontId="3" fillId="0" borderId="0" xfId="0" applyNumberFormat="1" applyFont="1" applyFill="1" applyAlignment="1" applyProtection="1"/>
    <xf numFmtId="170" fontId="3" fillId="2" borderId="0" xfId="0" applyNumberFormat="1" applyFont="1" applyFill="1" applyBorder="1" applyAlignment="1" applyProtection="1">
      <protection locked="0"/>
    </xf>
    <xf numFmtId="3" fontId="3" fillId="0" borderId="0" xfId="0" applyNumberFormat="1" applyFont="1" applyAlignment="1" applyProtection="1"/>
    <xf numFmtId="3" fontId="3" fillId="0" borderId="0" xfId="0" applyNumberFormat="1" applyFont="1" applyFill="1" applyAlignment="1" applyProtection="1">
      <alignment horizontal="right"/>
      <protection locked="0"/>
    </xf>
    <xf numFmtId="173" fontId="3" fillId="0" borderId="0" xfId="0" applyNumberFormat="1" applyFont="1" applyAlignment="1" applyProtection="1">
      <protection locked="0"/>
    </xf>
    <xf numFmtId="170" fontId="3" fillId="0" borderId="0" xfId="0" applyNumberFormat="1" applyFont="1" applyFill="1" applyBorder="1" applyAlignment="1" applyProtection="1"/>
    <xf numFmtId="3" fontId="3" fillId="0" borderId="0" xfId="0" applyNumberFormat="1" applyFont="1" applyFill="1" applyAlignment="1" applyProtection="1"/>
    <xf numFmtId="170" fontId="3" fillId="0" borderId="0" xfId="0" applyNumberFormat="1" applyFont="1" applyProtection="1">
      <protection locked="0"/>
    </xf>
    <xf numFmtId="0" fontId="3" fillId="0" borderId="0" xfId="0" applyNumberFormat="1" applyFont="1" applyFill="1" applyAlignment="1" applyProtection="1">
      <alignment horizontal="center"/>
      <protection locked="0"/>
    </xf>
    <xf numFmtId="172" fontId="3" fillId="0" borderId="0" xfId="0" applyNumberFormat="1" applyFont="1" applyFill="1" applyProtection="1">
      <protection locked="0"/>
    </xf>
    <xf numFmtId="3" fontId="6" fillId="0" borderId="0" xfId="0" applyNumberFormat="1" applyFont="1" applyAlignment="1"/>
    <xf numFmtId="3" fontId="3" fillId="0" borderId="0" xfId="0" applyNumberFormat="1" applyFont="1" applyFill="1" applyBorder="1" applyAlignment="1"/>
    <xf numFmtId="0" fontId="3" fillId="0" borderId="0" xfId="0" applyNumberFormat="1" applyFont="1" applyBorder="1" applyProtection="1">
      <protection locked="0"/>
    </xf>
    <xf numFmtId="0" fontId="3" fillId="0" borderId="0" xfId="0" applyNumberFormat="1" applyFont="1" applyBorder="1" applyAlignment="1" applyProtection="1">
      <protection locked="0"/>
    </xf>
    <xf numFmtId="0" fontId="3" fillId="2" borderId="0" xfId="0" applyNumberFormat="1" applyFont="1" applyFill="1" applyAlignment="1" applyProtection="1">
      <alignment horizontal="right"/>
      <protection locked="0"/>
    </xf>
    <xf numFmtId="173" fontId="3" fillId="2" borderId="0" xfId="0" applyFont="1" applyFill="1" applyAlignment="1"/>
    <xf numFmtId="0" fontId="3" fillId="0" borderId="0" xfId="0" applyNumberFormat="1" applyFont="1" applyAlignment="1" applyProtection="1">
      <alignment horizontal="left" indent="8"/>
      <protection locked="0"/>
    </xf>
    <xf numFmtId="0" fontId="3" fillId="2" borderId="0" xfId="0" applyNumberFormat="1" applyFont="1" applyFill="1" applyProtection="1">
      <protection locked="0"/>
    </xf>
    <xf numFmtId="173" fontId="3" fillId="0" borderId="0" xfId="0" applyFont="1" applyFill="1" applyBorder="1" applyAlignment="1"/>
    <xf numFmtId="49" fontId="3" fillId="0" borderId="0" xfId="0" applyNumberFormat="1" applyFont="1" applyFill="1" applyBorder="1" applyAlignment="1"/>
    <xf numFmtId="0" fontId="3" fillId="0" borderId="0" xfId="0" applyNumberFormat="1" applyFont="1" applyFill="1" applyBorder="1"/>
    <xf numFmtId="173" fontId="3" fillId="0" borderId="0" xfId="0" applyFont="1" applyBorder="1" applyAlignment="1"/>
    <xf numFmtId="0" fontId="3" fillId="0" borderId="0" xfId="0" applyNumberFormat="1" applyFont="1" applyAlignment="1" applyProtection="1">
      <alignment horizontal="center" vertical="top" wrapText="1"/>
      <protection locked="0"/>
    </xf>
    <xf numFmtId="0" fontId="3" fillId="0" borderId="0" xfId="0" applyNumberFormat="1" applyFont="1" applyFill="1" applyAlignment="1" applyProtection="1">
      <alignment vertical="top" wrapText="1"/>
      <protection locked="0"/>
    </xf>
    <xf numFmtId="10" fontId="3" fillId="2" borderId="0" xfId="0" applyNumberFormat="1" applyFont="1" applyFill="1" applyAlignment="1" applyProtection="1">
      <alignment vertical="top" wrapText="1"/>
      <protection locked="0"/>
    </xf>
    <xf numFmtId="173" fontId="3" fillId="0" borderId="0" xfId="0" applyFont="1" applyAlignment="1">
      <alignment horizontal="center" vertical="top" wrapText="1"/>
    </xf>
    <xf numFmtId="173" fontId="3" fillId="0" borderId="0" xfId="0" applyFont="1" applyFill="1" applyAlignment="1">
      <alignment horizontal="center" vertical="top" wrapText="1"/>
    </xf>
    <xf numFmtId="0" fontId="3" fillId="0" borderId="0" xfId="0" applyNumberFormat="1" applyFont="1" applyFill="1" applyAlignment="1" applyProtection="1">
      <alignment horizontal="left" vertical="top" wrapText="1" indent="8"/>
      <protection locked="0"/>
    </xf>
    <xf numFmtId="170" fontId="3" fillId="2" borderId="1" xfId="0" applyNumberFormat="1" applyFont="1" applyFill="1" applyBorder="1" applyAlignment="1" applyProtection="1">
      <protection locked="0"/>
    </xf>
    <xf numFmtId="0" fontId="3" fillId="0" borderId="1" xfId="0" applyNumberFormat="1" applyFont="1" applyFill="1" applyBorder="1" applyAlignment="1" applyProtection="1">
      <protection locked="0"/>
    </xf>
    <xf numFmtId="0" fontId="3" fillId="0" borderId="0" xfId="0" applyNumberFormat="1" applyFont="1" applyFill="1" applyAlignment="1">
      <alignment horizontal="left"/>
    </xf>
    <xf numFmtId="172" fontId="3" fillId="0" borderId="0" xfId="0" applyNumberFormat="1" applyFont="1" applyFill="1" applyAlignment="1"/>
    <xf numFmtId="42" fontId="3" fillId="0" borderId="0" xfId="0" applyNumberFormat="1" applyFont="1" applyFill="1"/>
    <xf numFmtId="173" fontId="8" fillId="0" borderId="0" xfId="0" applyFont="1" applyAlignment="1"/>
    <xf numFmtId="0" fontId="0" fillId="0" borderId="0" xfId="0" applyNumberFormat="1" applyFont="1" applyAlignment="1"/>
    <xf numFmtId="173" fontId="0" fillId="0" borderId="0" xfId="0" applyFont="1" applyAlignment="1"/>
    <xf numFmtId="3" fontId="0" fillId="0" borderId="0" xfId="0" applyNumberFormat="1" applyFont="1" applyAlignment="1"/>
    <xf numFmtId="173" fontId="0" fillId="0" borderId="3" xfId="0" applyBorder="1" applyAlignment="1"/>
    <xf numFmtId="173" fontId="0" fillId="0" borderId="0" xfId="0" applyFont="1" applyBorder="1" applyAlignment="1"/>
    <xf numFmtId="3" fontId="0" fillId="0" borderId="0" xfId="0" applyNumberFormat="1" applyFont="1" applyBorder="1" applyAlignment="1"/>
    <xf numFmtId="0" fontId="0" fillId="0" borderId="0" xfId="0" applyNumberFormat="1" applyFont="1" applyBorder="1" applyAlignment="1"/>
    <xf numFmtId="173" fontId="0" fillId="0" borderId="4" xfId="0" applyFont="1" applyBorder="1" applyAlignment="1"/>
    <xf numFmtId="175" fontId="0" fillId="2" borderId="3" xfId="1" applyNumberFormat="1" applyFont="1" applyFill="1" applyBorder="1" applyAlignment="1"/>
    <xf numFmtId="3" fontId="10" fillId="0" borderId="0" xfId="0" applyNumberFormat="1" applyFont="1" applyBorder="1" applyAlignment="1"/>
    <xf numFmtId="170" fontId="0" fillId="2" borderId="5" xfId="0" applyNumberFormat="1" applyFill="1" applyBorder="1" applyAlignment="1"/>
    <xf numFmtId="173" fontId="10" fillId="0" borderId="0" xfId="0" applyFont="1" applyAlignment="1"/>
    <xf numFmtId="173" fontId="11" fillId="0" borderId="0" xfId="0" applyFont="1" applyAlignment="1"/>
    <xf numFmtId="173" fontId="0" fillId="0" borderId="4" xfId="0" applyBorder="1" applyAlignment="1"/>
    <xf numFmtId="170" fontId="0" fillId="0" borderId="3" xfId="0" applyNumberFormat="1" applyBorder="1" applyAlignment="1"/>
    <xf numFmtId="0" fontId="0" fillId="0" borderId="3" xfId="0" applyNumberFormat="1" applyFont="1" applyBorder="1" applyAlignment="1"/>
    <xf numFmtId="173" fontId="12" fillId="0" borderId="0" xfId="0" applyFont="1" applyBorder="1"/>
    <xf numFmtId="173" fontId="10" fillId="0" borderId="0" xfId="0" applyFont="1" applyBorder="1"/>
    <xf numFmtId="173" fontId="0" fillId="0" borderId="0" xfId="0" applyBorder="1" applyAlignment="1"/>
    <xf numFmtId="173" fontId="10" fillId="0" borderId="0" xfId="0" applyFont="1" applyBorder="1" applyAlignment="1">
      <alignment horizontal="left" wrapText="1"/>
    </xf>
    <xf numFmtId="173" fontId="10" fillId="0" borderId="0" xfId="0" applyFont="1" applyBorder="1" applyAlignment="1"/>
    <xf numFmtId="170" fontId="0" fillId="0" borderId="5" xfId="0" applyNumberFormat="1" applyFont="1" applyBorder="1" applyAlignment="1"/>
    <xf numFmtId="173" fontId="10" fillId="0" borderId="6" xfId="0" applyFont="1" applyBorder="1" applyAlignment="1"/>
    <xf numFmtId="3" fontId="0" fillId="0" borderId="6" xfId="0" applyNumberFormat="1" applyFont="1" applyBorder="1" applyAlignment="1"/>
    <xf numFmtId="0" fontId="0" fillId="0" borderId="6" xfId="0" applyNumberFormat="1" applyFont="1" applyBorder="1" applyAlignment="1"/>
    <xf numFmtId="173" fontId="0" fillId="0" borderId="6" xfId="0" applyFont="1" applyBorder="1" applyAlignment="1"/>
    <xf numFmtId="173" fontId="0" fillId="0" borderId="7" xfId="0" applyFont="1" applyBorder="1" applyAlignment="1"/>
    <xf numFmtId="175" fontId="0" fillId="0" borderId="3" xfId="1" applyNumberFormat="1" applyFont="1" applyFill="1" applyBorder="1" applyAlignment="1"/>
    <xf numFmtId="175" fontId="0" fillId="2" borderId="5" xfId="1" applyNumberFormat="1" applyFont="1" applyFill="1" applyBorder="1" applyAlignment="1"/>
    <xf numFmtId="3" fontId="3" fillId="0" borderId="2" xfId="0" applyNumberFormat="1" applyFont="1" applyFill="1" applyBorder="1" applyAlignment="1"/>
    <xf numFmtId="0" fontId="3" fillId="0" borderId="0" xfId="0" applyNumberFormat="1" applyFont="1" applyAlignment="1"/>
    <xf numFmtId="3" fontId="3" fillId="0" borderId="0" xfId="0" applyNumberFormat="1" applyFont="1" applyFill="1" applyAlignment="1">
      <alignment horizontal="right"/>
    </xf>
    <xf numFmtId="0" fontId="0" fillId="0" borderId="0" xfId="0" applyNumberFormat="1" applyAlignment="1"/>
    <xf numFmtId="0" fontId="14" fillId="0" borderId="0" xfId="0" applyNumberFormat="1" applyFont="1" applyAlignment="1"/>
    <xf numFmtId="0" fontId="14" fillId="0" borderId="0" xfId="0" applyNumberFormat="1" applyFont="1" applyAlignment="1">
      <alignment horizontal="center"/>
    </xf>
    <xf numFmtId="0" fontId="15" fillId="0" borderId="0" xfId="0" applyNumberFormat="1" applyFont="1" applyAlignment="1"/>
    <xf numFmtId="0" fontId="15" fillId="0" borderId="0" xfId="0" applyNumberFormat="1" applyFont="1"/>
    <xf numFmtId="0" fontId="15" fillId="0" borderId="0" xfId="0" applyNumberFormat="1" applyFont="1" applyAlignment="1">
      <alignment horizontal="center"/>
    </xf>
    <xf numFmtId="175" fontId="15" fillId="0" borderId="0" xfId="1" applyNumberFormat="1" applyFont="1"/>
    <xf numFmtId="0" fontId="14" fillId="0" borderId="0" xfId="0" applyNumberFormat="1" applyFont="1"/>
    <xf numFmtId="174" fontId="15" fillId="0" borderId="0" xfId="0" applyNumberFormat="1" applyFont="1" applyAlignment="1">
      <alignment horizontal="center"/>
    </xf>
    <xf numFmtId="175" fontId="15" fillId="0" borderId="0" xfId="0" applyNumberFormat="1" applyFont="1" applyAlignment="1">
      <alignment horizontal="center"/>
    </xf>
    <xf numFmtId="174" fontId="15" fillId="0" borderId="0" xfId="2" applyNumberFormat="1" applyFont="1" applyAlignment="1"/>
    <xf numFmtId="174" fontId="15" fillId="0" borderId="0" xfId="2" applyNumberFormat="1" applyFont="1"/>
    <xf numFmtId="174" fontId="15" fillId="0" borderId="0" xfId="2" applyNumberFormat="1" applyFont="1" applyBorder="1"/>
    <xf numFmtId="174" fontId="15" fillId="0" borderId="6" xfId="2" applyNumberFormat="1" applyFont="1" applyBorder="1"/>
    <xf numFmtId="175" fontId="15" fillId="0" borderId="6" xfId="1" applyNumberFormat="1" applyFont="1" applyBorder="1"/>
    <xf numFmtId="175" fontId="14" fillId="0" borderId="0" xfId="1" applyNumberFormat="1" applyFont="1" applyBorder="1"/>
    <xf numFmtId="176" fontId="15" fillId="0" borderId="0" xfId="2" applyNumberFormat="1" applyFont="1"/>
    <xf numFmtId="175" fontId="15" fillId="0" borderId="0" xfId="1" applyNumberFormat="1" applyFont="1" applyBorder="1"/>
    <xf numFmtId="175" fontId="14" fillId="0" borderId="6" xfId="0" applyNumberFormat="1" applyFont="1" applyBorder="1"/>
    <xf numFmtId="175" fontId="15" fillId="0" borderId="0" xfId="0" applyNumberFormat="1" applyFont="1"/>
    <xf numFmtId="175" fontId="14" fillId="0" borderId="2" xfId="0" applyNumberFormat="1" applyFont="1" applyBorder="1"/>
    <xf numFmtId="177" fontId="0" fillId="0" borderId="0" xfId="0" applyNumberFormat="1" applyAlignment="1"/>
    <xf numFmtId="43" fontId="0" fillId="0" borderId="0" xfId="0" applyNumberFormat="1" applyAlignment="1"/>
    <xf numFmtId="177" fontId="0" fillId="0" borderId="0" xfId="0" applyNumberFormat="1" applyAlignment="1">
      <alignment horizontal="center"/>
    </xf>
    <xf numFmtId="0" fontId="0" fillId="0" borderId="0" xfId="0" applyNumberFormat="1" applyAlignment="1">
      <alignment horizontal="center"/>
    </xf>
    <xf numFmtId="173" fontId="16" fillId="0" borderId="0" xfId="0" applyFont="1" applyAlignment="1"/>
    <xf numFmtId="173" fontId="0" fillId="0" borderId="6" xfId="0" applyBorder="1" applyAlignment="1"/>
    <xf numFmtId="49" fontId="3" fillId="3" borderId="0" xfId="0" applyNumberFormat="1" applyFont="1" applyFill="1"/>
    <xf numFmtId="0" fontId="3" fillId="3" borderId="0" xfId="0" applyNumberFormat="1" applyFont="1" applyFill="1"/>
    <xf numFmtId="42" fontId="3" fillId="0" borderId="0" xfId="0" applyNumberFormat="1" applyFont="1" applyBorder="1" applyAlignment="1" applyProtection="1">
      <alignment horizontal="right"/>
      <protection locked="0"/>
    </xf>
    <xf numFmtId="42" fontId="3" fillId="3" borderId="0" xfId="0" applyNumberFormat="1" applyFont="1" applyFill="1" applyBorder="1" applyAlignment="1" applyProtection="1">
      <alignment horizontal="right"/>
      <protection locked="0"/>
    </xf>
    <xf numFmtId="42" fontId="3" fillId="3" borderId="1" xfId="0" applyNumberFormat="1" applyFont="1" applyFill="1" applyBorder="1" applyAlignment="1" applyProtection="1">
      <alignment horizontal="right"/>
      <protection locked="0"/>
    </xf>
    <xf numFmtId="0" fontId="3" fillId="0" borderId="0" xfId="0" applyNumberFormat="1" applyFont="1" applyFill="1" applyAlignment="1">
      <alignment vertical="top"/>
    </xf>
    <xf numFmtId="0" fontId="3" fillId="3" borderId="0" xfId="0" applyNumberFormat="1" applyFont="1" applyFill="1" applyAlignment="1" applyProtection="1">
      <protection locked="0"/>
    </xf>
    <xf numFmtId="0" fontId="3" fillId="0" borderId="0" xfId="0" applyNumberFormat="1" applyFont="1" applyAlignment="1"/>
    <xf numFmtId="180" fontId="3" fillId="0" borderId="0" xfId="2" applyNumberFormat="1" applyFont="1" applyAlignment="1">
      <alignment horizontal="center"/>
    </xf>
    <xf numFmtId="173" fontId="0" fillId="0" borderId="0" xfId="0" applyAlignment="1">
      <alignment horizontal="center"/>
    </xf>
    <xf numFmtId="173" fontId="0" fillId="0" borderId="15" xfId="0" applyBorder="1" applyAlignment="1">
      <alignment horizontal="center"/>
    </xf>
    <xf numFmtId="173" fontId="0" fillId="0" borderId="16" xfId="0" applyBorder="1" applyAlignment="1">
      <alignment horizontal="center"/>
    </xf>
    <xf numFmtId="173" fontId="16" fillId="0" borderId="8" xfId="0" applyFont="1" applyBorder="1" applyAlignment="1">
      <alignment horizontal="center"/>
    </xf>
    <xf numFmtId="173" fontId="16" fillId="0" borderId="9" xfId="0" applyFont="1" applyBorder="1" applyAlignment="1">
      <alignment horizontal="center"/>
    </xf>
    <xf numFmtId="173" fontId="16" fillId="0" borderId="10" xfId="0" applyFont="1" applyBorder="1" applyAlignment="1"/>
    <xf numFmtId="173" fontId="16" fillId="0" borderId="5" xfId="0" applyFont="1" applyBorder="1" applyAlignment="1">
      <alignment horizontal="center"/>
    </xf>
    <xf numFmtId="173" fontId="16" fillId="0" borderId="6" xfId="0" applyFont="1" applyBorder="1" applyAlignment="1">
      <alignment horizontal="center"/>
    </xf>
    <xf numFmtId="173" fontId="16" fillId="0" borderId="7" xfId="0" applyFont="1" applyBorder="1" applyAlignment="1">
      <alignment horizontal="center"/>
    </xf>
    <xf numFmtId="0" fontId="0" fillId="0" borderId="15" xfId="2" applyNumberFormat="1" applyFont="1" applyBorder="1" applyAlignment="1">
      <alignment horizontal="center"/>
    </xf>
    <xf numFmtId="0" fontId="0" fillId="0" borderId="17" xfId="2" applyNumberFormat="1" applyFont="1" applyBorder="1" applyAlignment="1">
      <alignment horizontal="center"/>
    </xf>
    <xf numFmtId="173" fontId="0" fillId="0" borderId="16" xfId="0" applyBorder="1" applyAlignment="1"/>
    <xf numFmtId="173" fontId="0" fillId="0" borderId="9" xfId="0" applyBorder="1" applyAlignment="1"/>
    <xf numFmtId="170" fontId="0" fillId="0" borderId="9" xfId="0" applyNumberFormat="1" applyBorder="1" applyAlignment="1"/>
    <xf numFmtId="170" fontId="0" fillId="0" borderId="10" xfId="0" applyNumberFormat="1" applyBorder="1" applyAlignment="1"/>
    <xf numFmtId="170" fontId="0" fillId="0" borderId="0" xfId="0" applyNumberFormat="1" applyBorder="1" applyAlignment="1"/>
    <xf numFmtId="170" fontId="0" fillId="0" borderId="4" xfId="0" applyNumberFormat="1" applyBorder="1" applyAlignment="1"/>
    <xf numFmtId="173" fontId="0" fillId="0" borderId="5" xfId="0" applyBorder="1" applyAlignment="1"/>
    <xf numFmtId="173" fontId="0" fillId="0" borderId="7" xfId="0" applyBorder="1" applyAlignment="1"/>
    <xf numFmtId="173" fontId="16" fillId="0" borderId="0" xfId="0" applyFont="1" applyBorder="1" applyAlignment="1">
      <alignment horizontal="center"/>
    </xf>
    <xf numFmtId="173" fontId="0" fillId="0" borderId="15" xfId="0" applyBorder="1" applyAlignment="1"/>
    <xf numFmtId="0" fontId="0" fillId="0" borderId="15" xfId="0" applyNumberFormat="1" applyBorder="1" applyAlignment="1">
      <alignment horizontal="center"/>
    </xf>
    <xf numFmtId="0" fontId="0" fillId="0" borderId="17" xfId="0" applyNumberFormat="1" applyBorder="1" applyAlignment="1">
      <alignment horizontal="center"/>
    </xf>
    <xf numFmtId="173" fontId="0" fillId="0" borderId="17" xfId="0" applyBorder="1" applyAlignment="1"/>
    <xf numFmtId="37" fontId="0" fillId="0" borderId="15" xfId="0" applyNumberFormat="1" applyBorder="1" applyAlignment="1"/>
    <xf numFmtId="37" fontId="0" fillId="0" borderId="17" xfId="0" applyNumberFormat="1" applyBorder="1" applyAlignment="1"/>
    <xf numFmtId="37" fontId="0" fillId="0" borderId="16" xfId="0" applyNumberFormat="1" applyBorder="1" applyAlignment="1"/>
    <xf numFmtId="0" fontId="3" fillId="0" borderId="0" xfId="0" applyNumberFormat="1" applyFont="1" applyFill="1" applyAlignment="1">
      <alignment horizontal="right"/>
    </xf>
    <xf numFmtId="0" fontId="3" fillId="0" borderId="0" xfId="0" applyNumberFormat="1" applyFont="1" applyAlignment="1"/>
    <xf numFmtId="3" fontId="3" fillId="0" borderId="0" xfId="0" applyNumberFormat="1" applyFont="1" applyFill="1" applyAlignment="1">
      <alignment horizontal="right"/>
    </xf>
    <xf numFmtId="0" fontId="3" fillId="0" borderId="0" xfId="0" applyNumberFormat="1" applyFont="1" applyAlignment="1" applyProtection="1">
      <protection locked="0"/>
    </xf>
    <xf numFmtId="0" fontId="0" fillId="0" borderId="8" xfId="0" applyNumberFormat="1" applyBorder="1" applyAlignment="1">
      <alignment horizontal="center"/>
    </xf>
    <xf numFmtId="181" fontId="0" fillId="0" borderId="8" xfId="0" applyNumberFormat="1" applyBorder="1" applyAlignment="1">
      <alignment horizontal="left"/>
    </xf>
    <xf numFmtId="181" fontId="0" fillId="0" borderId="3" xfId="0" applyNumberFormat="1" applyBorder="1" applyAlignment="1">
      <alignment horizontal="left"/>
    </xf>
    <xf numFmtId="174" fontId="0" fillId="0" borderId="1" xfId="2" applyNumberFormat="1" applyFont="1" applyBorder="1" applyAlignment="1"/>
    <xf numFmtId="173" fontId="16" fillId="0" borderId="8" xfId="0" applyFont="1" applyBorder="1" applyAlignment="1"/>
    <xf numFmtId="173" fontId="16" fillId="0" borderId="10" xfId="0" applyFont="1" applyBorder="1" applyAlignment="1">
      <alignment horizontal="center"/>
    </xf>
    <xf numFmtId="173" fontId="16" fillId="0" borderId="5" xfId="0" applyFont="1" applyBorder="1" applyAlignment="1"/>
    <xf numFmtId="174" fontId="0" fillId="0" borderId="9" xfId="2" applyNumberFormat="1" applyFont="1" applyBorder="1" applyAlignment="1"/>
    <xf numFmtId="174" fontId="0" fillId="0" borderId="10" xfId="2" applyNumberFormat="1" applyFont="1" applyBorder="1" applyAlignment="1"/>
    <xf numFmtId="174" fontId="0" fillId="0" borderId="0" xfId="2" applyNumberFormat="1" applyFont="1" applyBorder="1" applyAlignment="1"/>
    <xf numFmtId="174" fontId="0" fillId="0" borderId="4" xfId="2" applyNumberFormat="1" applyFont="1" applyBorder="1" applyAlignment="1"/>
    <xf numFmtId="174" fontId="0" fillId="0" borderId="18" xfId="2" applyNumberFormat="1" applyFont="1" applyBorder="1" applyAlignment="1"/>
    <xf numFmtId="173" fontId="16" fillId="0" borderId="3" xfId="0" applyFont="1" applyBorder="1" applyAlignment="1"/>
    <xf numFmtId="174" fontId="16" fillId="0" borderId="0" xfId="2" applyNumberFormat="1" applyFont="1" applyBorder="1" applyAlignment="1"/>
    <xf numFmtId="173" fontId="0" fillId="0" borderId="17" xfId="0" applyBorder="1" applyAlignment="1">
      <alignment horizontal="center"/>
    </xf>
    <xf numFmtId="173" fontId="16" fillId="0" borderId="0" xfId="0" applyFont="1" applyBorder="1" applyAlignment="1"/>
    <xf numFmtId="173" fontId="0" fillId="0" borderId="8" xfId="0" applyBorder="1" applyAlignment="1"/>
    <xf numFmtId="173" fontId="16" fillId="0" borderId="4" xfId="0" applyFont="1" applyBorder="1" applyAlignment="1"/>
    <xf numFmtId="173" fontId="0" fillId="0" borderId="18" xfId="0" applyBorder="1" applyAlignment="1"/>
    <xf numFmtId="174" fontId="16" fillId="0" borderId="4" xfId="2" applyNumberFormat="1" applyFont="1" applyBorder="1" applyAlignment="1"/>
    <xf numFmtId="173" fontId="16" fillId="0" borderId="15" xfId="0" applyFont="1" applyBorder="1" applyAlignment="1"/>
    <xf numFmtId="173" fontId="16" fillId="0" borderId="15" xfId="0" applyFont="1" applyBorder="1" applyAlignment="1">
      <alignment horizontal="center"/>
    </xf>
    <xf numFmtId="173" fontId="16" fillId="0" borderId="16" xfId="0" applyFont="1" applyBorder="1" applyAlignment="1"/>
    <xf numFmtId="182" fontId="16" fillId="0" borderId="16" xfId="0" applyNumberFormat="1" applyFont="1" applyBorder="1" applyAlignment="1">
      <alignment horizontal="center"/>
    </xf>
    <xf numFmtId="173" fontId="16" fillId="0" borderId="16" xfId="0" applyFont="1" applyBorder="1" applyAlignment="1">
      <alignment horizontal="center"/>
    </xf>
    <xf numFmtId="173" fontId="0" fillId="0" borderId="10" xfId="0" applyBorder="1" applyAlignment="1"/>
    <xf numFmtId="170" fontId="0" fillId="0" borderId="18" xfId="0" applyNumberFormat="1" applyBorder="1" applyAlignment="1"/>
    <xf numFmtId="173" fontId="16" fillId="0" borderId="17" xfId="0" applyFont="1" applyBorder="1" applyAlignment="1"/>
    <xf numFmtId="170" fontId="0" fillId="0" borderId="17" xfId="0" applyNumberFormat="1" applyBorder="1" applyAlignment="1"/>
    <xf numFmtId="170" fontId="0" fillId="0" borderId="16" xfId="0" applyNumberFormat="1" applyBorder="1" applyAlignment="1"/>
    <xf numFmtId="10" fontId="0" fillId="0" borderId="17" xfId="3" applyNumberFormat="1" applyFont="1" applyBorder="1" applyAlignment="1"/>
    <xf numFmtId="10" fontId="0" fillId="0" borderId="16" xfId="3" applyNumberFormat="1" applyFont="1" applyBorder="1" applyAlignment="1"/>
    <xf numFmtId="170" fontId="0" fillId="0" borderId="21" xfId="0" applyNumberFormat="1" applyBorder="1" applyAlignment="1"/>
    <xf numFmtId="10" fontId="0" fillId="0" borderId="21" xfId="3" applyNumberFormat="1" applyFont="1" applyBorder="1" applyAlignment="1"/>
    <xf numFmtId="173" fontId="16" fillId="0" borderId="9" xfId="0" applyFont="1" applyBorder="1" applyAlignment="1">
      <alignment horizontal="center"/>
    </xf>
    <xf numFmtId="173" fontId="16" fillId="0" borderId="10" xfId="0" applyFont="1" applyBorder="1" applyAlignment="1">
      <alignment horizontal="center"/>
    </xf>
    <xf numFmtId="170" fontId="16" fillId="0" borderId="0" xfId="0" applyNumberFormat="1" applyFont="1" applyBorder="1" applyAlignment="1"/>
    <xf numFmtId="170" fontId="16" fillId="0" borderId="4" xfId="0" applyNumberFormat="1" applyFont="1" applyBorder="1" applyAlignment="1"/>
    <xf numFmtId="0" fontId="0" fillId="0" borderId="3" xfId="0" applyNumberFormat="1" applyBorder="1" applyAlignment="1">
      <alignment horizontal="center"/>
    </xf>
    <xf numFmtId="173" fontId="0" fillId="0" borderId="8" xfId="0" applyBorder="1" applyAlignment="1">
      <alignment horizontal="center"/>
    </xf>
    <xf numFmtId="173" fontId="0" fillId="0" borderId="3" xfId="0" applyBorder="1" applyAlignment="1">
      <alignment horizontal="center"/>
    </xf>
    <xf numFmtId="173" fontId="16" fillId="0" borderId="9" xfId="0" applyFont="1" applyBorder="1" applyAlignment="1"/>
    <xf numFmtId="173" fontId="0" fillId="0" borderId="1" xfId="0" applyBorder="1" applyAlignment="1"/>
    <xf numFmtId="0" fontId="3" fillId="0" borderId="6" xfId="0" applyNumberFormat="1" applyFont="1" applyBorder="1"/>
    <xf numFmtId="183" fontId="3" fillId="0" borderId="0" xfId="0" applyNumberFormat="1" applyFont="1"/>
    <xf numFmtId="173" fontId="0" fillId="0" borderId="5" xfId="0" applyBorder="1" applyAlignment="1">
      <alignment horizontal="center"/>
    </xf>
    <xf numFmtId="3" fontId="3" fillId="3" borderId="0" xfId="0" applyNumberFormat="1" applyFont="1" applyFill="1" applyAlignment="1"/>
    <xf numFmtId="0" fontId="3" fillId="0" borderId="0" xfId="0" applyNumberFormat="1" applyFont="1" applyAlignment="1"/>
    <xf numFmtId="3" fontId="3" fillId="0" borderId="0" xfId="0" applyNumberFormat="1" applyFont="1" applyFill="1" applyAlignment="1">
      <alignment horizontal="right"/>
    </xf>
    <xf numFmtId="0" fontId="3" fillId="0" borderId="0" xfId="0" applyNumberFormat="1" applyFont="1" applyFill="1" applyAlignment="1"/>
    <xf numFmtId="173" fontId="16" fillId="0" borderId="9" xfId="0" applyFont="1" applyBorder="1" applyAlignment="1">
      <alignment horizontal="center"/>
    </xf>
    <xf numFmtId="0" fontId="0" fillId="0" borderId="8" xfId="0" applyNumberFormat="1" applyBorder="1" applyAlignment="1">
      <alignment horizontal="center"/>
    </xf>
    <xf numFmtId="3" fontId="0" fillId="0" borderId="15" xfId="0" applyNumberFormat="1" applyBorder="1" applyAlignment="1">
      <alignment horizontal="center"/>
    </xf>
    <xf numFmtId="3" fontId="0" fillId="0" borderId="17" xfId="0" applyNumberFormat="1" applyBorder="1" applyAlignment="1">
      <alignment horizontal="center"/>
    </xf>
    <xf numFmtId="3" fontId="0" fillId="0" borderId="9" xfId="0" applyNumberFormat="1" applyBorder="1" applyAlignment="1"/>
    <xf numFmtId="3" fontId="0" fillId="0" borderId="10" xfId="0" applyNumberFormat="1" applyBorder="1" applyAlignment="1"/>
    <xf numFmtId="3" fontId="0" fillId="0" borderId="0" xfId="0" applyNumberFormat="1" applyBorder="1" applyAlignment="1"/>
    <xf numFmtId="3" fontId="0" fillId="0" borderId="4" xfId="0" applyNumberFormat="1" applyBorder="1" applyAlignment="1"/>
    <xf numFmtId="173" fontId="16" fillId="0" borderId="0" xfId="0" applyFont="1" applyFill="1" applyBorder="1" applyAlignment="1">
      <alignment horizontal="center"/>
    </xf>
    <xf numFmtId="3" fontId="0" fillId="0" borderId="0" xfId="0" applyNumberFormat="1" applyFill="1" applyBorder="1" applyAlignment="1"/>
    <xf numFmtId="173" fontId="0" fillId="0" borderId="9" xfId="0" applyBorder="1" applyAlignment="1">
      <alignment horizontal="center"/>
    </xf>
    <xf numFmtId="173" fontId="16" fillId="0" borderId="6" xfId="0" applyFont="1" applyFill="1" applyBorder="1" applyAlignment="1">
      <alignment horizontal="center"/>
    </xf>
    <xf numFmtId="173" fontId="16" fillId="0" borderId="7" xfId="0" applyFont="1" applyFill="1" applyBorder="1" applyAlignment="1">
      <alignment horizontal="center"/>
    </xf>
    <xf numFmtId="3" fontId="0" fillId="0" borderId="9" xfId="0" applyNumberFormat="1" applyFill="1" applyBorder="1" applyAlignment="1"/>
    <xf numFmtId="3" fontId="0" fillId="0" borderId="6" xfId="0" applyNumberFormat="1" applyBorder="1" applyAlignment="1"/>
    <xf numFmtId="3" fontId="0" fillId="0" borderId="6" xfId="0" applyNumberFormat="1" applyFill="1" applyBorder="1" applyAlignment="1"/>
    <xf numFmtId="3" fontId="0" fillId="0" borderId="7" xfId="0" applyNumberFormat="1" applyBorder="1" applyAlignment="1"/>
    <xf numFmtId="3" fontId="16" fillId="0" borderId="2" xfId="0" applyNumberFormat="1" applyFont="1" applyBorder="1" applyAlignment="1"/>
    <xf numFmtId="3" fontId="16" fillId="0" borderId="22" xfId="0" applyNumberFormat="1" applyFont="1" applyBorder="1" applyAlignment="1"/>
    <xf numFmtId="173" fontId="17" fillId="0" borderId="0" xfId="0" applyFont="1" applyAlignment="1">
      <alignment horizontal="center"/>
    </xf>
    <xf numFmtId="0" fontId="3" fillId="0" borderId="0" xfId="0" applyNumberFormat="1" applyFont="1" applyFill="1" applyBorder="1" applyAlignment="1" applyProtection="1">
      <protection locked="0"/>
    </xf>
    <xf numFmtId="0" fontId="3" fillId="0" borderId="0" xfId="0" applyNumberFormat="1" applyFont="1" applyFill="1" applyBorder="1" applyProtection="1">
      <protection locked="0"/>
    </xf>
    <xf numFmtId="0" fontId="3" fillId="0" borderId="0" xfId="0" applyNumberFormat="1" applyFont="1" applyAlignment="1"/>
    <xf numFmtId="3" fontId="3" fillId="0" borderId="0" xfId="0" applyNumberFormat="1" applyFont="1" applyFill="1" applyAlignment="1">
      <alignment horizontal="right"/>
    </xf>
    <xf numFmtId="0" fontId="3" fillId="0" borderId="0" xfId="0" applyNumberFormat="1" applyFont="1" applyFill="1" applyAlignment="1">
      <alignment horizontal="right"/>
    </xf>
    <xf numFmtId="0" fontId="3" fillId="0" borderId="0" xfId="0" applyNumberFormat="1" applyFont="1" applyAlignment="1" applyProtection="1">
      <protection locked="0"/>
    </xf>
    <xf numFmtId="173" fontId="16" fillId="0" borderId="4" xfId="0" applyFont="1" applyBorder="1" applyAlignment="1">
      <alignment horizontal="center"/>
    </xf>
    <xf numFmtId="0" fontId="3" fillId="0" borderId="0" xfId="0" applyNumberFormat="1" applyFont="1" applyAlignment="1"/>
    <xf numFmtId="173" fontId="16" fillId="0" borderId="9" xfId="0" applyFont="1" applyBorder="1" applyAlignment="1">
      <alignment horizontal="center"/>
    </xf>
    <xf numFmtId="170" fontId="0" fillId="0" borderId="23" xfId="0" applyNumberFormat="1" applyBorder="1" applyAlignment="1"/>
    <xf numFmtId="171" fontId="0" fillId="0" borderId="8" xfId="0" applyNumberFormat="1" applyBorder="1" applyAlignment="1">
      <alignment horizontal="left"/>
    </xf>
    <xf numFmtId="171" fontId="0" fillId="0" borderId="3" xfId="0" applyNumberFormat="1" applyBorder="1" applyAlignment="1">
      <alignment horizontal="left"/>
    </xf>
    <xf numFmtId="171" fontId="0" fillId="0" borderId="8" xfId="0" applyNumberFormat="1" applyBorder="1" applyAlignment="1">
      <alignment horizontal="right"/>
    </xf>
    <xf numFmtId="171" fontId="0" fillId="0" borderId="3" xfId="0" applyNumberFormat="1" applyBorder="1" applyAlignment="1">
      <alignment horizontal="right"/>
    </xf>
    <xf numFmtId="37" fontId="0" fillId="0" borderId="0" xfId="0" applyNumberFormat="1" applyAlignment="1"/>
    <xf numFmtId="3" fontId="0" fillId="0" borderId="0" xfId="0" applyNumberFormat="1" applyAlignment="1"/>
    <xf numFmtId="3" fontId="0" fillId="0" borderId="2" xfId="0" applyNumberFormat="1" applyBorder="1" applyAlignment="1"/>
    <xf numFmtId="0" fontId="3" fillId="0" borderId="0" xfId="0" applyNumberFormat="1" applyFont="1" applyFill="1" applyAlignment="1"/>
    <xf numFmtId="170" fontId="0" fillId="0" borderId="0" xfId="0" applyNumberFormat="1" applyAlignment="1"/>
    <xf numFmtId="0" fontId="0" fillId="0" borderId="16" xfId="0" applyNumberFormat="1" applyBorder="1" applyAlignment="1">
      <alignment horizontal="center"/>
    </xf>
    <xf numFmtId="171" fontId="0" fillId="0" borderId="3" xfId="0" applyNumberFormat="1" applyBorder="1" applyAlignment="1"/>
    <xf numFmtId="171" fontId="0" fillId="0" borderId="5" xfId="0" applyNumberFormat="1" applyBorder="1" applyAlignment="1"/>
    <xf numFmtId="170" fontId="0" fillId="0" borderId="7" xfId="0" applyNumberFormat="1" applyBorder="1" applyAlignment="1"/>
    <xf numFmtId="171" fontId="0" fillId="0" borderId="17" xfId="0" applyNumberFormat="1" applyBorder="1" applyAlignment="1">
      <alignment horizontal="right"/>
    </xf>
    <xf numFmtId="1" fontId="16" fillId="0" borderId="7" xfId="0" applyNumberFormat="1" applyFont="1" applyBorder="1" applyAlignment="1">
      <alignment horizontal="center"/>
    </xf>
    <xf numFmtId="169" fontId="3" fillId="0" borderId="0" xfId="0" applyNumberFormat="1" applyFont="1"/>
    <xf numFmtId="0" fontId="18" fillId="4" borderId="0" xfId="0" applyNumberFormat="1" applyFont="1" applyFill="1" applyBorder="1" applyAlignment="1">
      <alignment horizontal="left"/>
    </xf>
    <xf numFmtId="0" fontId="0" fillId="4" borderId="0" xfId="0" applyNumberFormat="1" applyFill="1" applyBorder="1" applyAlignment="1">
      <alignment horizontal="centerContinuous"/>
    </xf>
    <xf numFmtId="0" fontId="0" fillId="0" borderId="0" xfId="0" applyNumberFormat="1"/>
    <xf numFmtId="0" fontId="19" fillId="4" borderId="0" xfId="0" applyNumberFormat="1" applyFont="1" applyFill="1" applyBorder="1" applyAlignment="1"/>
    <xf numFmtId="0" fontId="0" fillId="4" borderId="0" xfId="0" applyNumberFormat="1" applyFill="1"/>
    <xf numFmtId="0" fontId="0" fillId="5" borderId="0" xfId="0" applyNumberFormat="1" applyFill="1"/>
    <xf numFmtId="0" fontId="0" fillId="5" borderId="0" xfId="0" applyNumberFormat="1" applyFill="1" applyBorder="1" applyAlignment="1">
      <alignment horizontal="centerContinuous"/>
    </xf>
    <xf numFmtId="0" fontId="20" fillId="4" borderId="0" xfId="0" applyNumberFormat="1" applyFont="1" applyFill="1" applyBorder="1" applyAlignment="1">
      <alignment horizontal="center"/>
    </xf>
    <xf numFmtId="0" fontId="20" fillId="5" borderId="0" xfId="0" applyNumberFormat="1" applyFont="1" applyFill="1" applyBorder="1" applyAlignment="1">
      <alignment horizontal="center"/>
    </xf>
    <xf numFmtId="0" fontId="20" fillId="4" borderId="0" xfId="0" applyNumberFormat="1" applyFont="1" applyFill="1" applyBorder="1" applyAlignment="1">
      <alignment horizontal="centerContinuous"/>
    </xf>
    <xf numFmtId="0" fontId="20" fillId="5" borderId="1" xfId="0" applyNumberFormat="1" applyFont="1" applyFill="1" applyBorder="1" applyAlignment="1">
      <alignment horizontal="centerContinuous"/>
    </xf>
    <xf numFmtId="0" fontId="0" fillId="5" borderId="1" xfId="0" applyNumberFormat="1" applyFill="1" applyBorder="1" applyAlignment="1">
      <alignment horizontal="centerContinuous"/>
    </xf>
    <xf numFmtId="0" fontId="21" fillId="6" borderId="0" xfId="0" applyNumberFormat="1" applyFont="1" applyFill="1" applyBorder="1" applyAlignment="1">
      <alignment horizontal="centerContinuous"/>
    </xf>
    <xf numFmtId="0" fontId="0" fillId="6" borderId="0" xfId="0" applyNumberFormat="1" applyFill="1" applyBorder="1" applyAlignment="1">
      <alignment horizontal="centerContinuous"/>
    </xf>
    <xf numFmtId="0" fontId="0" fillId="4" borderId="0" xfId="0" applyNumberFormat="1" applyFill="1" applyBorder="1" applyAlignment="1">
      <alignment horizontal="center"/>
    </xf>
    <xf numFmtId="0" fontId="20" fillId="5" borderId="0" xfId="0" applyNumberFormat="1" applyFont="1" applyFill="1" applyAlignment="1">
      <alignment horizontal="center"/>
    </xf>
    <xf numFmtId="178" fontId="20" fillId="5" borderId="0" xfId="0" applyNumberFormat="1" applyFont="1" applyFill="1" applyAlignment="1">
      <alignment horizontal="center"/>
    </xf>
    <xf numFmtId="0" fontId="20" fillId="4" borderId="0" xfId="0" quotePrefix="1" applyNumberFormat="1" applyFont="1" applyFill="1" applyBorder="1" applyAlignment="1">
      <alignment horizontal="center"/>
    </xf>
    <xf numFmtId="0" fontId="0" fillId="4" borderId="0" xfId="0" applyNumberFormat="1" applyFill="1" applyAlignment="1">
      <alignment horizontal="center"/>
    </xf>
    <xf numFmtId="9" fontId="20" fillId="4" borderId="0" xfId="0" applyNumberFormat="1" applyFont="1" applyFill="1" applyBorder="1" applyAlignment="1">
      <alignment horizontal="centerContinuous"/>
    </xf>
    <xf numFmtId="179" fontId="22" fillId="5" borderId="0" xfId="3" applyNumberFormat="1" applyFont="1" applyFill="1" applyAlignment="1">
      <alignment horizontal="center"/>
    </xf>
    <xf numFmtId="179" fontId="21" fillId="5" borderId="0" xfId="3" applyNumberFormat="1" applyFont="1" applyFill="1" applyAlignment="1">
      <alignment horizontal="center"/>
    </xf>
    <xf numFmtId="164" fontId="21" fillId="0" borderId="0" xfId="3" applyNumberFormat="1" applyFont="1"/>
    <xf numFmtId="179" fontId="23" fillId="5" borderId="0" xfId="3" applyNumberFormat="1" applyFont="1" applyFill="1"/>
    <xf numFmtId="179" fontId="24" fillId="5" borderId="0" xfId="3" applyNumberFormat="1" applyFont="1" applyFill="1" applyAlignment="1">
      <alignment horizontal="center"/>
    </xf>
    <xf numFmtId="179" fontId="21" fillId="5" borderId="0" xfId="3" applyNumberFormat="1" applyFont="1" applyFill="1"/>
    <xf numFmtId="0" fontId="25" fillId="0" borderId="0" xfId="0" applyNumberFormat="1" applyFont="1"/>
    <xf numFmtId="10" fontId="0" fillId="0" borderId="0" xfId="3" applyNumberFormat="1" applyFont="1"/>
    <xf numFmtId="174" fontId="0" fillId="0" borderId="0" xfId="2" applyNumberFormat="1" applyFont="1"/>
    <xf numFmtId="37" fontId="0" fillId="0" borderId="0" xfId="0" applyNumberFormat="1"/>
    <xf numFmtId="37" fontId="21" fillId="0" borderId="0" xfId="0" applyNumberFormat="1" applyFont="1"/>
    <xf numFmtId="37" fontId="0" fillId="0" borderId="0" xfId="0" quotePrefix="1" applyNumberFormat="1"/>
    <xf numFmtId="37" fontId="0" fillId="0" borderId="0" xfId="0" applyNumberFormat="1" applyBorder="1"/>
    <xf numFmtId="37" fontId="0" fillId="0" borderId="6" xfId="0" applyNumberFormat="1" applyBorder="1"/>
    <xf numFmtId="37" fontId="0" fillId="0" borderId="13" xfId="0" applyNumberFormat="1" applyBorder="1"/>
    <xf numFmtId="10" fontId="20" fillId="0" borderId="24" xfId="0" applyNumberFormat="1" applyFont="1" applyBorder="1"/>
    <xf numFmtId="10" fontId="20" fillId="0" borderId="0" xfId="0" applyNumberFormat="1" applyFont="1" applyBorder="1"/>
    <xf numFmtId="37" fontId="0" fillId="0" borderId="25" xfId="0" applyNumberFormat="1" applyBorder="1"/>
    <xf numFmtId="179" fontId="20" fillId="0" borderId="0" xfId="0" applyNumberFormat="1" applyFont="1"/>
    <xf numFmtId="164" fontId="20" fillId="0" borderId="0" xfId="3" applyNumberFormat="1" applyFont="1"/>
    <xf numFmtId="179" fontId="0" fillId="0" borderId="0" xfId="0" applyNumberFormat="1"/>
    <xf numFmtId="37" fontId="0" fillId="0" borderId="24" xfId="0" applyNumberFormat="1" applyBorder="1"/>
    <xf numFmtId="0" fontId="21" fillId="0" borderId="0" xfId="0" applyNumberFormat="1" applyFont="1"/>
    <xf numFmtId="179" fontId="21" fillId="0" borderId="24" xfId="0" applyNumberFormat="1" applyFont="1" applyBorder="1"/>
    <xf numFmtId="179" fontId="21" fillId="0" borderId="0" xfId="0" applyNumberFormat="1" applyFont="1" applyBorder="1"/>
    <xf numFmtId="179" fontId="23" fillId="5" borderId="0" xfId="3" applyNumberFormat="1" applyFont="1" applyFill="1" applyAlignment="1">
      <alignment horizontal="right"/>
    </xf>
    <xf numFmtId="10" fontId="0" fillId="0" borderId="0" xfId="0" applyNumberFormat="1" applyBorder="1"/>
    <xf numFmtId="179" fontId="20" fillId="0" borderId="0" xfId="3" applyNumberFormat="1" applyFont="1"/>
    <xf numFmtId="0" fontId="20" fillId="6" borderId="0" xfId="0" applyNumberFormat="1" applyFont="1" applyFill="1"/>
    <xf numFmtId="0" fontId="20" fillId="0" borderId="0" xfId="0" applyNumberFormat="1" applyFont="1" applyFill="1"/>
    <xf numFmtId="0" fontId="0" fillId="0" borderId="0" xfId="0" applyNumberFormat="1" applyBorder="1"/>
    <xf numFmtId="0" fontId="0" fillId="0" borderId="0" xfId="0" applyNumberFormat="1" applyBorder="1" applyAlignment="1">
      <alignment horizontal="right"/>
    </xf>
    <xf numFmtId="0" fontId="0" fillId="0" borderId="24" xfId="0" applyNumberFormat="1" applyBorder="1" applyAlignment="1">
      <alignment horizontal="right"/>
    </xf>
    <xf numFmtId="0" fontId="20" fillId="0" borderId="0" xfId="0" applyNumberFormat="1" applyFont="1"/>
    <xf numFmtId="0" fontId="26" fillId="5" borderId="0" xfId="0" applyNumberFormat="1" applyFont="1" applyFill="1"/>
    <xf numFmtId="37" fontId="0" fillId="0" borderId="24" xfId="0" applyNumberFormat="1" applyBorder="1" applyAlignment="1">
      <alignment horizontal="right"/>
    </xf>
    <xf numFmtId="179" fontId="27" fillId="0" borderId="25" xfId="0" applyNumberFormat="1" applyFont="1" applyBorder="1"/>
    <xf numFmtId="179" fontId="0" fillId="0" borderId="12" xfId="0" applyNumberFormat="1" applyBorder="1"/>
    <xf numFmtId="179" fontId="20" fillId="0" borderId="14" xfId="3" applyNumberFormat="1" applyFont="1" applyBorder="1" applyAlignment="1">
      <alignment horizontal="right"/>
    </xf>
    <xf numFmtId="0" fontId="0" fillId="0" borderId="26" xfId="0" applyNumberFormat="1" applyBorder="1" applyAlignment="1">
      <alignment horizontal="centerContinuous"/>
    </xf>
    <xf numFmtId="179" fontId="0" fillId="6" borderId="11" xfId="0" applyNumberFormat="1" applyFill="1" applyBorder="1"/>
    <xf numFmtId="179" fontId="20" fillId="6" borderId="0" xfId="0" applyNumberFormat="1" applyFont="1" applyFill="1"/>
    <xf numFmtId="3" fontId="3" fillId="3" borderId="1" xfId="0" applyNumberFormat="1" applyFont="1" applyFill="1" applyBorder="1" applyAlignment="1"/>
    <xf numFmtId="173" fontId="16" fillId="0" borderId="9" xfId="0" applyFont="1" applyBorder="1" applyAlignment="1">
      <alignment horizontal="center"/>
    </xf>
    <xf numFmtId="173" fontId="16" fillId="0" borderId="0" xfId="4" applyNumberFormat="1" applyFont="1" applyAlignment="1"/>
    <xf numFmtId="0" fontId="2" fillId="0" borderId="0" xfId="4"/>
    <xf numFmtId="0" fontId="2" fillId="0" borderId="0" xfId="4" applyAlignment="1">
      <alignment horizontal="center"/>
    </xf>
    <xf numFmtId="0" fontId="2" fillId="0" borderId="6" xfId="4" applyBorder="1" applyAlignment="1">
      <alignment horizontal="center"/>
    </xf>
    <xf numFmtId="181" fontId="2" fillId="0" borderId="0" xfId="4" quotePrefix="1" applyNumberFormat="1"/>
    <xf numFmtId="5" fontId="2" fillId="0" borderId="0" xfId="4" applyNumberFormat="1"/>
    <xf numFmtId="5" fontId="2" fillId="0" borderId="6" xfId="4" applyNumberFormat="1" applyBorder="1"/>
    <xf numFmtId="5" fontId="2" fillId="0" borderId="2" xfId="4" applyNumberFormat="1" applyBorder="1"/>
    <xf numFmtId="188" fontId="9" fillId="0" borderId="6" xfId="1" applyNumberFormat="1" applyFont="1" applyBorder="1"/>
    <xf numFmtId="1" fontId="3" fillId="0" borderId="0" xfId="0" applyNumberFormat="1" applyFont="1"/>
    <xf numFmtId="173" fontId="9" fillId="0" borderId="0" xfId="231" applyNumberFormat="1" applyFont="1" applyAlignment="1"/>
    <xf numFmtId="0" fontId="79" fillId="0" borderId="0" xfId="231" applyFont="1"/>
    <xf numFmtId="0" fontId="1" fillId="0" borderId="0" xfId="231"/>
    <xf numFmtId="173" fontId="9" fillId="0" borderId="0" xfId="231" applyNumberFormat="1" applyFont="1" applyBorder="1" applyAlignment="1">
      <alignment horizontal="center" wrapText="1"/>
    </xf>
    <xf numFmtId="0" fontId="79" fillId="0" borderId="0" xfId="231" applyFont="1" applyAlignment="1">
      <alignment horizontal="right"/>
    </xf>
    <xf numFmtId="0" fontId="79" fillId="0" borderId="0" xfId="231" applyFont="1" applyAlignment="1">
      <alignment horizontal="center"/>
    </xf>
    <xf numFmtId="175" fontId="9" fillId="0" borderId="0" xfId="232" applyNumberFormat="1" applyFont="1"/>
    <xf numFmtId="175" fontId="9" fillId="0" borderId="6" xfId="1" applyNumberFormat="1" applyFont="1" applyBorder="1"/>
    <xf numFmtId="175" fontId="9" fillId="0" borderId="0" xfId="1" applyNumberFormat="1" applyFont="1"/>
    <xf numFmtId="174" fontId="9" fillId="0" borderId="0" xfId="233" applyNumberFormat="1" applyFont="1"/>
    <xf numFmtId="174" fontId="9" fillId="0" borderId="6" xfId="233" applyNumberFormat="1" applyFont="1" applyBorder="1"/>
    <xf numFmtId="168" fontId="80" fillId="0" borderId="0" xfId="234" applyNumberFormat="1" applyFont="1"/>
    <xf numFmtId="168" fontId="3" fillId="0" borderId="0" xfId="165" applyNumberFormat="1" applyFont="1"/>
    <xf numFmtId="0" fontId="81" fillId="0" borderId="0" xfId="231" applyFont="1"/>
    <xf numFmtId="10" fontId="9" fillId="0" borderId="0" xfId="235" applyNumberFormat="1" applyFont="1"/>
    <xf numFmtId="174" fontId="9" fillId="0" borderId="0" xfId="233" applyNumberFormat="1" applyFont="1" applyBorder="1"/>
    <xf numFmtId="175" fontId="81" fillId="0" borderId="2" xfId="232" applyNumberFormat="1" applyFont="1" applyBorder="1"/>
    <xf numFmtId="173" fontId="9" fillId="0" borderId="0" xfId="0" applyFont="1" applyAlignment="1"/>
    <xf numFmtId="177" fontId="9" fillId="0" borderId="0" xfId="0" applyNumberFormat="1" applyFont="1" applyAlignment="1">
      <alignment horizontal="center"/>
    </xf>
    <xf numFmtId="189" fontId="9" fillId="0" borderId="0" xfId="0" applyNumberFormat="1" applyFont="1" applyAlignment="1"/>
    <xf numFmtId="173" fontId="9" fillId="0" borderId="0" xfId="0" applyFont="1" applyAlignment="1">
      <alignment horizontal="center"/>
    </xf>
    <xf numFmtId="173" fontId="0" fillId="0" borderId="0" xfId="0" applyAlignment="1">
      <alignment horizontal="right"/>
    </xf>
    <xf numFmtId="0" fontId="3" fillId="0" borderId="0" xfId="0" applyNumberFormat="1" applyFont="1" applyFill="1" applyAlignment="1" applyProtection="1">
      <alignment vertical="top" wrapText="1"/>
      <protection locked="0"/>
    </xf>
    <xf numFmtId="1" fontId="0" fillId="0" borderId="0" xfId="0" applyNumberFormat="1" applyAlignment="1"/>
    <xf numFmtId="3" fontId="0" fillId="0" borderId="0" xfId="0" applyNumberFormat="1" applyAlignment="1">
      <alignment horizontal="center"/>
    </xf>
    <xf numFmtId="10" fontId="3" fillId="0" borderId="0" xfId="0" applyNumberFormat="1" applyFont="1" applyFill="1" applyAlignment="1" applyProtection="1">
      <alignment vertical="top" wrapText="1"/>
      <protection locked="0"/>
    </xf>
    <xf numFmtId="3" fontId="3" fillId="0" borderId="0" xfId="0" applyNumberFormat="1" applyFont="1" applyFill="1" applyAlignment="1" applyProtection="1">
      <alignment vertical="top" wrapText="1"/>
      <protection locked="0"/>
    </xf>
    <xf numFmtId="0" fontId="3" fillId="0" borderId="0" xfId="0" applyNumberFormat="1" applyFont="1" applyFill="1" applyAlignment="1" applyProtection="1">
      <alignment vertical="top"/>
      <protection locked="0"/>
    </xf>
    <xf numFmtId="0" fontId="3" fillId="0" borderId="0" xfId="0" applyNumberFormat="1" applyFont="1" applyFill="1" applyAlignment="1"/>
    <xf numFmtId="3" fontId="3" fillId="0" borderId="0" xfId="0" applyNumberFormat="1" applyFont="1" applyFill="1" applyAlignment="1">
      <alignment horizontal="right"/>
    </xf>
    <xf numFmtId="0" fontId="0" fillId="0" borderId="8" xfId="0" applyNumberFormat="1" applyBorder="1" applyAlignment="1">
      <alignment horizontal="center"/>
    </xf>
    <xf numFmtId="0" fontId="0" fillId="0" borderId="9" xfId="0" applyNumberFormat="1" applyFont="1" applyBorder="1" applyAlignment="1">
      <alignment horizontal="center"/>
    </xf>
    <xf numFmtId="0" fontId="0" fillId="0" borderId="10" xfId="0" applyNumberFormat="1" applyFont="1" applyBorder="1" applyAlignment="1">
      <alignment horizontal="center"/>
    </xf>
    <xf numFmtId="0" fontId="3" fillId="0" borderId="0" xfId="0" applyNumberFormat="1" applyFont="1" applyAlignment="1" applyProtection="1">
      <alignment wrapText="1"/>
      <protection locked="0"/>
    </xf>
    <xf numFmtId="0" fontId="3" fillId="0" borderId="0" xfId="0" applyNumberFormat="1" applyFont="1" applyFill="1" applyAlignment="1">
      <alignment horizontal="left" wrapText="1"/>
    </xf>
    <xf numFmtId="0" fontId="3" fillId="0" borderId="0" xfId="0" applyNumberFormat="1" applyFont="1" applyAlignment="1"/>
    <xf numFmtId="0" fontId="3" fillId="0" borderId="0" xfId="0" applyNumberFormat="1" applyFont="1" applyFill="1" applyAlignment="1">
      <alignment horizontal="right"/>
    </xf>
    <xf numFmtId="0" fontId="3" fillId="0" borderId="0" xfId="0" applyNumberFormat="1" applyFont="1" applyAlignment="1">
      <alignment horizontal="right"/>
    </xf>
    <xf numFmtId="0" fontId="3" fillId="0" borderId="0" xfId="0" applyNumberFormat="1" applyFont="1" applyFill="1" applyAlignment="1" applyProtection="1">
      <alignment horizontal="right"/>
      <protection locked="0"/>
    </xf>
    <xf numFmtId="0" fontId="7" fillId="0" borderId="0" xfId="0" applyNumberFormat="1" applyFont="1" applyFill="1" applyAlignment="1" applyProtection="1">
      <alignment horizontal="right"/>
      <protection locked="0"/>
    </xf>
    <xf numFmtId="0" fontId="3" fillId="0" borderId="0" xfId="0" applyNumberFormat="1" applyFont="1" applyAlignment="1" applyProtection="1">
      <protection locked="0"/>
    </xf>
    <xf numFmtId="0" fontId="3" fillId="0" borderId="0" xfId="0" applyNumberFormat="1" applyFont="1" applyFill="1" applyAlignment="1" applyProtection="1">
      <alignment vertical="top" wrapText="1"/>
      <protection locked="0"/>
    </xf>
    <xf numFmtId="0" fontId="3" fillId="0" borderId="0" xfId="0" applyNumberFormat="1" applyFont="1" applyFill="1" applyAlignment="1">
      <alignment vertical="top" wrapText="1"/>
    </xf>
    <xf numFmtId="0" fontId="2" fillId="0" borderId="6" xfId="4" applyBorder="1" applyAlignment="1">
      <alignment horizontal="center"/>
    </xf>
    <xf numFmtId="173" fontId="16" fillId="0" borderId="9" xfId="0" applyFont="1" applyBorder="1" applyAlignment="1">
      <alignment horizontal="center"/>
    </xf>
    <xf numFmtId="173" fontId="16" fillId="0" borderId="10" xfId="0" applyFont="1" applyBorder="1" applyAlignment="1">
      <alignment horizontal="center"/>
    </xf>
    <xf numFmtId="173" fontId="16" fillId="0" borderId="19" xfId="0" applyFont="1" applyBorder="1" applyAlignment="1">
      <alignment horizontal="center"/>
    </xf>
    <xf numFmtId="173" fontId="16" fillId="0" borderId="20" xfId="0" applyFont="1" applyBorder="1" applyAlignment="1">
      <alignment horizontal="center"/>
    </xf>
  </cellXfs>
  <cellStyles count="236">
    <cellStyle name="20% - Accent1 2" xfId="5"/>
    <cellStyle name="20% - Accent1 3" xfId="6"/>
    <cellStyle name="20% - Accent1 4" xfId="7"/>
    <cellStyle name="20% - Accent1 5" xfId="8"/>
    <cellStyle name="20% - Accent1 6" xfId="9"/>
    <cellStyle name="20% - Accent2 2" xfId="10"/>
    <cellStyle name="20% - Accent2 3" xfId="11"/>
    <cellStyle name="20% - Accent2 4" xfId="12"/>
    <cellStyle name="20% - Accent2 5" xfId="13"/>
    <cellStyle name="20% - Accent2 6" xfId="14"/>
    <cellStyle name="20% - Accent3 2" xfId="15"/>
    <cellStyle name="20% - Accent3 3" xfId="16"/>
    <cellStyle name="20% - Accent3 4" xfId="17"/>
    <cellStyle name="20% - Accent3 5" xfId="18"/>
    <cellStyle name="20% - Accent3 6" xfId="19"/>
    <cellStyle name="20% - Accent4 2" xfId="20"/>
    <cellStyle name="20% - Accent4 3" xfId="21"/>
    <cellStyle name="20% - Accent4 4" xfId="22"/>
    <cellStyle name="20% - Accent4 5" xfId="23"/>
    <cellStyle name="20% - Accent4 6" xfId="24"/>
    <cellStyle name="20% - Accent5 2" xfId="25"/>
    <cellStyle name="20% - Accent5 3" xfId="26"/>
    <cellStyle name="20% - Accent5 4" xfId="27"/>
    <cellStyle name="20% - Accent5 5" xfId="28"/>
    <cellStyle name="20% - Accent5 6" xfId="29"/>
    <cellStyle name="20% - Accent6 2" xfId="30"/>
    <cellStyle name="20% - Accent6 3" xfId="31"/>
    <cellStyle name="20% - Accent6 4" xfId="32"/>
    <cellStyle name="20% - Accent6 5" xfId="33"/>
    <cellStyle name="20% - Accent6 6" xfId="34"/>
    <cellStyle name="40% - Accent1 2" xfId="35"/>
    <cellStyle name="40% - Accent1 3" xfId="36"/>
    <cellStyle name="40% - Accent1 4" xfId="37"/>
    <cellStyle name="40% - Accent1 5" xfId="38"/>
    <cellStyle name="40% - Accent1 6" xfId="39"/>
    <cellStyle name="40% - Accent2 2" xfId="40"/>
    <cellStyle name="40% - Accent2 3" xfId="41"/>
    <cellStyle name="40% - Accent2 4" xfId="42"/>
    <cellStyle name="40% - Accent2 5" xfId="43"/>
    <cellStyle name="40% - Accent2 6" xfId="44"/>
    <cellStyle name="40% - Accent3 2" xfId="45"/>
    <cellStyle name="40% - Accent3 3" xfId="46"/>
    <cellStyle name="40% - Accent3 4" xfId="47"/>
    <cellStyle name="40% - Accent3 5" xfId="48"/>
    <cellStyle name="40% - Accent3 6" xfId="49"/>
    <cellStyle name="40% - Accent4 2" xfId="50"/>
    <cellStyle name="40% - Accent4 3" xfId="51"/>
    <cellStyle name="40% - Accent4 4" xfId="52"/>
    <cellStyle name="40% - Accent4 5" xfId="53"/>
    <cellStyle name="40% - Accent4 6" xfId="54"/>
    <cellStyle name="40% - Accent5 2" xfId="55"/>
    <cellStyle name="40% - Accent5 3" xfId="56"/>
    <cellStyle name="40% - Accent5 4" xfId="57"/>
    <cellStyle name="40% - Accent5 5" xfId="58"/>
    <cellStyle name="40% - Accent5 6" xfId="59"/>
    <cellStyle name="40% - Accent6 2" xfId="60"/>
    <cellStyle name="40% - Accent6 3" xfId="61"/>
    <cellStyle name="40% - Accent6 4" xfId="62"/>
    <cellStyle name="40% - Accent6 5" xfId="63"/>
    <cellStyle name="40% - Accent6 6" xfId="64"/>
    <cellStyle name="60% - Accent1 2" xfId="65"/>
    <cellStyle name="60% - Accent2 2" xfId="66"/>
    <cellStyle name="60% - Accent3 2" xfId="67"/>
    <cellStyle name="60% - Accent4 2" xfId="68"/>
    <cellStyle name="60% - Accent5 2" xfId="69"/>
    <cellStyle name="60% - Accent6 2" xfId="70"/>
    <cellStyle name="Accent1 2" xfId="71"/>
    <cellStyle name="Accent2 2" xfId="72"/>
    <cellStyle name="Accent3 2" xfId="73"/>
    <cellStyle name="Accent4 2" xfId="74"/>
    <cellStyle name="Accent5 2" xfId="75"/>
    <cellStyle name="Accent6 2" xfId="76"/>
    <cellStyle name="Bad 2" xfId="77"/>
    <cellStyle name="C00A" xfId="78"/>
    <cellStyle name="C00B" xfId="79"/>
    <cellStyle name="C00L" xfId="80"/>
    <cellStyle name="C01A" xfId="81"/>
    <cellStyle name="C01B" xfId="82"/>
    <cellStyle name="C01H" xfId="83"/>
    <cellStyle name="C01L" xfId="84"/>
    <cellStyle name="C02A" xfId="85"/>
    <cellStyle name="C02B" xfId="86"/>
    <cellStyle name="C02H" xfId="87"/>
    <cellStyle name="C02L" xfId="88"/>
    <cellStyle name="C03A" xfId="89"/>
    <cellStyle name="C03B" xfId="90"/>
    <cellStyle name="C03H" xfId="91"/>
    <cellStyle name="C03L" xfId="92"/>
    <cellStyle name="C04A" xfId="93"/>
    <cellStyle name="C04B" xfId="94"/>
    <cellStyle name="C04H" xfId="95"/>
    <cellStyle name="C04L" xfId="96"/>
    <cellStyle name="C05A" xfId="97"/>
    <cellStyle name="C05B" xfId="98"/>
    <cellStyle name="C05H" xfId="99"/>
    <cellStyle name="C05L" xfId="100"/>
    <cellStyle name="C06A" xfId="101"/>
    <cellStyle name="C06B" xfId="102"/>
    <cellStyle name="C06H" xfId="103"/>
    <cellStyle name="C06L" xfId="104"/>
    <cellStyle name="C07A" xfId="105"/>
    <cellStyle name="C07B" xfId="106"/>
    <cellStyle name="C07H" xfId="107"/>
    <cellStyle name="C07L" xfId="108"/>
    <cellStyle name="Calc Currency (0)" xfId="109"/>
    <cellStyle name="Calculation 2" xfId="110"/>
    <cellStyle name="Check Cell 2" xfId="111"/>
    <cellStyle name="Comma" xfId="2" builtinId="3"/>
    <cellStyle name="Comma [0] 2" xfId="112"/>
    <cellStyle name="Comma [0] 2 2" xfId="113"/>
    <cellStyle name="Comma 10" xfId="114"/>
    <cellStyle name="Comma 11" xfId="115"/>
    <cellStyle name="Comma 2" xfId="116"/>
    <cellStyle name="Comma 2 2" xfId="117"/>
    <cellStyle name="Comma 2 2 2" xfId="118"/>
    <cellStyle name="Comma 2 3" xfId="119"/>
    <cellStyle name="Comma 3" xfId="120"/>
    <cellStyle name="Comma 3 2" xfId="121"/>
    <cellStyle name="Comma 3 3" xfId="233"/>
    <cellStyle name="Comma 4" xfId="122"/>
    <cellStyle name="Comma 5" xfId="123"/>
    <cellStyle name="Comma 6" xfId="124"/>
    <cellStyle name="Comma 7" xfId="125"/>
    <cellStyle name="Comma 8" xfId="126"/>
    <cellStyle name="Comma 9" xfId="127"/>
    <cellStyle name="Comma0" xfId="128"/>
    <cellStyle name="Copied" xfId="129"/>
    <cellStyle name="COSS" xfId="130"/>
    <cellStyle name="Currency" xfId="1" builtinId="4"/>
    <cellStyle name="Currency 2" xfId="131"/>
    <cellStyle name="Currency 3" xfId="132"/>
    <cellStyle name="Currency 3 2" xfId="232"/>
    <cellStyle name="Currency 4" xfId="133"/>
    <cellStyle name="Currency0" xfId="134"/>
    <cellStyle name="Date" xfId="135"/>
    <cellStyle name="Date 2" xfId="136"/>
    <cellStyle name="Entered" xfId="137"/>
    <cellStyle name="Explanatory Text 2" xfId="138"/>
    <cellStyle name="Fixed" xfId="139"/>
    <cellStyle name="Good 2" xfId="140"/>
    <cellStyle name="Grey" xfId="141"/>
    <cellStyle name="Header1" xfId="142"/>
    <cellStyle name="Header2" xfId="143"/>
    <cellStyle name="Heading 1 2" xfId="144"/>
    <cellStyle name="Heading 1 3" xfId="145"/>
    <cellStyle name="Heading 2 2" xfId="146"/>
    <cellStyle name="Heading 2 3" xfId="147"/>
    <cellStyle name="Heading 3 2" xfId="148"/>
    <cellStyle name="Heading 4 2" xfId="149"/>
    <cellStyle name="Heading1" xfId="150"/>
    <cellStyle name="Heading2" xfId="151"/>
    <cellStyle name="Input [yellow]" xfId="152"/>
    <cellStyle name="Input 2" xfId="153"/>
    <cellStyle name="Input 3" xfId="154"/>
    <cellStyle name="Input 4" xfId="155"/>
    <cellStyle name="Linked Cell 2" xfId="156"/>
    <cellStyle name="Neutral 2" xfId="157"/>
    <cellStyle name="Normal" xfId="0" builtinId="0"/>
    <cellStyle name="Normal - Style1" xfId="158"/>
    <cellStyle name="Normal 10" xfId="159"/>
    <cellStyle name="Normal 11" xfId="160"/>
    <cellStyle name="Normal 12" xfId="161"/>
    <cellStyle name="Normal 13" xfId="162"/>
    <cellStyle name="Normal 14" xfId="163"/>
    <cellStyle name="Normal 15" xfId="4"/>
    <cellStyle name="Normal 2" xfId="164"/>
    <cellStyle name="Normal 2 2" xfId="165"/>
    <cellStyle name="Normal 2 3" xfId="166"/>
    <cellStyle name="Normal 2 4" xfId="231"/>
    <cellStyle name="Normal 3" xfId="167"/>
    <cellStyle name="Normal 4" xfId="168"/>
    <cellStyle name="Normal 4 2" xfId="169"/>
    <cellStyle name="Normal 5" xfId="170"/>
    <cellStyle name="Normal 6" xfId="171"/>
    <cellStyle name="Normal 7" xfId="172"/>
    <cellStyle name="Normal 8" xfId="173"/>
    <cellStyle name="Normal 9" xfId="174"/>
    <cellStyle name="Normal_Attachment O &amp; GG Final 11_11_09" xfId="234"/>
    <cellStyle name="Note 2" xfId="175"/>
    <cellStyle name="Output 2" xfId="176"/>
    <cellStyle name="Percent" xfId="3" builtinId="5"/>
    <cellStyle name="Percent [2]" xfId="177"/>
    <cellStyle name="Percent 2" xfId="178"/>
    <cellStyle name="Percent 2 2" xfId="179"/>
    <cellStyle name="Percent 2 3" xfId="235"/>
    <cellStyle name="Percent 3" xfId="180"/>
    <cellStyle name="Percent 4" xfId="181"/>
    <cellStyle name="Percent 5" xfId="182"/>
    <cellStyle name="Percent 6" xfId="183"/>
    <cellStyle name="Percent 7" xfId="184"/>
    <cellStyle name="Percent 8" xfId="185"/>
    <cellStyle name="PSChar" xfId="186"/>
    <cellStyle name="PSDate" xfId="187"/>
    <cellStyle name="PSDec" xfId="188"/>
    <cellStyle name="PSdesc" xfId="189"/>
    <cellStyle name="PSHeading" xfId="190"/>
    <cellStyle name="PSInt" xfId="191"/>
    <cellStyle name="PSSpacer" xfId="192"/>
    <cellStyle name="PStest" xfId="193"/>
    <cellStyle name="R00A" xfId="194"/>
    <cellStyle name="R00B" xfId="195"/>
    <cellStyle name="R00L" xfId="196"/>
    <cellStyle name="R01A" xfId="197"/>
    <cellStyle name="R01B" xfId="198"/>
    <cellStyle name="R01H" xfId="199"/>
    <cellStyle name="R01L" xfId="200"/>
    <cellStyle name="R02A" xfId="201"/>
    <cellStyle name="R02B" xfId="202"/>
    <cellStyle name="R02H" xfId="203"/>
    <cellStyle name="R02L" xfId="204"/>
    <cellStyle name="R03A" xfId="205"/>
    <cellStyle name="R03B" xfId="206"/>
    <cellStyle name="R03H" xfId="207"/>
    <cellStyle name="R03L" xfId="208"/>
    <cellStyle name="R04A" xfId="209"/>
    <cellStyle name="R04B" xfId="210"/>
    <cellStyle name="R04H" xfId="211"/>
    <cellStyle name="R04L" xfId="212"/>
    <cellStyle name="R05A" xfId="213"/>
    <cellStyle name="R05B" xfId="214"/>
    <cellStyle name="R05H" xfId="215"/>
    <cellStyle name="R05L" xfId="216"/>
    <cellStyle name="R06A" xfId="217"/>
    <cellStyle name="R06B" xfId="218"/>
    <cellStyle name="R06H" xfId="219"/>
    <cellStyle name="R06L" xfId="220"/>
    <cellStyle name="R07A" xfId="221"/>
    <cellStyle name="R07B" xfId="222"/>
    <cellStyle name="R07H" xfId="223"/>
    <cellStyle name="R07L" xfId="224"/>
    <cellStyle name="RevList" xfId="225"/>
    <cellStyle name="Subtotal" xfId="226"/>
    <cellStyle name="Title 2" xfId="227"/>
    <cellStyle name="Total 2" xfId="228"/>
    <cellStyle name="Total 3" xfId="229"/>
    <cellStyle name="Warning Text 2" xfId="2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3"/>
  <sheetViews>
    <sheetView tabSelected="1" zoomScale="80" zoomScaleNormal="80" zoomScaleSheetLayoutView="75" workbookViewId="0">
      <selection activeCell="I293" sqref="I293"/>
    </sheetView>
  </sheetViews>
  <sheetFormatPr defaultRowHeight="15.75"/>
  <cols>
    <col min="1" max="1" width="4.21875" style="1" customWidth="1"/>
    <col min="2" max="2" width="42.6640625" style="1" customWidth="1"/>
    <col min="3" max="3" width="24.6640625" style="1" customWidth="1"/>
    <col min="4" max="4" width="12.77734375" style="1" customWidth="1"/>
    <col min="5" max="5" width="4.77734375" style="1" customWidth="1"/>
    <col min="6" max="6" width="5.21875" style="1" customWidth="1"/>
    <col min="7" max="7" width="10.6640625" style="1" customWidth="1"/>
    <col min="8" max="8" width="3.109375" style="1" customWidth="1"/>
    <col min="9" max="9" width="12.44140625" style="1" customWidth="1"/>
    <col min="10" max="10" width="1.44140625" style="1" customWidth="1"/>
    <col min="11" max="11" width="10" style="10" customWidth="1"/>
    <col min="12" max="12" width="8.88671875" style="1"/>
    <col min="13" max="14" width="10.88671875" style="1" customWidth="1"/>
    <col min="15" max="16" width="8.88671875" style="1"/>
    <col min="17" max="17" width="10.33203125" style="1" customWidth="1"/>
    <col min="18" max="18" width="8.88671875" style="1"/>
    <col min="19" max="19" width="10.21875" style="1" customWidth="1"/>
    <col min="20" max="16384" width="8.88671875" style="1"/>
  </cols>
  <sheetData>
    <row r="1" spans="1:11">
      <c r="B1" s="2"/>
      <c r="C1" s="2"/>
      <c r="D1" s="3"/>
      <c r="E1" s="2"/>
      <c r="F1" s="2"/>
      <c r="G1" s="447"/>
      <c r="H1" s="448"/>
      <c r="I1" s="448"/>
      <c r="J1" s="448"/>
      <c r="K1" s="448"/>
    </row>
    <row r="2" spans="1:11">
      <c r="B2" s="2"/>
      <c r="C2" s="2"/>
      <c r="D2" s="3"/>
      <c r="E2" s="2"/>
      <c r="F2" s="2"/>
      <c r="G2" s="447"/>
      <c r="H2" s="447"/>
      <c r="I2" s="447"/>
      <c r="J2" s="447"/>
      <c r="K2" s="447"/>
    </row>
    <row r="3" spans="1:11">
      <c r="B3" s="2"/>
      <c r="C3" s="2"/>
      <c r="D3" s="3"/>
      <c r="E3" s="2"/>
      <c r="F3" s="2"/>
      <c r="G3" s="2"/>
      <c r="H3" s="4"/>
      <c r="I3" s="7"/>
      <c r="J3" s="7"/>
      <c r="K3" s="6"/>
    </row>
    <row r="4" spans="1:11">
      <c r="B4" s="2"/>
      <c r="C4" s="2"/>
      <c r="D4" s="3"/>
      <c r="E4" s="2"/>
      <c r="F4" s="2"/>
      <c r="G4" s="2"/>
      <c r="H4" s="4"/>
      <c r="I4" s="446" t="s">
        <v>188</v>
      </c>
      <c r="J4" s="446"/>
      <c r="K4" s="446"/>
    </row>
    <row r="5" spans="1:11">
      <c r="B5" s="2"/>
      <c r="C5" s="2"/>
      <c r="D5" s="3"/>
      <c r="E5" s="2"/>
      <c r="F5" s="2"/>
      <c r="G5" s="2"/>
      <c r="H5" s="4"/>
      <c r="I5" s="4"/>
      <c r="J5" s="9"/>
      <c r="K5" s="235" t="s">
        <v>491</v>
      </c>
    </row>
    <row r="6" spans="1:11">
      <c r="B6" s="2"/>
      <c r="C6" s="2"/>
      <c r="D6" s="3"/>
      <c r="E6" s="2"/>
      <c r="F6" s="2"/>
      <c r="G6" s="2"/>
      <c r="H6" s="4"/>
      <c r="I6" s="4"/>
      <c r="J6" s="9"/>
      <c r="K6" s="12"/>
    </row>
    <row r="7" spans="1:11">
      <c r="B7" s="2" t="s">
        <v>0</v>
      </c>
      <c r="C7" s="2"/>
      <c r="D7" s="3" t="s">
        <v>262</v>
      </c>
      <c r="E7" s="2"/>
      <c r="F7" s="2"/>
      <c r="G7" s="205"/>
      <c r="H7" s="123"/>
      <c r="I7" s="121"/>
      <c r="J7" s="13"/>
      <c r="K7" s="120" t="s">
        <v>597</v>
      </c>
    </row>
    <row r="8" spans="1:11">
      <c r="B8" s="2"/>
      <c r="C8" s="14" t="s">
        <v>2</v>
      </c>
      <c r="D8" s="14" t="s">
        <v>263</v>
      </c>
      <c r="E8" s="14"/>
      <c r="F8" s="14"/>
      <c r="G8" s="14"/>
      <c r="H8" s="4"/>
      <c r="I8" s="4"/>
      <c r="J8" s="9"/>
      <c r="K8" s="12"/>
    </row>
    <row r="9" spans="1:11">
      <c r="B9" s="9"/>
      <c r="C9" s="9"/>
      <c r="D9" s="9"/>
      <c r="E9" s="9"/>
      <c r="F9" s="9"/>
      <c r="G9" s="9"/>
      <c r="H9" s="9"/>
      <c r="I9" s="9"/>
      <c r="J9" s="9"/>
      <c r="K9" s="12"/>
    </row>
    <row r="10" spans="1:11">
      <c r="A10" s="5"/>
      <c r="B10" s="9"/>
      <c r="C10" s="9"/>
      <c r="D10" s="199" t="s">
        <v>295</v>
      </c>
      <c r="E10" s="200"/>
      <c r="F10" s="200"/>
      <c r="G10" s="200"/>
      <c r="H10" s="9"/>
      <c r="I10" s="9"/>
      <c r="J10" s="9"/>
      <c r="K10" s="12"/>
    </row>
    <row r="11" spans="1:11">
      <c r="A11" s="5"/>
      <c r="B11" s="9"/>
      <c r="C11" s="9"/>
      <c r="D11" s="15"/>
      <c r="E11" s="9"/>
      <c r="F11" s="9"/>
      <c r="G11" s="9"/>
      <c r="H11" s="9"/>
      <c r="I11" s="9"/>
      <c r="J11" s="9"/>
      <c r="K11" s="12"/>
    </row>
    <row r="12" spans="1:11">
      <c r="A12" s="5" t="s">
        <v>4</v>
      </c>
      <c r="B12" s="9"/>
      <c r="C12" s="9"/>
      <c r="D12" s="15"/>
      <c r="E12" s="9"/>
      <c r="F12" s="9"/>
      <c r="G12" s="9"/>
      <c r="H12" s="9"/>
      <c r="I12" s="5" t="s">
        <v>5</v>
      </c>
      <c r="J12" s="9"/>
      <c r="K12" s="12"/>
    </row>
    <row r="13" spans="1:11" ht="16.5" thickBot="1">
      <c r="A13" s="16" t="s">
        <v>6</v>
      </c>
      <c r="B13" s="9"/>
      <c r="C13" s="9"/>
      <c r="D13" s="9"/>
      <c r="E13" s="9"/>
      <c r="F13" s="9"/>
      <c r="G13" s="9"/>
      <c r="H13" s="9"/>
      <c r="I13" s="16" t="s">
        <v>7</v>
      </c>
      <c r="J13" s="9"/>
      <c r="K13" s="12"/>
    </row>
    <row r="14" spans="1:11">
      <c r="A14" s="5">
        <v>1</v>
      </c>
      <c r="B14" s="9" t="s">
        <v>272</v>
      </c>
      <c r="C14" s="9"/>
      <c r="D14" s="17"/>
      <c r="E14" s="9"/>
      <c r="F14" s="9"/>
      <c r="G14" s="9"/>
      <c r="H14" s="9"/>
      <c r="I14" s="138">
        <f>+I214</f>
        <v>127735150.58325541</v>
      </c>
      <c r="J14" s="9"/>
      <c r="K14" s="12"/>
    </row>
    <row r="15" spans="1:11">
      <c r="A15" s="5"/>
      <c r="B15" s="9"/>
      <c r="C15" s="9"/>
      <c r="D15" s="9"/>
      <c r="E15" s="9"/>
      <c r="F15" s="9"/>
      <c r="G15" s="9"/>
      <c r="H15" s="9"/>
      <c r="I15" s="17"/>
      <c r="J15" s="9"/>
      <c r="K15" s="12"/>
    </row>
    <row r="16" spans="1:11" ht="16.5" thickBot="1">
      <c r="A16" s="5" t="s">
        <v>2</v>
      </c>
      <c r="B16" s="8" t="s">
        <v>8</v>
      </c>
      <c r="C16" s="18" t="s">
        <v>185</v>
      </c>
      <c r="D16" s="16" t="s">
        <v>9</v>
      </c>
      <c r="E16" s="14"/>
      <c r="F16" s="19" t="s">
        <v>10</v>
      </c>
      <c r="G16" s="19"/>
      <c r="H16" s="9"/>
      <c r="I16" s="17"/>
      <c r="J16" s="9"/>
      <c r="K16" s="12"/>
    </row>
    <row r="17" spans="1:11">
      <c r="A17" s="5">
        <v>2</v>
      </c>
      <c r="B17" s="8" t="s">
        <v>12</v>
      </c>
      <c r="C17" s="14" t="s">
        <v>152</v>
      </c>
      <c r="D17" s="14">
        <f>I287</f>
        <v>222088.5</v>
      </c>
      <c r="E17" s="14"/>
      <c r="F17" s="14" t="s">
        <v>11</v>
      </c>
      <c r="G17" s="20">
        <f>I238</f>
        <v>1</v>
      </c>
      <c r="H17" s="14"/>
      <c r="I17" s="14">
        <f>+G17*D17</f>
        <v>222088.5</v>
      </c>
      <c r="J17" s="9"/>
      <c r="K17" s="12"/>
    </row>
    <row r="18" spans="1:11">
      <c r="A18" s="5">
        <v>3</v>
      </c>
      <c r="B18" s="8" t="s">
        <v>205</v>
      </c>
      <c r="C18" s="14" t="s">
        <v>153</v>
      </c>
      <c r="D18" s="14">
        <f>I294</f>
        <v>25809668</v>
      </c>
      <c r="E18" s="14"/>
      <c r="F18" s="14" t="str">
        <f t="shared" ref="F18:G20" si="0">+F17</f>
        <v>TP</v>
      </c>
      <c r="G18" s="20">
        <f t="shared" si="0"/>
        <v>1</v>
      </c>
      <c r="H18" s="14"/>
      <c r="I18" s="14">
        <f>+G18*D18</f>
        <v>25809668</v>
      </c>
      <c r="J18" s="9"/>
      <c r="K18" s="12"/>
    </row>
    <row r="19" spans="1:11">
      <c r="A19" s="5">
        <v>4</v>
      </c>
      <c r="B19" s="21" t="s">
        <v>142</v>
      </c>
      <c r="C19" s="14"/>
      <c r="D19" s="22">
        <v>0</v>
      </c>
      <c r="E19" s="14"/>
      <c r="F19" s="14" t="str">
        <f t="shared" si="0"/>
        <v>TP</v>
      </c>
      <c r="G19" s="20">
        <f t="shared" si="0"/>
        <v>1</v>
      </c>
      <c r="H19" s="14"/>
      <c r="I19" s="14">
        <f>+G19*D19</f>
        <v>0</v>
      </c>
      <c r="J19" s="9"/>
      <c r="K19" s="12"/>
    </row>
    <row r="20" spans="1:11" ht="16.5" thickBot="1">
      <c r="A20" s="5">
        <v>5</v>
      </c>
      <c r="B20" s="21" t="s">
        <v>143</v>
      </c>
      <c r="C20" s="14"/>
      <c r="D20" s="22">
        <v>0</v>
      </c>
      <c r="E20" s="14"/>
      <c r="F20" s="14" t="str">
        <f t="shared" si="0"/>
        <v>TP</v>
      </c>
      <c r="G20" s="20">
        <f t="shared" si="0"/>
        <v>1</v>
      </c>
      <c r="H20" s="14"/>
      <c r="I20" s="23">
        <f>+G20*D20</f>
        <v>0</v>
      </c>
      <c r="J20" s="9"/>
      <c r="K20" s="12"/>
    </row>
    <row r="21" spans="1:11">
      <c r="A21" s="5">
        <v>6</v>
      </c>
      <c r="B21" s="8" t="s">
        <v>139</v>
      </c>
      <c r="C21" s="9"/>
      <c r="D21" s="24" t="s">
        <v>2</v>
      </c>
      <c r="E21" s="14"/>
      <c r="F21" s="14"/>
      <c r="G21" s="20"/>
      <c r="H21" s="14"/>
      <c r="I21" s="14">
        <f>SUM(I17:I20)</f>
        <v>26031756.5</v>
      </c>
      <c r="J21" s="9"/>
      <c r="K21" s="12"/>
    </row>
    <row r="22" spans="1:11">
      <c r="A22" s="5"/>
      <c r="B22" s="8"/>
      <c r="C22" s="9"/>
      <c r="I22" s="14"/>
      <c r="J22" s="9"/>
      <c r="K22" s="12"/>
    </row>
    <row r="23" spans="1:11">
      <c r="A23" s="5" t="s">
        <v>411</v>
      </c>
      <c r="B23" s="206" t="s">
        <v>404</v>
      </c>
      <c r="C23" s="9"/>
      <c r="I23" s="285">
        <f>'2012 Attach O True-Up'!G9</f>
        <v>80763182</v>
      </c>
      <c r="J23" s="9"/>
      <c r="K23" s="12"/>
    </row>
    <row r="24" spans="1:11" ht="16.5" thickBot="1">
      <c r="A24" s="5" t="s">
        <v>412</v>
      </c>
      <c r="B24" s="206" t="s">
        <v>405</v>
      </c>
      <c r="C24" s="9" t="s">
        <v>406</v>
      </c>
      <c r="I24" s="397">
        <f>'2012 Attach O True-Up'!G10</f>
        <v>72150636</v>
      </c>
      <c r="J24" s="9"/>
      <c r="K24" s="12"/>
    </row>
    <row r="25" spans="1:11">
      <c r="A25" s="5" t="s">
        <v>413</v>
      </c>
      <c r="B25" s="206" t="s">
        <v>407</v>
      </c>
      <c r="C25" s="9" t="s">
        <v>408</v>
      </c>
      <c r="I25" s="14">
        <f>I23-I24</f>
        <v>8612546</v>
      </c>
      <c r="J25" s="9"/>
      <c r="K25" s="12"/>
    </row>
    <row r="26" spans="1:11">
      <c r="A26" s="5" t="s">
        <v>414</v>
      </c>
      <c r="B26" s="206" t="s">
        <v>409</v>
      </c>
      <c r="C26" s="9" t="s">
        <v>549</v>
      </c>
      <c r="I26" s="14">
        <f>D375</f>
        <v>1370279.0914257166</v>
      </c>
      <c r="J26" s="9"/>
      <c r="K26" s="12"/>
    </row>
    <row r="27" spans="1:11" ht="16.5" thickBot="1">
      <c r="A27" s="5" t="s">
        <v>415</v>
      </c>
      <c r="B27" s="206" t="s">
        <v>410</v>
      </c>
      <c r="C27" s="9"/>
      <c r="I27" s="397">
        <f>'2012 Attach O True-Up'!G33</f>
        <v>527750.13980066287</v>
      </c>
      <c r="J27" s="9"/>
      <c r="K27" s="12"/>
    </row>
    <row r="28" spans="1:11">
      <c r="A28" s="5"/>
      <c r="B28" s="206"/>
      <c r="C28" s="9"/>
      <c r="I28" s="14"/>
      <c r="J28" s="9"/>
      <c r="K28" s="12"/>
    </row>
    <row r="29" spans="1:11">
      <c r="A29" s="5" t="s">
        <v>386</v>
      </c>
      <c r="B29" s="170" t="s">
        <v>13</v>
      </c>
      <c r="C29" s="9" t="s">
        <v>521</v>
      </c>
      <c r="D29" s="24"/>
      <c r="E29" s="14"/>
      <c r="F29" s="14"/>
      <c r="G29" s="14"/>
      <c r="H29" s="14"/>
      <c r="I29" s="201">
        <f>+I14-I21+I25+I26+I27</f>
        <v>112213969.31448179</v>
      </c>
      <c r="J29" s="9"/>
      <c r="K29" s="12"/>
    </row>
    <row r="30" spans="1:11">
      <c r="A30" s="5" t="s">
        <v>387</v>
      </c>
      <c r="B30" s="170" t="s">
        <v>388</v>
      </c>
      <c r="C30" s="9"/>
      <c r="D30" s="24"/>
      <c r="E30" s="14"/>
      <c r="F30" s="14"/>
      <c r="G30" s="14"/>
      <c r="H30" s="14"/>
      <c r="I30" s="202">
        <v>0</v>
      </c>
      <c r="J30" s="9"/>
      <c r="K30" s="12"/>
    </row>
    <row r="31" spans="1:11">
      <c r="A31" s="5" t="s">
        <v>389</v>
      </c>
      <c r="B31" s="170" t="s">
        <v>390</v>
      </c>
      <c r="C31" s="9"/>
      <c r="D31" s="24"/>
      <c r="E31" s="14"/>
      <c r="F31" s="14"/>
      <c r="G31" s="14"/>
      <c r="H31" s="14"/>
      <c r="I31" s="202">
        <v>0</v>
      </c>
      <c r="J31" s="9"/>
      <c r="K31" s="12"/>
    </row>
    <row r="32" spans="1:11">
      <c r="A32" s="5" t="s">
        <v>391</v>
      </c>
      <c r="B32" s="170" t="s">
        <v>392</v>
      </c>
      <c r="C32" s="9"/>
      <c r="D32" s="24"/>
      <c r="E32" s="14"/>
      <c r="F32" s="14"/>
      <c r="G32" s="14"/>
      <c r="H32" s="14"/>
      <c r="I32" s="202">
        <v>0</v>
      </c>
      <c r="J32" s="9"/>
      <c r="K32" s="12"/>
    </row>
    <row r="33" spans="1:11">
      <c r="A33" s="5" t="s">
        <v>393</v>
      </c>
      <c r="B33" s="170" t="s">
        <v>394</v>
      </c>
      <c r="C33" s="9"/>
      <c r="D33" s="24"/>
      <c r="E33" s="14"/>
      <c r="F33" s="14"/>
      <c r="G33" s="14"/>
      <c r="H33" s="14"/>
      <c r="I33" s="202">
        <v>0</v>
      </c>
      <c r="J33" s="9"/>
      <c r="K33" s="12"/>
    </row>
    <row r="34" spans="1:11" ht="16.5" thickBot="1">
      <c r="A34" s="5" t="s">
        <v>395</v>
      </c>
      <c r="B34" s="170" t="s">
        <v>396</v>
      </c>
      <c r="C34" s="9"/>
      <c r="D34" s="24"/>
      <c r="E34" s="14"/>
      <c r="F34" s="14"/>
      <c r="G34" s="14"/>
      <c r="H34" s="14"/>
      <c r="I34" s="203">
        <v>0</v>
      </c>
      <c r="J34" s="9"/>
      <c r="K34" s="12"/>
    </row>
    <row r="35" spans="1:11">
      <c r="A35" s="5">
        <v>7</v>
      </c>
      <c r="B35" s="170" t="s">
        <v>397</v>
      </c>
      <c r="C35" s="9" t="s">
        <v>398</v>
      </c>
      <c r="D35" s="24"/>
      <c r="E35" s="14"/>
      <c r="F35" s="14"/>
      <c r="G35" s="14"/>
      <c r="H35" s="14"/>
      <c r="I35" s="201">
        <f>SUM(I29:I34)</f>
        <v>112213969.31448179</v>
      </c>
      <c r="J35" s="9"/>
      <c r="K35" s="12"/>
    </row>
    <row r="36" spans="1:11">
      <c r="A36" s="5"/>
      <c r="B36" s="170"/>
      <c r="C36" s="9"/>
      <c r="D36" s="24"/>
      <c r="E36" s="14"/>
      <c r="F36" s="14"/>
      <c r="G36" s="14"/>
      <c r="H36" s="14"/>
      <c r="I36" s="201"/>
      <c r="J36" s="9"/>
      <c r="K36" s="12"/>
    </row>
    <row r="37" spans="1:11">
      <c r="A37" s="5"/>
      <c r="C37" s="9"/>
      <c r="D37" s="24"/>
      <c r="E37" s="14"/>
      <c r="F37" s="14"/>
      <c r="G37" s="14"/>
      <c r="H37" s="14"/>
      <c r="J37" s="9"/>
      <c r="K37" s="12"/>
    </row>
    <row r="38" spans="1:11">
      <c r="A38" s="5"/>
      <c r="B38" s="8" t="s">
        <v>14</v>
      </c>
      <c r="C38" s="9"/>
      <c r="D38" s="17"/>
      <c r="E38" s="9"/>
      <c r="F38" s="9"/>
      <c r="G38" s="9"/>
      <c r="H38" s="9"/>
      <c r="I38" s="17"/>
      <c r="J38" s="9"/>
      <c r="K38" s="12"/>
    </row>
    <row r="39" spans="1:11">
      <c r="A39" s="5">
        <v>8</v>
      </c>
      <c r="B39" s="8" t="s">
        <v>15</v>
      </c>
      <c r="D39" s="17"/>
      <c r="E39" s="9"/>
      <c r="F39" s="9"/>
      <c r="G39" s="25" t="s">
        <v>16</v>
      </c>
      <c r="H39" s="9"/>
      <c r="I39" s="26">
        <f>Divisor!C24</f>
        <v>3758416.6666666665</v>
      </c>
      <c r="J39" s="9"/>
      <c r="K39" s="12"/>
    </row>
    <row r="40" spans="1:11">
      <c r="A40" s="5">
        <v>9</v>
      </c>
      <c r="B40" s="8" t="s">
        <v>154</v>
      </c>
      <c r="C40" s="14"/>
      <c r="D40" s="14"/>
      <c r="E40" s="14"/>
      <c r="F40" s="14"/>
      <c r="G40" s="18" t="s">
        <v>17</v>
      </c>
      <c r="H40" s="14"/>
      <c r="I40" s="26">
        <v>0</v>
      </c>
      <c r="J40" s="9"/>
      <c r="K40" s="12"/>
    </row>
    <row r="41" spans="1:11">
      <c r="A41" s="5">
        <v>10</v>
      </c>
      <c r="B41" s="21" t="s">
        <v>155</v>
      </c>
      <c r="C41" s="9"/>
      <c r="D41" s="9"/>
      <c r="E41" s="9"/>
      <c r="G41" s="25" t="s">
        <v>18</v>
      </c>
      <c r="H41" s="9"/>
      <c r="I41" s="26">
        <f>Divisor!E24</f>
        <v>83408.583333333328</v>
      </c>
      <c r="J41" s="9"/>
      <c r="K41" s="12"/>
    </row>
    <row r="42" spans="1:11">
      <c r="A42" s="5">
        <v>11</v>
      </c>
      <c r="B42" s="8" t="s">
        <v>144</v>
      </c>
      <c r="C42" s="9"/>
      <c r="D42" s="9"/>
      <c r="E42" s="9"/>
      <c r="G42" s="25" t="s">
        <v>19</v>
      </c>
      <c r="H42" s="9"/>
      <c r="I42" s="27">
        <v>0</v>
      </c>
      <c r="J42" s="9"/>
      <c r="K42" s="12"/>
    </row>
    <row r="43" spans="1:11">
      <c r="A43" s="5">
        <v>12</v>
      </c>
      <c r="B43" s="21" t="s">
        <v>138</v>
      </c>
      <c r="C43" s="9"/>
      <c r="D43" s="9"/>
      <c r="E43" s="9"/>
      <c r="F43" s="9"/>
      <c r="G43" s="4"/>
      <c r="H43" s="9"/>
      <c r="I43" s="27">
        <v>0</v>
      </c>
      <c r="J43" s="9"/>
      <c r="K43" s="12"/>
    </row>
    <row r="44" spans="1:11">
      <c r="A44" s="5">
        <v>13</v>
      </c>
      <c r="B44" s="21" t="s">
        <v>237</v>
      </c>
      <c r="C44" s="9"/>
      <c r="D44" s="9"/>
      <c r="E44" s="9"/>
      <c r="F44" s="9"/>
      <c r="G44" s="25"/>
      <c r="H44" s="9"/>
      <c r="I44" s="27">
        <v>0</v>
      </c>
      <c r="J44" s="9"/>
      <c r="K44" s="12"/>
    </row>
    <row r="45" spans="1:11" ht="16.5" thickBot="1">
      <c r="A45" s="5">
        <v>14</v>
      </c>
      <c r="B45" s="21" t="s">
        <v>172</v>
      </c>
      <c r="C45" s="9"/>
      <c r="D45" s="9"/>
      <c r="E45" s="9"/>
      <c r="F45" s="9"/>
      <c r="G45" s="4"/>
      <c r="H45" s="9"/>
      <c r="I45" s="28">
        <v>0</v>
      </c>
      <c r="J45" s="9"/>
      <c r="K45" s="12"/>
    </row>
    <row r="46" spans="1:11">
      <c r="A46" s="5">
        <v>15</v>
      </c>
      <c r="B46" s="2" t="s">
        <v>145</v>
      </c>
      <c r="C46" s="9"/>
      <c r="D46" s="9"/>
      <c r="E46" s="9"/>
      <c r="F46" s="9"/>
      <c r="G46" s="9"/>
      <c r="H46" s="9"/>
      <c r="I46" s="17">
        <f>SUM(I39:I45)</f>
        <v>3841825.25</v>
      </c>
      <c r="J46" s="9"/>
      <c r="K46" s="12"/>
    </row>
    <row r="47" spans="1:11">
      <c r="A47" s="5"/>
      <c r="B47" s="8"/>
      <c r="C47" s="9"/>
      <c r="D47" s="9"/>
      <c r="E47" s="9"/>
      <c r="F47" s="9"/>
      <c r="G47" s="9"/>
      <c r="H47" s="9"/>
      <c r="I47" s="17"/>
      <c r="J47" s="9"/>
      <c r="K47" s="12"/>
    </row>
    <row r="48" spans="1:11">
      <c r="A48" s="5">
        <v>16</v>
      </c>
      <c r="B48" s="8" t="s">
        <v>20</v>
      </c>
      <c r="C48" s="9" t="s">
        <v>146</v>
      </c>
      <c r="D48" s="29">
        <f>IF(I46&gt;0,I35/I46,0)</f>
        <v>29.208504294796281</v>
      </c>
      <c r="E48" s="9"/>
      <c r="F48" s="9"/>
      <c r="G48" s="9"/>
      <c r="H48" s="9"/>
      <c r="J48" s="9"/>
      <c r="K48" s="12"/>
    </row>
    <row r="49" spans="1:11">
      <c r="A49" s="5">
        <v>17</v>
      </c>
      <c r="B49" s="8" t="s">
        <v>140</v>
      </c>
      <c r="C49" s="9" t="s">
        <v>147</v>
      </c>
      <c r="D49" s="29">
        <f>+D48/12</f>
        <v>2.4340420245663568</v>
      </c>
      <c r="E49" s="9"/>
      <c r="F49" s="9"/>
      <c r="G49" s="9"/>
      <c r="H49" s="9"/>
      <c r="J49" s="9"/>
      <c r="K49" s="12"/>
    </row>
    <row r="50" spans="1:11">
      <c r="A50" s="5"/>
      <c r="B50" s="8"/>
      <c r="C50" s="9"/>
      <c r="D50" s="29"/>
      <c r="E50" s="9"/>
      <c r="F50" s="9"/>
      <c r="G50" s="9"/>
      <c r="H50" s="9"/>
      <c r="J50" s="9"/>
      <c r="K50" s="12"/>
    </row>
    <row r="51" spans="1:11">
      <c r="A51" s="5"/>
      <c r="B51" s="8"/>
      <c r="C51" s="9"/>
      <c r="D51" s="30" t="s">
        <v>21</v>
      </c>
      <c r="E51" s="9"/>
      <c r="F51" s="9"/>
      <c r="G51" s="9"/>
      <c r="H51" s="9"/>
      <c r="I51" s="31" t="s">
        <v>22</v>
      </c>
      <c r="J51" s="9"/>
      <c r="K51" s="12"/>
    </row>
    <row r="52" spans="1:11">
      <c r="A52" s="5">
        <v>18</v>
      </c>
      <c r="B52" s="8" t="s">
        <v>23</v>
      </c>
      <c r="C52" s="32" t="s">
        <v>148</v>
      </c>
      <c r="D52" s="29">
        <f>+D48/52</f>
        <v>0.56170200566915929</v>
      </c>
      <c r="E52" s="9"/>
      <c r="F52" s="9"/>
      <c r="G52" s="9"/>
      <c r="H52" s="9"/>
      <c r="I52" s="33">
        <f>+D48/52</f>
        <v>0.56170200566915929</v>
      </c>
      <c r="J52" s="9"/>
      <c r="K52" s="12"/>
    </row>
    <row r="53" spans="1:11">
      <c r="A53" s="5">
        <v>19</v>
      </c>
      <c r="B53" s="8" t="s">
        <v>24</v>
      </c>
      <c r="C53" s="136" t="s">
        <v>273</v>
      </c>
      <c r="D53" s="29">
        <f>+D48/260</f>
        <v>0.11234040113383185</v>
      </c>
      <c r="E53" s="9" t="s">
        <v>25</v>
      </c>
      <c r="G53" s="9"/>
      <c r="H53" s="9"/>
      <c r="I53" s="33">
        <f>+D48/365</f>
        <v>8.0023299437798026E-2</v>
      </c>
      <c r="J53" s="9"/>
      <c r="K53" s="12"/>
    </row>
    <row r="54" spans="1:11">
      <c r="A54" s="5">
        <v>20</v>
      </c>
      <c r="B54" s="8" t="s">
        <v>26</v>
      </c>
      <c r="C54" s="136" t="s">
        <v>274</v>
      </c>
      <c r="D54" s="29">
        <f>+D48/4160*1000</f>
        <v>7.0212750708644913</v>
      </c>
      <c r="E54" s="9" t="s">
        <v>27</v>
      </c>
      <c r="G54" s="9"/>
      <c r="H54" s="9"/>
      <c r="I54" s="137">
        <f>+D48/8760*1000</f>
        <v>3.3343041432415848</v>
      </c>
      <c r="J54" s="9"/>
      <c r="K54" s="12" t="s">
        <v>2</v>
      </c>
    </row>
    <row r="55" spans="1:11">
      <c r="A55" s="5"/>
      <c r="B55" s="8"/>
      <c r="C55" s="9" t="s">
        <v>28</v>
      </c>
      <c r="D55" s="9"/>
      <c r="E55" s="9" t="s">
        <v>29</v>
      </c>
      <c r="G55" s="9"/>
      <c r="H55" s="9"/>
      <c r="J55" s="9"/>
      <c r="K55" s="12" t="s">
        <v>2</v>
      </c>
    </row>
    <row r="56" spans="1:11">
      <c r="A56" s="5"/>
      <c r="B56" s="8"/>
      <c r="C56" s="9"/>
      <c r="D56" s="9"/>
      <c r="E56" s="9"/>
      <c r="G56" s="9"/>
      <c r="H56" s="9"/>
      <c r="J56" s="9"/>
      <c r="K56" s="12" t="s">
        <v>2</v>
      </c>
    </row>
    <row r="57" spans="1:11">
      <c r="A57" s="5">
        <v>21</v>
      </c>
      <c r="B57" s="8" t="s">
        <v>230</v>
      </c>
      <c r="C57" s="9" t="s">
        <v>228</v>
      </c>
      <c r="D57" s="34">
        <v>0</v>
      </c>
      <c r="E57" s="35" t="s">
        <v>30</v>
      </c>
      <c r="F57" s="35"/>
      <c r="G57" s="35"/>
      <c r="H57" s="35"/>
      <c r="I57" s="35">
        <f>D57</f>
        <v>0</v>
      </c>
      <c r="J57" s="35" t="s">
        <v>30</v>
      </c>
      <c r="K57" s="12"/>
    </row>
    <row r="58" spans="1:11">
      <c r="A58" s="5">
        <v>22</v>
      </c>
      <c r="B58" s="8"/>
      <c r="C58" s="9"/>
      <c r="D58" s="34">
        <v>0</v>
      </c>
      <c r="E58" s="35" t="s">
        <v>31</v>
      </c>
      <c r="F58" s="35"/>
      <c r="G58" s="35"/>
      <c r="H58" s="35"/>
      <c r="I58" s="35">
        <f>D58</f>
        <v>0</v>
      </c>
      <c r="J58" s="35" t="s">
        <v>31</v>
      </c>
      <c r="K58" s="12"/>
    </row>
    <row r="59" spans="1:11" s="10" customFormat="1">
      <c r="A59" s="114"/>
      <c r="B59" s="56"/>
      <c r="C59" s="12"/>
      <c r="D59" s="115"/>
      <c r="E59" s="115"/>
      <c r="F59" s="115"/>
      <c r="G59" s="115"/>
      <c r="H59" s="115"/>
      <c r="I59" s="115"/>
      <c r="J59" s="115"/>
      <c r="K59" s="12"/>
    </row>
    <row r="60" spans="1:11" s="10" customFormat="1">
      <c r="A60" s="114"/>
      <c r="B60" s="56"/>
      <c r="C60" s="12"/>
      <c r="D60" s="115"/>
      <c r="E60" s="115"/>
      <c r="F60" s="115"/>
      <c r="G60" s="115"/>
      <c r="H60" s="115"/>
      <c r="I60" s="115"/>
      <c r="J60" s="115"/>
      <c r="K60" s="12"/>
    </row>
    <row r="61" spans="1:11" s="10" customFormat="1">
      <c r="A61" s="114"/>
      <c r="B61" s="56"/>
      <c r="C61" s="12"/>
      <c r="D61" s="115"/>
      <c r="E61" s="115"/>
      <c r="F61" s="115"/>
      <c r="G61" s="115"/>
      <c r="H61" s="115"/>
      <c r="I61" s="115"/>
      <c r="J61" s="115"/>
      <c r="K61" s="12"/>
    </row>
    <row r="62" spans="1:11" s="10" customFormat="1">
      <c r="A62" s="114"/>
      <c r="B62" s="56"/>
      <c r="C62" s="12"/>
      <c r="D62" s="115"/>
      <c r="E62" s="115"/>
      <c r="F62" s="115"/>
      <c r="G62" s="115"/>
      <c r="H62" s="115"/>
      <c r="I62" s="115"/>
      <c r="J62" s="115"/>
      <c r="K62" s="12"/>
    </row>
    <row r="63" spans="1:11" s="10" customFormat="1">
      <c r="A63" s="114"/>
      <c r="B63" s="56"/>
      <c r="C63" s="12"/>
      <c r="D63" s="115"/>
      <c r="E63" s="115"/>
      <c r="F63" s="115"/>
      <c r="G63" s="115"/>
      <c r="H63" s="115"/>
      <c r="I63" s="115"/>
      <c r="J63" s="115"/>
      <c r="K63" s="12"/>
    </row>
    <row r="64" spans="1:11" s="10" customFormat="1">
      <c r="A64" s="114"/>
      <c r="B64" s="56"/>
      <c r="C64" s="12"/>
      <c r="D64" s="115"/>
      <c r="E64" s="115"/>
      <c r="F64" s="115"/>
      <c r="G64" s="115"/>
      <c r="H64" s="115"/>
      <c r="I64" s="115"/>
      <c r="J64" s="115"/>
      <c r="K64" s="12"/>
    </row>
    <row r="65" spans="1:11" s="10" customFormat="1">
      <c r="A65" s="114"/>
      <c r="B65" s="56"/>
      <c r="C65" s="12"/>
      <c r="D65" s="115"/>
      <c r="E65" s="115"/>
      <c r="F65" s="115"/>
      <c r="G65" s="115"/>
      <c r="H65" s="115"/>
      <c r="I65" s="115"/>
      <c r="J65" s="115"/>
      <c r="K65" s="12"/>
    </row>
    <row r="66" spans="1:11" s="10" customFormat="1">
      <c r="A66" s="114"/>
      <c r="B66" s="56"/>
      <c r="C66" s="12"/>
      <c r="D66" s="115"/>
      <c r="E66" s="115"/>
      <c r="F66" s="115"/>
      <c r="G66" s="115"/>
      <c r="H66" s="115"/>
      <c r="I66" s="115"/>
      <c r="J66" s="115"/>
      <c r="K66" s="12"/>
    </row>
    <row r="67" spans="1:11" s="10" customFormat="1">
      <c r="A67" s="114"/>
      <c r="B67" s="56"/>
      <c r="C67" s="12"/>
      <c r="D67" s="115"/>
      <c r="E67" s="115"/>
      <c r="F67" s="115"/>
      <c r="G67" s="115"/>
      <c r="H67" s="115"/>
      <c r="I67" s="115"/>
      <c r="J67" s="115"/>
      <c r="K67" s="12"/>
    </row>
    <row r="68" spans="1:11" s="10" customFormat="1">
      <c r="A68" s="114"/>
      <c r="B68" s="56"/>
      <c r="C68" s="12"/>
      <c r="D68" s="115"/>
      <c r="E68" s="115"/>
      <c r="F68" s="115"/>
      <c r="G68" s="115"/>
      <c r="H68" s="115"/>
      <c r="I68" s="115"/>
      <c r="J68" s="115"/>
      <c r="K68" s="12"/>
    </row>
    <row r="69" spans="1:11" s="10" customFormat="1">
      <c r="A69" s="114"/>
      <c r="B69" s="56"/>
      <c r="C69" s="12"/>
      <c r="D69" s="115"/>
      <c r="E69" s="115"/>
      <c r="F69" s="115"/>
      <c r="G69" s="115"/>
      <c r="H69" s="115"/>
      <c r="I69" s="115"/>
      <c r="J69" s="115"/>
      <c r="K69" s="12"/>
    </row>
    <row r="70" spans="1:11" s="10" customFormat="1">
      <c r="A70" s="114"/>
      <c r="B70" s="56"/>
      <c r="C70" s="12"/>
      <c r="D70" s="115"/>
      <c r="E70" s="115"/>
      <c r="F70" s="115"/>
      <c r="G70" s="115"/>
      <c r="H70" s="115"/>
      <c r="I70" s="115"/>
      <c r="J70" s="115"/>
      <c r="K70" s="12"/>
    </row>
    <row r="71" spans="1:11" s="10" customFormat="1">
      <c r="A71" s="114"/>
      <c r="B71" s="56"/>
      <c r="C71" s="12"/>
      <c r="D71" s="115"/>
      <c r="E71" s="115"/>
      <c r="F71" s="115"/>
      <c r="G71" s="115"/>
      <c r="H71" s="115"/>
      <c r="I71" s="115"/>
      <c r="J71" s="115"/>
      <c r="K71" s="12"/>
    </row>
    <row r="72" spans="1:11" s="10" customFormat="1">
      <c r="A72" s="114"/>
      <c r="B72" s="56"/>
      <c r="C72" s="12"/>
      <c r="D72" s="115"/>
      <c r="E72" s="115"/>
      <c r="F72" s="115"/>
      <c r="G72" s="115"/>
      <c r="H72" s="115"/>
      <c r="I72" s="115"/>
      <c r="J72" s="115"/>
      <c r="K72" s="12"/>
    </row>
    <row r="73" spans="1:11">
      <c r="A73" s="449"/>
      <c r="B73" s="449"/>
      <c r="C73" s="449"/>
      <c r="D73" s="53"/>
      <c r="E73" s="14"/>
      <c r="F73" s="14"/>
      <c r="G73" s="438"/>
      <c r="H73" s="438"/>
      <c r="I73" s="438"/>
      <c r="J73" s="438"/>
      <c r="K73" s="438"/>
    </row>
    <row r="74" spans="1:11">
      <c r="A74" s="449"/>
      <c r="B74" s="449"/>
      <c r="C74" s="449"/>
      <c r="D74" s="53"/>
      <c r="E74" s="14"/>
      <c r="F74" s="14"/>
      <c r="G74" s="171"/>
      <c r="H74" s="171"/>
      <c r="I74" s="171"/>
      <c r="J74" s="171"/>
      <c r="K74" s="171"/>
    </row>
    <row r="75" spans="1:11">
      <c r="B75" s="2"/>
      <c r="C75" s="2"/>
      <c r="D75" s="3"/>
      <c r="E75" s="2"/>
      <c r="F75" s="2"/>
      <c r="G75" s="447"/>
      <c r="H75" s="447"/>
      <c r="I75" s="447"/>
      <c r="J75" s="447"/>
      <c r="K75" s="447"/>
    </row>
    <row r="76" spans="1:11">
      <c r="B76" s="2"/>
      <c r="C76" s="2"/>
      <c r="D76" s="3"/>
      <c r="E76" s="2"/>
      <c r="F76" s="2"/>
      <c r="G76" s="447"/>
      <c r="H76" s="447"/>
      <c r="I76" s="447"/>
      <c r="J76" s="447"/>
      <c r="K76" s="447"/>
    </row>
    <row r="77" spans="1:11">
      <c r="B77" s="2"/>
      <c r="C77" s="2"/>
      <c r="D77" s="3"/>
      <c r="E77" s="2"/>
      <c r="F77" s="2"/>
      <c r="G77" s="2"/>
      <c r="H77" s="4"/>
      <c r="I77" s="446" t="s">
        <v>188</v>
      </c>
      <c r="J77" s="446"/>
      <c r="K77" s="446"/>
    </row>
    <row r="78" spans="1:11">
      <c r="B78" s="2"/>
      <c r="C78" s="2"/>
      <c r="D78" s="3"/>
      <c r="E78" s="2"/>
      <c r="F78" s="2"/>
      <c r="G78" s="2"/>
      <c r="H78" s="4"/>
      <c r="I78" s="4"/>
      <c r="J78" s="445" t="s">
        <v>492</v>
      </c>
      <c r="K78" s="445"/>
    </row>
    <row r="79" spans="1:11">
      <c r="B79" s="2"/>
      <c r="C79" s="2"/>
      <c r="D79" s="3"/>
      <c r="E79" s="2"/>
      <c r="F79" s="2"/>
      <c r="G79" s="2"/>
      <c r="H79" s="4"/>
      <c r="I79" s="4"/>
      <c r="J79" s="9"/>
      <c r="K79" s="36"/>
    </row>
    <row r="80" spans="1:11">
      <c r="B80" s="2" t="s">
        <v>0</v>
      </c>
      <c r="C80" s="2"/>
      <c r="D80" s="3" t="s">
        <v>262</v>
      </c>
      <c r="E80" s="2"/>
      <c r="F80" s="2"/>
      <c r="G80" s="2"/>
      <c r="H80" s="4"/>
      <c r="I80" s="4"/>
      <c r="J80" s="9"/>
      <c r="K80" s="36" t="str">
        <f>K7</f>
        <v>Estimated - For the 12 months ended 12/31/14</v>
      </c>
    </row>
    <row r="81" spans="1:15">
      <c r="B81" s="2"/>
      <c r="C81" s="14" t="s">
        <v>2</v>
      </c>
      <c r="D81" s="14" t="s">
        <v>263</v>
      </c>
      <c r="E81" s="14"/>
      <c r="F81" s="14"/>
      <c r="G81" s="14"/>
      <c r="H81" s="4"/>
      <c r="I81" s="4"/>
      <c r="J81" s="9"/>
      <c r="K81" s="12"/>
    </row>
    <row r="82" spans="1:15">
      <c r="B82" s="2"/>
      <c r="C82" s="14"/>
      <c r="D82" s="14"/>
      <c r="E82" s="14"/>
      <c r="F82" s="14"/>
      <c r="G82" s="14"/>
      <c r="H82" s="4"/>
      <c r="I82" s="4"/>
      <c r="J82" s="9"/>
      <c r="K82" s="12"/>
    </row>
    <row r="83" spans="1:15">
      <c r="B83" s="8"/>
      <c r="C83" s="9"/>
      <c r="D83" s="14" t="str">
        <f>D10</f>
        <v>MidAmerican Energy Company</v>
      </c>
      <c r="E83" s="14"/>
      <c r="F83" s="14"/>
      <c r="G83" s="14"/>
      <c r="H83" s="14"/>
      <c r="I83" s="14"/>
      <c r="J83" s="14"/>
      <c r="K83" s="18"/>
    </row>
    <row r="84" spans="1:15">
      <c r="B84" s="37" t="s">
        <v>32</v>
      </c>
      <c r="C84" s="37" t="s">
        <v>33</v>
      </c>
      <c r="D84" s="37" t="s">
        <v>34</v>
      </c>
      <c r="E84" s="14" t="s">
        <v>2</v>
      </c>
      <c r="F84" s="14"/>
      <c r="G84" s="38" t="s">
        <v>35</v>
      </c>
      <c r="H84" s="14"/>
      <c r="I84" s="39" t="s">
        <v>36</v>
      </c>
      <c r="J84" s="14"/>
      <c r="K84" s="11"/>
    </row>
    <row r="85" spans="1:15">
      <c r="B85" s="8"/>
      <c r="C85" s="40" t="s">
        <v>37</v>
      </c>
      <c r="D85" s="14"/>
      <c r="E85" s="14"/>
      <c r="F85" s="14"/>
      <c r="G85" s="5"/>
      <c r="H85" s="14"/>
      <c r="I85" s="41" t="s">
        <v>38</v>
      </c>
      <c r="J85" s="14"/>
      <c r="K85" s="11"/>
    </row>
    <row r="86" spans="1:15">
      <c r="A86" s="5" t="s">
        <v>4</v>
      </c>
      <c r="B86" s="8"/>
      <c r="C86" s="42" t="s">
        <v>39</v>
      </c>
      <c r="D86" s="41" t="s">
        <v>40</v>
      </c>
      <c r="E86" s="43"/>
      <c r="F86" s="41" t="s">
        <v>41</v>
      </c>
      <c r="H86" s="43"/>
      <c r="I86" s="5" t="s">
        <v>42</v>
      </c>
      <c r="J86" s="14"/>
      <c r="K86" s="11"/>
    </row>
    <row r="87" spans="1:15" ht="16.5" thickBot="1">
      <c r="A87" s="16" t="s">
        <v>6</v>
      </c>
      <c r="B87" s="44" t="s">
        <v>43</v>
      </c>
      <c r="C87" s="14"/>
      <c r="D87" s="14"/>
      <c r="E87" s="14"/>
      <c r="F87" s="14"/>
      <c r="G87" s="14"/>
      <c r="H87" s="14"/>
      <c r="I87" s="14"/>
      <c r="J87" s="14"/>
      <c r="K87" s="18"/>
    </row>
    <row r="88" spans="1:15">
      <c r="A88" s="5"/>
      <c r="B88" s="311" t="s">
        <v>550</v>
      </c>
      <c r="C88" s="14"/>
      <c r="D88" s="14"/>
      <c r="E88" s="14"/>
      <c r="F88" s="14"/>
      <c r="G88" s="14"/>
      <c r="H88" s="14"/>
      <c r="I88" s="14"/>
      <c r="J88" s="14"/>
      <c r="K88" s="18"/>
    </row>
    <row r="89" spans="1:15">
      <c r="A89" s="5">
        <v>1</v>
      </c>
      <c r="B89" s="8" t="s">
        <v>44</v>
      </c>
      <c r="C89" s="18" t="s">
        <v>209</v>
      </c>
      <c r="D89" s="22">
        <f>'Plant Balance'!D23</f>
        <v>8568825230.7692308</v>
      </c>
      <c r="E89" s="14"/>
      <c r="F89" s="14" t="s">
        <v>45</v>
      </c>
      <c r="G89" s="45" t="s">
        <v>2</v>
      </c>
      <c r="H89" s="14"/>
      <c r="I89" s="14" t="s">
        <v>2</v>
      </c>
      <c r="J89" s="14"/>
      <c r="K89" s="18"/>
    </row>
    <row r="90" spans="1:15">
      <c r="A90" s="5">
        <v>2</v>
      </c>
      <c r="B90" s="8" t="s">
        <v>46</v>
      </c>
      <c r="C90" s="18" t="s">
        <v>202</v>
      </c>
      <c r="D90" s="22">
        <f>'Plant Balance'!E23</f>
        <v>1092298448.9230769</v>
      </c>
      <c r="E90" s="14"/>
      <c r="F90" s="14" t="s">
        <v>11</v>
      </c>
      <c r="G90" s="45">
        <f>I238</f>
        <v>1</v>
      </c>
      <c r="H90" s="14"/>
      <c r="I90" s="14">
        <f>+G90*D90</f>
        <v>1092298448.9230769</v>
      </c>
      <c r="J90" s="14"/>
      <c r="K90" s="18"/>
      <c r="M90" s="10"/>
      <c r="N90" s="10"/>
      <c r="O90" s="10"/>
    </row>
    <row r="91" spans="1:15">
      <c r="A91" s="5">
        <v>3</v>
      </c>
      <c r="B91" s="8" t="s">
        <v>47</v>
      </c>
      <c r="C91" s="18" t="s">
        <v>203</v>
      </c>
      <c r="D91" s="22">
        <f>'Plant Balance'!F23</f>
        <v>2925190556.1538463</v>
      </c>
      <c r="E91" s="14"/>
      <c r="F91" s="14" t="s">
        <v>45</v>
      </c>
      <c r="G91" s="45" t="s">
        <v>2</v>
      </c>
      <c r="H91" s="14"/>
      <c r="I91" s="14" t="s">
        <v>2</v>
      </c>
      <c r="J91" s="14"/>
      <c r="K91" s="18"/>
    </row>
    <row r="92" spans="1:15">
      <c r="A92" s="5">
        <v>4</v>
      </c>
      <c r="B92" s="8" t="s">
        <v>48</v>
      </c>
      <c r="C92" s="18" t="s">
        <v>210</v>
      </c>
      <c r="D92" s="22">
        <f>'Plant Balance'!G23</f>
        <v>480223555</v>
      </c>
      <c r="E92" s="14"/>
      <c r="F92" s="14" t="s">
        <v>49</v>
      </c>
      <c r="G92" s="45">
        <f>I255</f>
        <v>6.3416097668112417E-2</v>
      </c>
      <c r="H92" s="14"/>
      <c r="I92" s="14">
        <f>+G92*D92</f>
        <v>30453903.866408154</v>
      </c>
      <c r="J92" s="14"/>
      <c r="K92" s="18"/>
    </row>
    <row r="93" spans="1:15" ht="16.5" thickBot="1">
      <c r="A93" s="5">
        <v>5</v>
      </c>
      <c r="B93" s="8" t="s">
        <v>50</v>
      </c>
      <c r="C93" s="18" t="s">
        <v>51</v>
      </c>
      <c r="D93" s="46">
        <v>0</v>
      </c>
      <c r="E93" s="14"/>
      <c r="F93" s="14" t="s">
        <v>94</v>
      </c>
      <c r="G93" s="45">
        <f>K259</f>
        <v>5.7858834233740865E-2</v>
      </c>
      <c r="H93" s="14"/>
      <c r="I93" s="23">
        <f>+G93*D93</f>
        <v>0</v>
      </c>
      <c r="J93" s="14"/>
      <c r="K93" s="18"/>
    </row>
    <row r="94" spans="1:15">
      <c r="A94" s="5">
        <v>6</v>
      </c>
      <c r="B94" s="2" t="s">
        <v>259</v>
      </c>
      <c r="C94" s="18"/>
      <c r="D94" s="14">
        <f>SUM(D89:D93)</f>
        <v>13066537790.846155</v>
      </c>
      <c r="E94" s="14"/>
      <c r="F94" s="14" t="s">
        <v>52</v>
      </c>
      <c r="G94" s="47">
        <f>IF(I94&gt;0,I94/D94,0)</f>
        <v>8.5925772439585046E-2</v>
      </c>
      <c r="H94" s="14"/>
      <c r="I94" s="14">
        <f>SUM(I89:I93)</f>
        <v>1122752352.789485</v>
      </c>
      <c r="J94" s="14"/>
      <c r="K94" s="48"/>
    </row>
    <row r="95" spans="1:15">
      <c r="B95" s="8"/>
      <c r="C95" s="18"/>
      <c r="D95" s="14"/>
      <c r="E95" s="14"/>
      <c r="F95" s="14"/>
      <c r="G95" s="47"/>
      <c r="H95" s="14"/>
      <c r="I95" s="14"/>
      <c r="J95" s="14"/>
      <c r="K95" s="48"/>
    </row>
    <row r="96" spans="1:15">
      <c r="B96" s="311" t="s">
        <v>551</v>
      </c>
      <c r="C96" s="18"/>
      <c r="D96" s="14"/>
      <c r="E96" s="14"/>
      <c r="F96" s="14"/>
      <c r="G96" s="14"/>
      <c r="H96" s="14"/>
      <c r="I96" s="14"/>
      <c r="J96" s="14"/>
      <c r="K96" s="18"/>
    </row>
    <row r="97" spans="1:11">
      <c r="A97" s="5">
        <v>7</v>
      </c>
      <c r="B97" s="8" t="str">
        <f>+B89</f>
        <v xml:space="preserve">  Production</v>
      </c>
      <c r="C97" s="18" t="s">
        <v>189</v>
      </c>
      <c r="D97" s="22">
        <f>'Accum Depr'!D23</f>
        <v>3153979058.6153846</v>
      </c>
      <c r="E97" s="14"/>
      <c r="F97" s="14" t="str">
        <f>+F89</f>
        <v>NA</v>
      </c>
      <c r="G97" s="45" t="str">
        <f>+G89</f>
        <v xml:space="preserve"> </v>
      </c>
      <c r="H97" s="14"/>
      <c r="I97" s="14" t="s">
        <v>2</v>
      </c>
      <c r="J97" s="14"/>
      <c r="K97" s="18"/>
    </row>
    <row r="98" spans="1:11">
      <c r="A98" s="5">
        <v>8</v>
      </c>
      <c r="B98" s="8" t="str">
        <f>+B90</f>
        <v xml:space="preserve">  Transmission</v>
      </c>
      <c r="C98" s="18" t="s">
        <v>190</v>
      </c>
      <c r="D98" s="22">
        <f>'Accum Depr'!E23</f>
        <v>430778575.30769229</v>
      </c>
      <c r="E98" s="14"/>
      <c r="F98" s="14" t="str">
        <f t="shared" ref="F98:G101" si="1">+F90</f>
        <v>TP</v>
      </c>
      <c r="G98" s="45">
        <f t="shared" si="1"/>
        <v>1</v>
      </c>
      <c r="H98" s="14"/>
      <c r="I98" s="14">
        <f>+G98*D98</f>
        <v>430778575.30769229</v>
      </c>
      <c r="J98" s="14"/>
      <c r="K98" s="18"/>
    </row>
    <row r="99" spans="1:11">
      <c r="A99" s="5">
        <v>9</v>
      </c>
      <c r="B99" s="8" t="str">
        <f>+B91</f>
        <v xml:space="preserve">  Distribution</v>
      </c>
      <c r="C99" s="18" t="s">
        <v>191</v>
      </c>
      <c r="D99" s="22">
        <f>'Accum Depr'!F23</f>
        <v>1321380132.2307692</v>
      </c>
      <c r="E99" s="14"/>
      <c r="F99" s="14" t="str">
        <f t="shared" si="1"/>
        <v>NA</v>
      </c>
      <c r="G99" s="45" t="str">
        <f t="shared" si="1"/>
        <v xml:space="preserve"> </v>
      </c>
      <c r="H99" s="14"/>
      <c r="I99" s="14" t="s">
        <v>2</v>
      </c>
      <c r="J99" s="14"/>
      <c r="K99" s="18"/>
    </row>
    <row r="100" spans="1:11">
      <c r="A100" s="5">
        <v>10</v>
      </c>
      <c r="B100" s="8" t="str">
        <f>+B92</f>
        <v xml:space="preserve">  General &amp; Intangible</v>
      </c>
      <c r="C100" s="18" t="s">
        <v>538</v>
      </c>
      <c r="D100" s="22">
        <f>'Accum Depr'!G23</f>
        <v>309123844</v>
      </c>
      <c r="E100" s="14"/>
      <c r="F100" s="14" t="str">
        <f t="shared" si="1"/>
        <v>W/S</v>
      </c>
      <c r="G100" s="45">
        <f t="shared" si="1"/>
        <v>6.3416097668112417E-2</v>
      </c>
      <c r="H100" s="14"/>
      <c r="I100" s="14">
        <f>+G100*D100</f>
        <v>19603427.882646348</v>
      </c>
      <c r="J100" s="14"/>
      <c r="K100" s="18"/>
    </row>
    <row r="101" spans="1:11" ht="16.5" thickBot="1">
      <c r="A101" s="5">
        <v>11</v>
      </c>
      <c r="B101" s="8" t="str">
        <f>+B93</f>
        <v xml:space="preserve">  Common</v>
      </c>
      <c r="C101" s="18" t="s">
        <v>51</v>
      </c>
      <c r="D101" s="46">
        <v>0</v>
      </c>
      <c r="E101" s="14"/>
      <c r="F101" s="14" t="str">
        <f t="shared" si="1"/>
        <v>CE</v>
      </c>
      <c r="G101" s="45">
        <f t="shared" si="1"/>
        <v>5.7858834233740865E-2</v>
      </c>
      <c r="H101" s="14"/>
      <c r="I101" s="23">
        <f>+G101*D101</f>
        <v>0</v>
      </c>
      <c r="J101" s="14"/>
      <c r="K101" s="18"/>
    </row>
    <row r="102" spans="1:11">
      <c r="A102" s="5">
        <v>12</v>
      </c>
      <c r="B102" s="8" t="s">
        <v>260</v>
      </c>
      <c r="C102" s="14"/>
      <c r="D102" s="14">
        <f>SUM(D97:D101)</f>
        <v>5215261610.1538458</v>
      </c>
      <c r="E102" s="14"/>
      <c r="F102" s="14"/>
      <c r="G102" s="14"/>
      <c r="H102" s="14"/>
      <c r="I102" s="14">
        <f>SUM(I97:I101)</f>
        <v>450382003.19033861</v>
      </c>
      <c r="J102" s="14"/>
      <c r="K102" s="18"/>
    </row>
    <row r="103" spans="1:11">
      <c r="A103" s="5"/>
      <c r="C103" s="14" t="s">
        <v>2</v>
      </c>
      <c r="E103" s="14"/>
      <c r="F103" s="14"/>
      <c r="G103" s="47"/>
      <c r="H103" s="14"/>
      <c r="J103" s="14"/>
      <c r="K103" s="48"/>
    </row>
    <row r="104" spans="1:11">
      <c r="A104" s="5"/>
      <c r="B104" s="311" t="s">
        <v>552</v>
      </c>
      <c r="C104" s="14"/>
      <c r="D104" s="14"/>
      <c r="E104" s="14"/>
      <c r="F104" s="14"/>
      <c r="G104" s="14"/>
      <c r="H104" s="14"/>
      <c r="I104" s="14"/>
      <c r="J104" s="14"/>
      <c r="K104" s="18"/>
    </row>
    <row r="105" spans="1:11">
      <c r="A105" s="5">
        <v>13</v>
      </c>
      <c r="B105" s="8" t="str">
        <f>+B97</f>
        <v xml:space="preserve">  Production</v>
      </c>
      <c r="C105" s="14" t="s">
        <v>231</v>
      </c>
      <c r="D105" s="14">
        <f>D89-D97</f>
        <v>5414846172.1538467</v>
      </c>
      <c r="E105" s="14"/>
      <c r="F105" s="14"/>
      <c r="G105" s="47"/>
      <c r="H105" s="14"/>
      <c r="I105" s="14" t="s">
        <v>2</v>
      </c>
      <c r="J105" s="14"/>
      <c r="K105" s="48"/>
    </row>
    <row r="106" spans="1:11">
      <c r="A106" s="5">
        <v>14</v>
      </c>
      <c r="B106" s="8" t="str">
        <f>+B98</f>
        <v xml:space="preserve">  Transmission</v>
      </c>
      <c r="C106" s="14" t="s">
        <v>232</v>
      </c>
      <c r="D106" s="14">
        <f>D90-D98</f>
        <v>661519873.61538458</v>
      </c>
      <c r="E106" s="14"/>
      <c r="F106" s="14"/>
      <c r="G106" s="45"/>
      <c r="H106" s="14"/>
      <c r="I106" s="14">
        <f>I90-I98</f>
        <v>661519873.61538458</v>
      </c>
      <c r="J106" s="14"/>
      <c r="K106" s="48"/>
    </row>
    <row r="107" spans="1:11">
      <c r="A107" s="5">
        <v>15</v>
      </c>
      <c r="B107" s="8" t="str">
        <f>+B99</f>
        <v xml:space="preserve">  Distribution</v>
      </c>
      <c r="C107" s="14" t="s">
        <v>233</v>
      </c>
      <c r="D107" s="14">
        <f>D91-D99</f>
        <v>1603810423.9230771</v>
      </c>
      <c r="E107" s="14"/>
      <c r="F107" s="14"/>
      <c r="G107" s="47"/>
      <c r="H107" s="14"/>
      <c r="I107" s="14" t="s">
        <v>2</v>
      </c>
      <c r="J107" s="14"/>
      <c r="K107" s="48"/>
    </row>
    <row r="108" spans="1:11">
      <c r="A108" s="5">
        <v>16</v>
      </c>
      <c r="B108" s="8" t="str">
        <f>+B100</f>
        <v xml:space="preserve">  General &amp; Intangible</v>
      </c>
      <c r="C108" s="14" t="s">
        <v>234</v>
      </c>
      <c r="D108" s="14">
        <f>D92-D100</f>
        <v>171099711</v>
      </c>
      <c r="E108" s="14"/>
      <c r="F108" s="14"/>
      <c r="G108" s="47"/>
      <c r="H108" s="14"/>
      <c r="I108" s="14">
        <f>I92-I100</f>
        <v>10850475.983761806</v>
      </c>
      <c r="J108" s="14"/>
      <c r="K108" s="48"/>
    </row>
    <row r="109" spans="1:11" ht="16.5" thickBot="1">
      <c r="A109" s="5">
        <v>17</v>
      </c>
      <c r="B109" s="8" t="str">
        <f>+B101</f>
        <v xml:space="preserve">  Common</v>
      </c>
      <c r="C109" s="14" t="s">
        <v>235</v>
      </c>
      <c r="D109" s="23">
        <f>D93-D101</f>
        <v>0</v>
      </c>
      <c r="E109" s="14"/>
      <c r="F109" s="14"/>
      <c r="G109" s="47"/>
      <c r="H109" s="14"/>
      <c r="I109" s="23">
        <f>I93-I101</f>
        <v>0</v>
      </c>
      <c r="J109" s="14"/>
      <c r="K109" s="48"/>
    </row>
    <row r="110" spans="1:11">
      <c r="A110" s="5">
        <v>18</v>
      </c>
      <c r="B110" s="8" t="s">
        <v>258</v>
      </c>
      <c r="C110" s="14"/>
      <c r="D110" s="14">
        <f>SUM(D105:D109)</f>
        <v>7851276180.6923084</v>
      </c>
      <c r="E110" s="14"/>
      <c r="F110" s="14" t="s">
        <v>53</v>
      </c>
      <c r="G110" s="47">
        <f>IF(I110&gt;0,I110/D110,0)</f>
        <v>8.5638351539922289E-2</v>
      </c>
      <c r="H110" s="14"/>
      <c r="I110" s="14">
        <f>SUM(I105:I109)</f>
        <v>672370349.59914637</v>
      </c>
      <c r="J110" s="14"/>
      <c r="K110" s="18"/>
    </row>
    <row r="111" spans="1:11">
      <c r="A111" s="5"/>
      <c r="B111" s="206"/>
      <c r="C111" s="14"/>
      <c r="D111" s="14"/>
      <c r="E111" s="14"/>
      <c r="F111" s="14"/>
      <c r="G111" s="47"/>
      <c r="H111" s="14"/>
      <c r="I111" s="14"/>
      <c r="J111" s="14"/>
      <c r="K111" s="18"/>
    </row>
    <row r="112" spans="1:11">
      <c r="A112" s="5" t="s">
        <v>417</v>
      </c>
      <c r="B112" s="311" t="s">
        <v>553</v>
      </c>
      <c r="C112" s="14" t="s">
        <v>416</v>
      </c>
      <c r="D112" s="285">
        <f>CWIP!E23</f>
        <v>77206529.561538473</v>
      </c>
      <c r="E112" s="14"/>
      <c r="F112" s="14" t="s">
        <v>11</v>
      </c>
      <c r="G112" s="207">
        <v>1</v>
      </c>
      <c r="H112" s="14"/>
      <c r="I112" s="14">
        <f>D112*G112</f>
        <v>77206529.561538473</v>
      </c>
      <c r="J112" s="14"/>
      <c r="K112" s="18"/>
    </row>
    <row r="113" spans="1:11">
      <c r="A113" s="5"/>
      <c r="C113" s="14"/>
      <c r="E113" s="14"/>
      <c r="H113" s="14"/>
      <c r="J113" s="14"/>
      <c r="K113" s="48"/>
    </row>
    <row r="114" spans="1:11">
      <c r="A114" s="5"/>
      <c r="B114" s="2" t="s">
        <v>236</v>
      </c>
      <c r="C114" s="14"/>
      <c r="D114" s="14"/>
      <c r="E114" s="14"/>
      <c r="F114" s="14"/>
      <c r="G114" s="14"/>
      <c r="H114" s="14"/>
      <c r="I114" s="14"/>
      <c r="J114" s="14"/>
      <c r="K114" s="18"/>
    </row>
    <row r="115" spans="1:11">
      <c r="A115" s="5">
        <v>19</v>
      </c>
      <c r="B115" s="316" t="s">
        <v>564</v>
      </c>
      <c r="C115" s="14" t="s">
        <v>559</v>
      </c>
      <c r="D115" s="22">
        <f>'ADIT less FAS 109'!C16</f>
        <v>-40990016.5</v>
      </c>
      <c r="E115" s="18"/>
      <c r="F115" s="18" t="str">
        <f>+F97</f>
        <v>NA</v>
      </c>
      <c r="G115" s="49" t="s">
        <v>182</v>
      </c>
      <c r="H115" s="14"/>
      <c r="I115" s="14">
        <v>0</v>
      </c>
      <c r="J115" s="14"/>
      <c r="K115" s="48"/>
    </row>
    <row r="116" spans="1:11">
      <c r="A116" s="5">
        <v>20</v>
      </c>
      <c r="B116" s="316" t="s">
        <v>565</v>
      </c>
      <c r="C116" s="14" t="s">
        <v>560</v>
      </c>
      <c r="D116" s="22">
        <f>'ADIT less FAS 109'!D16</f>
        <v>-1549549276.5</v>
      </c>
      <c r="E116" s="14"/>
      <c r="F116" s="14" t="s">
        <v>54</v>
      </c>
      <c r="G116" s="45">
        <f>+G110</f>
        <v>8.5638351539922289E-2</v>
      </c>
      <c r="H116" s="14"/>
      <c r="I116" s="14">
        <f t="shared" ref="I116:I121" si="2">D116*G116</f>
        <v>-132700845.66933924</v>
      </c>
      <c r="J116" s="14"/>
      <c r="K116" s="48"/>
    </row>
    <row r="117" spans="1:11">
      <c r="A117" s="5">
        <v>21</v>
      </c>
      <c r="B117" s="316" t="s">
        <v>566</v>
      </c>
      <c r="C117" s="14" t="s">
        <v>561</v>
      </c>
      <c r="D117" s="50">
        <f>'ADIT less FAS 109'!E16</f>
        <v>-138419414.5</v>
      </c>
      <c r="E117" s="14"/>
      <c r="F117" s="14" t="s">
        <v>54</v>
      </c>
      <c r="G117" s="45">
        <f>+G116</f>
        <v>8.5638351539922289E-2</v>
      </c>
      <c r="H117" s="14"/>
      <c r="I117" s="14">
        <f t="shared" si="2"/>
        <v>-11854010.478901217</v>
      </c>
      <c r="J117" s="14"/>
      <c r="K117" s="48"/>
    </row>
    <row r="118" spans="1:11">
      <c r="A118" s="5">
        <v>22</v>
      </c>
      <c r="B118" s="316" t="s">
        <v>567</v>
      </c>
      <c r="C118" s="14" t="s">
        <v>562</v>
      </c>
      <c r="D118" s="50">
        <f>'ADIT less FAS 109'!F16</f>
        <v>171700985</v>
      </c>
      <c r="E118" s="14"/>
      <c r="F118" s="14" t="str">
        <f>+F117</f>
        <v>NP</v>
      </c>
      <c r="G118" s="45">
        <f>+G117</f>
        <v>8.5638351539922289E-2</v>
      </c>
      <c r="H118" s="14"/>
      <c r="I118" s="14">
        <f t="shared" si="2"/>
        <v>14704189.313180923</v>
      </c>
      <c r="J118" s="14"/>
      <c r="K118" s="48"/>
    </row>
    <row r="119" spans="1:11">
      <c r="A119" s="5">
        <v>23</v>
      </c>
      <c r="B119" s="1" t="s">
        <v>568</v>
      </c>
      <c r="C119" s="1" t="s">
        <v>563</v>
      </c>
      <c r="D119" s="50">
        <v>0</v>
      </c>
      <c r="E119" s="14"/>
      <c r="F119" s="14" t="s">
        <v>54</v>
      </c>
      <c r="G119" s="45">
        <f>+G117</f>
        <v>8.5638351539922289E-2</v>
      </c>
      <c r="H119" s="14"/>
      <c r="I119" s="53">
        <f t="shared" si="2"/>
        <v>0</v>
      </c>
      <c r="J119" s="14"/>
      <c r="K119" s="48"/>
    </row>
    <row r="120" spans="1:11">
      <c r="A120" s="5" t="s">
        <v>419</v>
      </c>
      <c r="B120" s="1" t="s">
        <v>448</v>
      </c>
      <c r="C120" s="1" t="s">
        <v>554</v>
      </c>
      <c r="D120" s="50">
        <f>'AFUDC on CWIP'!E23</f>
        <v>0</v>
      </c>
      <c r="E120" s="14"/>
      <c r="F120" s="14" t="s">
        <v>11</v>
      </c>
      <c r="G120" s="45">
        <v>1</v>
      </c>
      <c r="H120" s="14"/>
      <c r="I120" s="53">
        <f t="shared" si="2"/>
        <v>0</v>
      </c>
      <c r="J120" s="14"/>
      <c r="K120" s="48"/>
    </row>
    <row r="121" spans="1:11" ht="16.5" thickBot="1">
      <c r="A121" s="5" t="s">
        <v>420</v>
      </c>
      <c r="B121" s="1" t="s">
        <v>418</v>
      </c>
      <c r="C121" s="1" t="s">
        <v>554</v>
      </c>
      <c r="D121" s="46">
        <v>0</v>
      </c>
      <c r="E121" s="14"/>
      <c r="F121" s="14" t="s">
        <v>11</v>
      </c>
      <c r="G121" s="45">
        <v>1</v>
      </c>
      <c r="H121" s="14"/>
      <c r="I121" s="23">
        <f t="shared" si="2"/>
        <v>0</v>
      </c>
      <c r="J121" s="14"/>
      <c r="K121" s="48"/>
    </row>
    <row r="122" spans="1:11">
      <c r="A122" s="5">
        <v>24</v>
      </c>
      <c r="B122" s="316" t="s">
        <v>576</v>
      </c>
      <c r="C122" s="14"/>
      <c r="D122" s="14">
        <f>SUM(D115:D121)</f>
        <v>-1557257722.5</v>
      </c>
      <c r="E122" s="14"/>
      <c r="F122" s="14"/>
      <c r="G122" s="14"/>
      <c r="H122" s="14"/>
      <c r="I122" s="14">
        <f>SUM(I115:I121)</f>
        <v>-129850666.83505952</v>
      </c>
      <c r="J122" s="14"/>
      <c r="K122" s="18"/>
    </row>
    <row r="123" spans="1:11">
      <c r="A123" s="5"/>
      <c r="C123" s="14"/>
      <c r="E123" s="14"/>
      <c r="F123" s="14"/>
      <c r="G123" s="47"/>
      <c r="H123" s="14"/>
      <c r="J123" s="14"/>
      <c r="K123" s="48"/>
    </row>
    <row r="124" spans="1:11">
      <c r="A124" s="5">
        <v>25</v>
      </c>
      <c r="B124" s="2" t="s">
        <v>55</v>
      </c>
      <c r="C124" s="18" t="s">
        <v>56</v>
      </c>
      <c r="D124" s="22">
        <v>0</v>
      </c>
      <c r="E124" s="14"/>
      <c r="F124" s="14" t="str">
        <f>+F98</f>
        <v>TP</v>
      </c>
      <c r="G124" s="45">
        <f>+G98</f>
        <v>1</v>
      </c>
      <c r="H124" s="14"/>
      <c r="I124" s="14">
        <f>+G124*D124</f>
        <v>0</v>
      </c>
      <c r="J124" s="14"/>
      <c r="K124" s="18"/>
    </row>
    <row r="125" spans="1:11">
      <c r="A125" s="5"/>
      <c r="B125" s="8"/>
      <c r="C125" s="14"/>
      <c r="D125" s="14"/>
      <c r="E125" s="14"/>
      <c r="F125" s="14"/>
      <c r="G125" s="14"/>
      <c r="H125" s="14"/>
      <c r="I125" s="14"/>
      <c r="J125" s="14"/>
      <c r="K125" s="18"/>
    </row>
    <row r="126" spans="1:11">
      <c r="A126" s="5"/>
      <c r="B126" s="8" t="s">
        <v>173</v>
      </c>
      <c r="C126" s="14" t="s">
        <v>2</v>
      </c>
      <c r="D126" s="14"/>
      <c r="E126" s="14"/>
      <c r="F126" s="14"/>
      <c r="G126" s="14"/>
      <c r="H126" s="14"/>
      <c r="I126" s="14"/>
      <c r="J126" s="14"/>
      <c r="K126" s="18"/>
    </row>
    <row r="127" spans="1:11">
      <c r="A127" s="5">
        <v>26</v>
      </c>
      <c r="B127" s="8" t="s">
        <v>174</v>
      </c>
      <c r="C127" s="1" t="s">
        <v>170</v>
      </c>
      <c r="D127" s="14">
        <f>+D171/8</f>
        <v>13552334.5</v>
      </c>
      <c r="E127" s="14"/>
      <c r="F127" s="14"/>
      <c r="G127" s="47"/>
      <c r="H127" s="14"/>
      <c r="I127" s="14">
        <f>+I171/8</f>
        <v>4018497.3460177807</v>
      </c>
      <c r="J127" s="9"/>
      <c r="K127" s="48"/>
    </row>
    <row r="128" spans="1:11">
      <c r="A128" s="5">
        <v>27</v>
      </c>
      <c r="B128" s="311" t="s">
        <v>555</v>
      </c>
      <c r="C128" s="14" t="s">
        <v>218</v>
      </c>
      <c r="D128" s="22">
        <f>'Inv Bal'!D24</f>
        <v>7111395.230769231</v>
      </c>
      <c r="E128" s="14"/>
      <c r="F128" s="14" t="s">
        <v>57</v>
      </c>
      <c r="G128" s="45">
        <f>I247</f>
        <v>0.9741550710178235</v>
      </c>
      <c r="H128" s="14"/>
      <c r="I128" s="14">
        <f>+G128*D128</f>
        <v>6927601.7260658117</v>
      </c>
      <c r="J128" s="14" t="s">
        <v>2</v>
      </c>
      <c r="K128" s="48"/>
    </row>
    <row r="129" spans="1:11" ht="16.5" thickBot="1">
      <c r="A129" s="5">
        <v>28</v>
      </c>
      <c r="B129" s="311" t="s">
        <v>556</v>
      </c>
      <c r="C129" s="14" t="s">
        <v>201</v>
      </c>
      <c r="D129" s="46">
        <f>Prepay!D25</f>
        <v>21060989.384615384</v>
      </c>
      <c r="E129" s="14"/>
      <c r="F129" s="14" t="s">
        <v>58</v>
      </c>
      <c r="G129" s="45">
        <f>+G94</f>
        <v>8.5925772439585046E-2</v>
      </c>
      <c r="H129" s="14"/>
      <c r="I129" s="23">
        <f>+G129*D129</f>
        <v>1809681.7812149778</v>
      </c>
      <c r="J129" s="14"/>
      <c r="K129" s="48"/>
    </row>
    <row r="130" spans="1:11">
      <c r="A130" s="5">
        <v>29</v>
      </c>
      <c r="B130" s="8" t="s">
        <v>257</v>
      </c>
      <c r="C130" s="9"/>
      <c r="D130" s="14">
        <f>D127+D128+D129</f>
        <v>41724719.115384616</v>
      </c>
      <c r="E130" s="9"/>
      <c r="F130" s="9"/>
      <c r="G130" s="9"/>
      <c r="H130" s="9"/>
      <c r="I130" s="14">
        <f>I127+I128+I129</f>
        <v>12755780.853298571</v>
      </c>
      <c r="J130" s="9"/>
      <c r="K130" s="12"/>
    </row>
    <row r="131" spans="1:11" ht="16.5" thickBot="1">
      <c r="C131" s="14"/>
      <c r="D131" s="51"/>
      <c r="E131" s="14"/>
      <c r="F131" s="14"/>
      <c r="G131" s="14"/>
      <c r="H131" s="14"/>
      <c r="I131" s="51"/>
      <c r="J131" s="14"/>
      <c r="K131" s="18"/>
    </row>
    <row r="132" spans="1:11" ht="16.5" thickBot="1">
      <c r="A132" s="5">
        <v>30</v>
      </c>
      <c r="B132" s="316" t="s">
        <v>577</v>
      </c>
      <c r="C132" s="14"/>
      <c r="D132" s="52">
        <f>+D130+D124+D122+D112+D110</f>
        <v>6412949706.8692312</v>
      </c>
      <c r="E132" s="14"/>
      <c r="F132" s="14"/>
      <c r="G132" s="47"/>
      <c r="H132" s="14"/>
      <c r="I132" s="52">
        <f>+I130+I124+I122+I112+I110</f>
        <v>632481993.17892385</v>
      </c>
      <c r="J132" s="14"/>
      <c r="K132" s="48"/>
    </row>
    <row r="133" spans="1:11" ht="16.5" thickTop="1">
      <c r="A133" s="5"/>
      <c r="B133" s="8"/>
      <c r="C133" s="14"/>
      <c r="D133" s="53"/>
      <c r="E133" s="14"/>
      <c r="F133" s="14"/>
      <c r="G133" s="47"/>
      <c r="H133" s="14"/>
      <c r="I133" s="53"/>
      <c r="J133" s="14"/>
      <c r="K133" s="48"/>
    </row>
    <row r="134" spans="1:11">
      <c r="A134" s="5"/>
      <c r="B134" s="8"/>
      <c r="C134" s="14"/>
      <c r="D134" s="53"/>
      <c r="E134" s="14"/>
      <c r="F134" s="14"/>
      <c r="G134" s="47"/>
      <c r="H134" s="14"/>
      <c r="I134" s="53"/>
      <c r="J134" s="14"/>
      <c r="K134" s="48"/>
    </row>
    <row r="135" spans="1:11">
      <c r="A135" s="5"/>
      <c r="B135" s="8"/>
      <c r="C135" s="14"/>
      <c r="D135" s="53"/>
      <c r="E135" s="14"/>
      <c r="F135" s="14"/>
      <c r="G135" s="47"/>
      <c r="H135" s="14"/>
      <c r="I135" s="53"/>
      <c r="J135" s="14"/>
      <c r="K135" s="48"/>
    </row>
    <row r="136" spans="1:11">
      <c r="A136" s="5"/>
      <c r="B136" s="8"/>
      <c r="C136" s="14"/>
      <c r="D136" s="53"/>
      <c r="E136" s="14"/>
      <c r="F136" s="14"/>
      <c r="G136" s="47"/>
      <c r="H136" s="14"/>
      <c r="I136" s="53"/>
      <c r="J136" s="14"/>
      <c r="K136" s="48"/>
    </row>
    <row r="137" spans="1:11">
      <c r="A137" s="5"/>
      <c r="B137" s="8"/>
      <c r="C137" s="14"/>
      <c r="D137" s="53"/>
      <c r="E137" s="14"/>
      <c r="F137" s="14"/>
      <c r="G137" s="47"/>
      <c r="H137" s="14"/>
      <c r="I137" s="53"/>
      <c r="J137" s="14"/>
      <c r="K137" s="48"/>
    </row>
    <row r="138" spans="1:11">
      <c r="A138" s="5"/>
      <c r="B138" s="8"/>
      <c r="C138" s="14"/>
      <c r="D138" s="53"/>
      <c r="E138" s="14"/>
      <c r="F138" s="14"/>
      <c r="G138" s="47"/>
      <c r="H138" s="14"/>
      <c r="I138" s="53"/>
      <c r="J138" s="14"/>
      <c r="K138" s="48"/>
    </row>
    <row r="139" spans="1:11">
      <c r="A139" s="5"/>
      <c r="B139" s="8"/>
      <c r="C139" s="14"/>
      <c r="D139" s="53"/>
      <c r="E139" s="14"/>
      <c r="F139" s="14"/>
      <c r="G139" s="47"/>
      <c r="H139" s="14"/>
      <c r="I139" s="53"/>
      <c r="J139" s="14"/>
      <c r="K139" s="48"/>
    </row>
    <row r="140" spans="1:11">
      <c r="A140" s="5"/>
      <c r="B140" s="8"/>
      <c r="C140" s="14"/>
      <c r="D140" s="53"/>
      <c r="E140" s="14"/>
      <c r="F140" s="14"/>
      <c r="G140" s="47"/>
      <c r="H140" s="14"/>
      <c r="I140" s="53"/>
      <c r="J140" s="14"/>
      <c r="K140" s="48"/>
    </row>
    <row r="141" spans="1:11">
      <c r="A141" s="5"/>
      <c r="B141" s="8"/>
      <c r="C141" s="14"/>
      <c r="D141" s="53"/>
      <c r="E141" s="14"/>
      <c r="F141" s="14"/>
      <c r="G141" s="47"/>
      <c r="H141" s="14"/>
      <c r="I141" s="53"/>
      <c r="J141" s="14"/>
      <c r="K141" s="48"/>
    </row>
    <row r="142" spans="1:11">
      <c r="A142" s="5"/>
      <c r="B142" s="8"/>
      <c r="C142" s="14"/>
      <c r="D142" s="53"/>
      <c r="E142" s="14"/>
      <c r="F142" s="14"/>
      <c r="G142" s="47"/>
      <c r="H142" s="14"/>
      <c r="I142" s="53"/>
      <c r="J142" s="14"/>
      <c r="K142" s="48"/>
    </row>
    <row r="143" spans="1:11">
      <c r="A143" s="5"/>
      <c r="B143" s="8"/>
      <c r="C143" s="14"/>
      <c r="D143" s="53"/>
      <c r="E143" s="14"/>
      <c r="F143" s="14"/>
      <c r="G143" s="47"/>
      <c r="H143" s="14"/>
      <c r="I143" s="53"/>
      <c r="J143" s="14"/>
      <c r="K143" s="48"/>
    </row>
    <row r="144" spans="1:11">
      <c r="A144" s="5"/>
      <c r="B144" s="8"/>
      <c r="C144" s="14"/>
      <c r="D144" s="53"/>
      <c r="E144" s="14"/>
      <c r="F144" s="14"/>
      <c r="G144" s="47"/>
      <c r="H144" s="14"/>
      <c r="I144" s="53"/>
      <c r="J144" s="14"/>
      <c r="K144" s="48"/>
    </row>
    <row r="145" spans="1:11">
      <c r="A145" s="449"/>
      <c r="B145" s="449"/>
      <c r="C145" s="449"/>
      <c r="D145" s="53"/>
      <c r="E145" s="14"/>
      <c r="F145" s="14"/>
      <c r="G145" s="47"/>
      <c r="H145" s="14"/>
      <c r="I145" s="438"/>
      <c r="J145" s="438"/>
      <c r="K145" s="438"/>
    </row>
    <row r="146" spans="1:11">
      <c r="A146" s="449"/>
      <c r="B146" s="449"/>
      <c r="C146" s="14"/>
      <c r="D146" s="53"/>
      <c r="E146" s="14"/>
      <c r="F146" s="14"/>
      <c r="G146" s="47"/>
      <c r="H146" s="14"/>
      <c r="I146" s="53"/>
      <c r="J146" s="14"/>
      <c r="K146" s="54"/>
    </row>
    <row r="147" spans="1:11" ht="32.25" customHeight="1">
      <c r="A147" s="442"/>
      <c r="B147" s="442"/>
      <c r="C147" s="442"/>
      <c r="D147" s="442"/>
      <c r="E147" s="442"/>
      <c r="F147" s="442"/>
      <c r="G147" s="442"/>
      <c r="H147" s="442"/>
      <c r="I147" s="442"/>
      <c r="J147" s="442"/>
      <c r="K147" s="442"/>
    </row>
    <row r="148" spans="1:11">
      <c r="B148" s="2"/>
      <c r="C148" s="2"/>
      <c r="D148" s="3"/>
      <c r="E148" s="2"/>
      <c r="F148" s="447"/>
      <c r="G148" s="448"/>
      <c r="H148" s="448"/>
      <c r="I148" s="448"/>
      <c r="J148" s="448"/>
      <c r="K148" s="448"/>
    </row>
    <row r="149" spans="1:11">
      <c r="B149" s="2"/>
      <c r="C149" s="2"/>
      <c r="D149" s="447"/>
      <c r="E149" s="447"/>
      <c r="F149" s="447"/>
      <c r="G149" s="447"/>
      <c r="H149" s="447"/>
      <c r="I149" s="447"/>
      <c r="J149" s="447"/>
      <c r="K149" s="447"/>
    </row>
    <row r="150" spans="1:11">
      <c r="B150" s="2"/>
      <c r="C150" s="2"/>
      <c r="D150" s="3"/>
      <c r="E150" s="2"/>
      <c r="F150" s="2"/>
      <c r="G150" s="2"/>
      <c r="H150" s="4"/>
      <c r="I150" s="7"/>
      <c r="J150" s="7"/>
      <c r="K150" s="6"/>
    </row>
    <row r="151" spans="1:11">
      <c r="B151" s="2"/>
      <c r="C151" s="2"/>
      <c r="D151" s="3"/>
      <c r="E151" s="2"/>
      <c r="F151" s="2"/>
      <c r="G151" s="2"/>
      <c r="H151" s="4"/>
      <c r="I151" s="446" t="s">
        <v>188</v>
      </c>
      <c r="J151" s="446"/>
      <c r="K151" s="446"/>
    </row>
    <row r="152" spans="1:11">
      <c r="B152" s="2"/>
      <c r="C152" s="2"/>
      <c r="D152" s="3"/>
      <c r="E152" s="2"/>
      <c r="F152" s="2"/>
      <c r="G152" s="2"/>
      <c r="H152" s="4"/>
      <c r="I152" s="4"/>
      <c r="J152" s="445" t="s">
        <v>493</v>
      </c>
      <c r="K152" s="445"/>
    </row>
    <row r="153" spans="1:11">
      <c r="B153" s="2"/>
      <c r="C153" s="2"/>
      <c r="D153" s="3"/>
      <c r="E153" s="2"/>
      <c r="F153" s="2"/>
      <c r="G153" s="2"/>
      <c r="H153" s="4"/>
      <c r="I153" s="4"/>
      <c r="J153" s="9"/>
      <c r="K153" s="36"/>
    </row>
    <row r="154" spans="1:11">
      <c r="B154" s="2" t="s">
        <v>0</v>
      </c>
      <c r="C154" s="2"/>
      <c r="D154" s="3" t="s">
        <v>1</v>
      </c>
      <c r="E154" s="2"/>
      <c r="F154" s="2"/>
      <c r="G154" s="2"/>
      <c r="H154" s="4"/>
      <c r="I154" s="4"/>
      <c r="J154" s="9"/>
      <c r="K154" s="36" t="str">
        <f>K7</f>
        <v>Estimated - For the 12 months ended 12/31/14</v>
      </c>
    </row>
    <row r="155" spans="1:11">
      <c r="B155" s="2"/>
      <c r="C155" s="14" t="s">
        <v>2</v>
      </c>
      <c r="D155" s="14" t="s">
        <v>3</v>
      </c>
      <c r="E155" s="14"/>
      <c r="F155" s="14"/>
      <c r="G155" s="14"/>
      <c r="H155" s="4"/>
      <c r="I155" s="4"/>
      <c r="J155" s="9"/>
      <c r="K155" s="12"/>
    </row>
    <row r="156" spans="1:11">
      <c r="B156" s="2"/>
      <c r="C156" s="14"/>
      <c r="D156" s="14"/>
      <c r="E156" s="14"/>
      <c r="F156" s="14"/>
      <c r="G156" s="14"/>
      <c r="H156" s="4"/>
      <c r="I156" s="4"/>
      <c r="J156" s="9"/>
      <c r="K156" s="12"/>
    </row>
    <row r="157" spans="1:11">
      <c r="A157" s="5"/>
      <c r="D157" s="1" t="str">
        <f>D10</f>
        <v>MidAmerican Energy Company</v>
      </c>
      <c r="J157" s="14"/>
      <c r="K157" s="18"/>
    </row>
    <row r="158" spans="1:11">
      <c r="A158" s="5"/>
      <c r="B158" s="37" t="s">
        <v>32</v>
      </c>
      <c r="C158" s="37" t="s">
        <v>33</v>
      </c>
      <c r="D158" s="37" t="s">
        <v>34</v>
      </c>
      <c r="E158" s="14" t="s">
        <v>2</v>
      </c>
      <c r="F158" s="14"/>
      <c r="G158" s="38" t="s">
        <v>35</v>
      </c>
      <c r="H158" s="14"/>
      <c r="I158" s="39" t="s">
        <v>36</v>
      </c>
      <c r="J158" s="14"/>
      <c r="K158" s="18"/>
    </row>
    <row r="159" spans="1:11">
      <c r="A159" s="5" t="s">
        <v>4</v>
      </c>
      <c r="B159" s="8"/>
      <c r="C159" s="40" t="s">
        <v>37</v>
      </c>
      <c r="D159" s="14"/>
      <c r="E159" s="14"/>
      <c r="F159" s="14"/>
      <c r="G159" s="5"/>
      <c r="H159" s="14"/>
      <c r="I159" s="41" t="s">
        <v>38</v>
      </c>
      <c r="J159" s="14"/>
      <c r="K159" s="55"/>
    </row>
    <row r="160" spans="1:11" ht="16.5" thickBot="1">
      <c r="A160" s="16" t="s">
        <v>6</v>
      </c>
      <c r="B160" s="8"/>
      <c r="C160" s="42" t="s">
        <v>39</v>
      </c>
      <c r="D160" s="41" t="s">
        <v>40</v>
      </c>
      <c r="E160" s="43"/>
      <c r="F160" s="41" t="s">
        <v>41</v>
      </c>
      <c r="H160" s="43"/>
      <c r="I160" s="5" t="s">
        <v>42</v>
      </c>
      <c r="J160" s="14"/>
      <c r="K160" s="55"/>
    </row>
    <row r="161" spans="1:15">
      <c r="A161" s="5"/>
      <c r="B161" s="311" t="s">
        <v>539</v>
      </c>
      <c r="C161" s="14"/>
      <c r="D161" s="14"/>
      <c r="E161" s="14"/>
      <c r="F161" s="14"/>
      <c r="G161" s="14"/>
      <c r="H161" s="14"/>
      <c r="I161" s="14"/>
      <c r="J161" s="14"/>
      <c r="K161" s="18"/>
    </row>
    <row r="162" spans="1:15">
      <c r="A162" s="5">
        <v>1</v>
      </c>
      <c r="B162" s="8" t="s">
        <v>59</v>
      </c>
      <c r="C162" s="14" t="s">
        <v>211</v>
      </c>
      <c r="D162" s="22">
        <f>'O&amp;M'!C22</f>
        <v>55404331</v>
      </c>
      <c r="E162" s="14"/>
      <c r="F162" s="14" t="s">
        <v>57</v>
      </c>
      <c r="G162" s="45">
        <f>I247</f>
        <v>0.9741550710178235</v>
      </c>
      <c r="H162" s="14"/>
      <c r="I162" s="14">
        <f>+G162*D162</f>
        <v>53972410</v>
      </c>
      <c r="J162" s="9"/>
      <c r="K162" s="18"/>
    </row>
    <row r="163" spans="1:15">
      <c r="A163" s="114" t="s">
        <v>204</v>
      </c>
      <c r="B163" s="56" t="s">
        <v>238</v>
      </c>
      <c r="C163" s="18"/>
      <c r="D163" s="22">
        <f>'Acct 561'!C15+'Acct 561'!C23</f>
        <v>3897028</v>
      </c>
      <c r="E163" s="14"/>
      <c r="F163" s="116"/>
      <c r="G163" s="45">
        <v>1</v>
      </c>
      <c r="H163" s="14"/>
      <c r="I163" s="14">
        <f>+G163*D163</f>
        <v>3897028</v>
      </c>
      <c r="J163" s="9"/>
      <c r="K163" s="18"/>
    </row>
    <row r="164" spans="1:15">
      <c r="A164" s="5">
        <v>2</v>
      </c>
      <c r="B164" s="8" t="s">
        <v>60</v>
      </c>
      <c r="C164" s="14" t="s">
        <v>212</v>
      </c>
      <c r="D164" s="22">
        <f>'Acct 565'!C13</f>
        <v>23647281</v>
      </c>
      <c r="E164" s="14"/>
      <c r="F164" s="14" t="s">
        <v>57</v>
      </c>
      <c r="G164" s="45">
        <f>+G162</f>
        <v>0.9741550710178235</v>
      </c>
      <c r="H164" s="14"/>
      <c r="I164" s="14">
        <f t="shared" ref="I164:I170" si="3">+G164*D164</f>
        <v>23036118.701933429</v>
      </c>
      <c r="J164" s="9"/>
      <c r="K164" s="18"/>
    </row>
    <row r="165" spans="1:15">
      <c r="A165" s="5">
        <v>3</v>
      </c>
      <c r="B165" s="8" t="s">
        <v>61</v>
      </c>
      <c r="C165" s="14" t="s">
        <v>213</v>
      </c>
      <c r="D165" s="22">
        <f>'A&amp;G'!C22</f>
        <v>82282930</v>
      </c>
      <c r="E165" s="14"/>
      <c r="F165" s="14" t="s">
        <v>49</v>
      </c>
      <c r="G165" s="45">
        <f>+G100</f>
        <v>6.3416097668112417E-2</v>
      </c>
      <c r="H165" s="14"/>
      <c r="I165" s="14">
        <f t="shared" si="3"/>
        <v>5218062.3252984574</v>
      </c>
      <c r="J165" s="14"/>
      <c r="K165" s="18" t="s">
        <v>2</v>
      </c>
    </row>
    <row r="166" spans="1:15">
      <c r="A166" s="5">
        <v>4</v>
      </c>
      <c r="B166" s="8" t="s">
        <v>62</v>
      </c>
      <c r="C166" s="14" t="s">
        <v>384</v>
      </c>
      <c r="D166" s="22">
        <f>'FERC Exp &amp; EPRI'!C10</f>
        <v>1686776</v>
      </c>
      <c r="E166" s="14"/>
      <c r="F166" s="14" t="str">
        <f>+F165</f>
        <v>W/S</v>
      </c>
      <c r="G166" s="45">
        <f>+G165</f>
        <v>6.3416097668112417E-2</v>
      </c>
      <c r="H166" s="14"/>
      <c r="I166" s="14">
        <f t="shared" si="3"/>
        <v>106968.75156022799</v>
      </c>
      <c r="J166" s="14"/>
      <c r="K166" s="18"/>
    </row>
    <row r="167" spans="1:15">
      <c r="A167" s="5">
        <v>5</v>
      </c>
      <c r="B167" s="56" t="s">
        <v>385</v>
      </c>
      <c r="C167" s="18"/>
      <c r="D167" s="22">
        <f>'FERC Exp &amp; EPRI'!C12</f>
        <v>37500</v>
      </c>
      <c r="E167" s="14"/>
      <c r="F167" s="14" t="str">
        <f>+F166</f>
        <v>W/S</v>
      </c>
      <c r="G167" s="45">
        <f>+G166</f>
        <v>6.3416097668112417E-2</v>
      </c>
      <c r="H167" s="14"/>
      <c r="I167" s="14">
        <f t="shared" si="3"/>
        <v>2378.1036625542156</v>
      </c>
      <c r="J167" s="14"/>
      <c r="K167" s="18"/>
    </row>
    <row r="168" spans="1:15">
      <c r="A168" s="5" t="s">
        <v>181</v>
      </c>
      <c r="B168" s="56" t="s">
        <v>239</v>
      </c>
      <c r="C168" s="18"/>
      <c r="D168" s="22">
        <v>0</v>
      </c>
      <c r="E168" s="14"/>
      <c r="F168" s="57" t="str">
        <f>+F162</f>
        <v>TE</v>
      </c>
      <c r="G168" s="58">
        <f>+G162</f>
        <v>0.9741550710178235</v>
      </c>
      <c r="H168" s="14"/>
      <c r="I168" s="14">
        <f>+G168*D168</f>
        <v>0</v>
      </c>
      <c r="J168" s="14"/>
      <c r="K168" s="18"/>
    </row>
    <row r="169" spans="1:15">
      <c r="A169" s="5">
        <v>6</v>
      </c>
      <c r="B169" s="8" t="s">
        <v>50</v>
      </c>
      <c r="C169" s="14" t="str">
        <f>+C101</f>
        <v>356.1</v>
      </c>
      <c r="D169" s="22">
        <v>0</v>
      </c>
      <c r="E169" s="14"/>
      <c r="F169" s="14" t="s">
        <v>94</v>
      </c>
      <c r="G169" s="45">
        <f>+G101</f>
        <v>5.7858834233740865E-2</v>
      </c>
      <c r="H169" s="14"/>
      <c r="I169" s="14">
        <f t="shared" si="3"/>
        <v>0</v>
      </c>
      <c r="J169" s="14"/>
      <c r="K169" s="18"/>
    </row>
    <row r="170" spans="1:15" ht="16.5" thickBot="1">
      <c r="A170" s="5">
        <v>7</v>
      </c>
      <c r="B170" s="8" t="s">
        <v>63</v>
      </c>
      <c r="C170" s="14"/>
      <c r="D170" s="46">
        <v>0</v>
      </c>
      <c r="E170" s="14"/>
      <c r="F170" s="14" t="s">
        <v>2</v>
      </c>
      <c r="G170" s="45">
        <v>1</v>
      </c>
      <c r="H170" s="14"/>
      <c r="I170" s="23">
        <f t="shared" si="3"/>
        <v>0</v>
      </c>
      <c r="J170" s="14"/>
      <c r="K170" s="18"/>
    </row>
    <row r="171" spans="1:15">
      <c r="A171" s="114">
        <v>8</v>
      </c>
      <c r="B171" s="56" t="s">
        <v>287</v>
      </c>
      <c r="C171" s="18"/>
      <c r="D171" s="18">
        <f>+D162-D164+D165-D166-D167-D163+D169+D170+D168</f>
        <v>108418676</v>
      </c>
      <c r="E171" s="18"/>
      <c r="F171" s="18"/>
      <c r="G171" s="18"/>
      <c r="H171" s="18"/>
      <c r="I171" s="18">
        <f>+I162-I164+I165-I166-I167-I163+I169+I170+I168</f>
        <v>32147978.768142246</v>
      </c>
      <c r="J171" s="18"/>
      <c r="K171" s="18"/>
      <c r="L171" s="10"/>
      <c r="M171" s="10"/>
      <c r="N171" s="10"/>
      <c r="O171" s="10"/>
    </row>
    <row r="172" spans="1:15">
      <c r="A172" s="5"/>
      <c r="C172" s="14"/>
      <c r="E172" s="14"/>
      <c r="F172" s="14"/>
      <c r="G172" s="14"/>
      <c r="H172" s="14"/>
      <c r="J172" s="14"/>
      <c r="K172" s="18"/>
    </row>
    <row r="173" spans="1:15">
      <c r="A173" s="5"/>
      <c r="B173" s="311" t="s">
        <v>558</v>
      </c>
      <c r="C173" s="14"/>
      <c r="D173" s="14"/>
      <c r="E173" s="14"/>
      <c r="F173" s="14"/>
      <c r="G173" s="14"/>
      <c r="H173" s="14"/>
      <c r="I173" s="14"/>
      <c r="J173" s="14"/>
      <c r="K173" s="18"/>
    </row>
    <row r="174" spans="1:15">
      <c r="A174" s="5">
        <v>9</v>
      </c>
      <c r="B174" s="8" t="str">
        <f>+B162</f>
        <v xml:space="preserve">  Transmission </v>
      </c>
      <c r="C174" s="14" t="s">
        <v>64</v>
      </c>
      <c r="D174" s="22">
        <f>Depreciation!C11</f>
        <v>17152195</v>
      </c>
      <c r="E174" s="14"/>
      <c r="F174" s="14" t="s">
        <v>11</v>
      </c>
      <c r="G174" s="45">
        <f>+G124</f>
        <v>1</v>
      </c>
      <c r="H174" s="14"/>
      <c r="I174" s="14">
        <f>+G174*D174</f>
        <v>17152195</v>
      </c>
      <c r="J174" s="14"/>
      <c r="K174" s="48"/>
    </row>
    <row r="175" spans="1:15">
      <c r="A175" s="5" t="s">
        <v>422</v>
      </c>
      <c r="B175" s="311" t="s">
        <v>449</v>
      </c>
      <c r="C175" s="14" t="s">
        <v>557</v>
      </c>
      <c r="D175" s="22">
        <v>0</v>
      </c>
      <c r="E175" s="14"/>
      <c r="F175" s="14" t="s">
        <v>11</v>
      </c>
      <c r="G175" s="45">
        <f>+G124</f>
        <v>1</v>
      </c>
      <c r="H175" s="14"/>
      <c r="I175" s="14">
        <f t="shared" ref="I175:I176" si="4">+G175*D175</f>
        <v>0</v>
      </c>
      <c r="J175" s="14"/>
      <c r="K175" s="48"/>
    </row>
    <row r="176" spans="1:15">
      <c r="A176" s="5" t="s">
        <v>423</v>
      </c>
      <c r="B176" s="311" t="s">
        <v>424</v>
      </c>
      <c r="C176" s="14" t="s">
        <v>557</v>
      </c>
      <c r="D176" s="22">
        <v>0</v>
      </c>
      <c r="E176" s="14"/>
      <c r="F176" s="14" t="s">
        <v>11</v>
      </c>
      <c r="G176" s="45">
        <f>+G124</f>
        <v>1</v>
      </c>
      <c r="H176" s="14"/>
      <c r="I176" s="14">
        <f t="shared" si="4"/>
        <v>0</v>
      </c>
      <c r="J176" s="14"/>
      <c r="K176" s="48"/>
    </row>
    <row r="177" spans="1:11">
      <c r="A177" s="5">
        <v>10</v>
      </c>
      <c r="B177" s="311" t="s">
        <v>540</v>
      </c>
      <c r="C177" s="14" t="s">
        <v>584</v>
      </c>
      <c r="D177" s="22">
        <f>Depreciation!C15</f>
        <v>14772113</v>
      </c>
      <c r="E177" s="14"/>
      <c r="F177" s="14" t="s">
        <v>49</v>
      </c>
      <c r="G177" s="45">
        <f>+G165</f>
        <v>6.3416097668112417E-2</v>
      </c>
      <c r="H177" s="14"/>
      <c r="I177" s="14">
        <f>+G177*D177</f>
        <v>936789.76077239309</v>
      </c>
      <c r="J177" s="14"/>
      <c r="K177" s="48"/>
    </row>
    <row r="178" spans="1:11" ht="16.5" thickBot="1">
      <c r="A178" s="5">
        <v>11</v>
      </c>
      <c r="B178" s="8" t="str">
        <f>+B169</f>
        <v xml:space="preserve">  Common</v>
      </c>
      <c r="C178" s="14" t="s">
        <v>214</v>
      </c>
      <c r="D178" s="46">
        <v>0</v>
      </c>
      <c r="E178" s="14"/>
      <c r="F178" s="14" t="s">
        <v>94</v>
      </c>
      <c r="G178" s="45">
        <f>+G169</f>
        <v>5.7858834233740865E-2</v>
      </c>
      <c r="H178" s="14"/>
      <c r="I178" s="23">
        <f>+G178*D178</f>
        <v>0</v>
      </c>
      <c r="J178" s="14"/>
      <c r="K178" s="48"/>
    </row>
    <row r="179" spans="1:11">
      <c r="A179" s="5">
        <v>12</v>
      </c>
      <c r="B179" s="8" t="s">
        <v>261</v>
      </c>
      <c r="C179" s="14"/>
      <c r="D179" s="14">
        <f>SUM(D174:D178)</f>
        <v>31924308</v>
      </c>
      <c r="E179" s="14"/>
      <c r="F179" s="14"/>
      <c r="G179" s="14"/>
      <c r="H179" s="14"/>
      <c r="I179" s="14">
        <f>SUM(I174:I178)</f>
        <v>18088984.760772392</v>
      </c>
      <c r="J179" s="14"/>
      <c r="K179" s="18"/>
    </row>
    <row r="180" spans="1:11">
      <c r="A180" s="5"/>
      <c r="B180" s="8"/>
      <c r="C180" s="14"/>
      <c r="D180" s="14"/>
      <c r="E180" s="14"/>
      <c r="F180" s="14"/>
      <c r="G180" s="14"/>
      <c r="H180" s="14"/>
      <c r="I180" s="14"/>
      <c r="J180" s="14"/>
      <c r="K180" s="18"/>
    </row>
    <row r="181" spans="1:11">
      <c r="A181" s="5" t="s">
        <v>2</v>
      </c>
      <c r="B181" s="8" t="s">
        <v>240</v>
      </c>
      <c r="D181" s="14"/>
      <c r="E181" s="14"/>
      <c r="F181" s="14"/>
      <c r="G181" s="14"/>
      <c r="H181" s="14"/>
      <c r="I181" s="14"/>
      <c r="J181" s="14"/>
      <c r="K181" s="18"/>
    </row>
    <row r="182" spans="1:11">
      <c r="A182" s="5"/>
      <c r="B182" s="8" t="s">
        <v>65</v>
      </c>
      <c r="E182" s="14"/>
      <c r="F182" s="14"/>
      <c r="H182" s="14"/>
      <c r="J182" s="14"/>
      <c r="K182" s="48"/>
    </row>
    <row r="183" spans="1:11">
      <c r="A183" s="5">
        <v>13</v>
      </c>
      <c r="B183" s="8" t="s">
        <v>66</v>
      </c>
      <c r="C183" s="14" t="s">
        <v>192</v>
      </c>
      <c r="D183" s="22">
        <f>'Other Tax'!C9</f>
        <v>9463741.9093014505</v>
      </c>
      <c r="E183" s="14"/>
      <c r="F183" s="14" t="s">
        <v>49</v>
      </c>
      <c r="G183" s="20">
        <f>+G177</f>
        <v>6.3416097668112417E-2</v>
      </c>
      <c r="H183" s="14"/>
      <c r="I183" s="14">
        <f>+G183*D183</f>
        <v>600153.58122606948</v>
      </c>
      <c r="J183" s="14"/>
      <c r="K183" s="48"/>
    </row>
    <row r="184" spans="1:11">
      <c r="A184" s="5">
        <v>14</v>
      </c>
      <c r="B184" s="8" t="s">
        <v>67</v>
      </c>
      <c r="C184" s="14" t="str">
        <f>+C183</f>
        <v>263.i</v>
      </c>
      <c r="D184" s="22">
        <f>'Other Tax'!C11</f>
        <v>0</v>
      </c>
      <c r="E184" s="14"/>
      <c r="F184" s="14" t="str">
        <f>+F183</f>
        <v>W/S</v>
      </c>
      <c r="G184" s="20">
        <f>+G183</f>
        <v>6.3416097668112417E-2</v>
      </c>
      <c r="H184" s="14"/>
      <c r="I184" s="14">
        <f>+G184*D184</f>
        <v>0</v>
      </c>
      <c r="J184" s="14"/>
      <c r="K184" s="48"/>
    </row>
    <row r="185" spans="1:11">
      <c r="A185" s="5">
        <v>15</v>
      </c>
      <c r="B185" s="8" t="s">
        <v>68</v>
      </c>
      <c r="C185" s="14" t="s">
        <v>2</v>
      </c>
      <c r="E185" s="14"/>
      <c r="F185" s="14"/>
      <c r="H185" s="14"/>
      <c r="J185" s="14"/>
      <c r="K185" s="48"/>
    </row>
    <row r="186" spans="1:11">
      <c r="A186" s="5">
        <v>16</v>
      </c>
      <c r="B186" s="8" t="s">
        <v>69</v>
      </c>
      <c r="C186" s="14" t="s">
        <v>192</v>
      </c>
      <c r="D186" s="22">
        <f>'Other Tax'!C13</f>
        <v>80556737.938866898</v>
      </c>
      <c r="E186" s="14"/>
      <c r="F186" s="14" t="s">
        <v>58</v>
      </c>
      <c r="G186" s="20">
        <f>+G94</f>
        <v>8.5925772439585046E-2</v>
      </c>
      <c r="H186" s="14"/>
      <c r="I186" s="14">
        <f>+G186*D186</f>
        <v>6921899.9326103646</v>
      </c>
      <c r="J186" s="14"/>
      <c r="K186" s="48"/>
    </row>
    <row r="187" spans="1:11">
      <c r="A187" s="5">
        <v>17</v>
      </c>
      <c r="B187" s="8" t="s">
        <v>70</v>
      </c>
      <c r="C187" s="14" t="s">
        <v>192</v>
      </c>
      <c r="D187" s="22">
        <f>'Other Tax'!C15</f>
        <v>0</v>
      </c>
      <c r="E187" s="14"/>
      <c r="F187" s="18" t="str">
        <f>+F115</f>
        <v>NA</v>
      </c>
      <c r="G187" s="59" t="s">
        <v>182</v>
      </c>
      <c r="H187" s="14"/>
      <c r="I187" s="14">
        <v>0</v>
      </c>
      <c r="J187" s="14"/>
      <c r="K187" s="48"/>
    </row>
    <row r="188" spans="1:11">
      <c r="A188" s="5">
        <v>18</v>
      </c>
      <c r="B188" s="8" t="s">
        <v>71</v>
      </c>
      <c r="C188" s="14" t="str">
        <f>+C187</f>
        <v>263.i</v>
      </c>
      <c r="D188" s="22">
        <f>'Other Tax'!C17</f>
        <v>1015324.1500109442</v>
      </c>
      <c r="E188" s="14"/>
      <c r="F188" s="14" t="str">
        <f>+F186</f>
        <v>GP</v>
      </c>
      <c r="G188" s="20">
        <f>+G186</f>
        <v>8.5925772439585046E-2</v>
      </c>
      <c r="H188" s="14"/>
      <c r="I188" s="14">
        <f>+G188*D188</f>
        <v>87242.511866255503</v>
      </c>
      <c r="J188" s="14"/>
      <c r="K188" s="48"/>
    </row>
    <row r="189" spans="1:11" ht="16.5" thickBot="1">
      <c r="A189" s="5">
        <v>19</v>
      </c>
      <c r="B189" s="8" t="s">
        <v>72</v>
      </c>
      <c r="C189" s="14"/>
      <c r="D189" s="46">
        <f>'Other Tax'!C19</f>
        <v>0</v>
      </c>
      <c r="E189" s="14"/>
      <c r="F189" s="14" t="s">
        <v>58</v>
      </c>
      <c r="G189" s="20">
        <f>+G186</f>
        <v>8.5925772439585046E-2</v>
      </c>
      <c r="H189" s="14"/>
      <c r="I189" s="23">
        <f>+G189*D189</f>
        <v>0</v>
      </c>
      <c r="J189" s="14"/>
      <c r="K189" s="48"/>
    </row>
    <row r="190" spans="1:11">
      <c r="A190" s="5">
        <v>20</v>
      </c>
      <c r="B190" s="8" t="s">
        <v>73</v>
      </c>
      <c r="C190" s="14"/>
      <c r="D190" s="14">
        <f>SUM(D183:D189)</f>
        <v>91035803.998179287</v>
      </c>
      <c r="E190" s="14"/>
      <c r="F190" s="14"/>
      <c r="G190" s="20"/>
      <c r="H190" s="14"/>
      <c r="I190" s="14">
        <f>SUM(I183:I189)</f>
        <v>7609296.0257026898</v>
      </c>
      <c r="J190" s="14"/>
      <c r="K190" s="18"/>
    </row>
    <row r="191" spans="1:11">
      <c r="A191" s="5"/>
      <c r="B191" s="8"/>
      <c r="C191" s="14"/>
      <c r="D191" s="14"/>
      <c r="E191" s="14"/>
      <c r="F191" s="14"/>
      <c r="G191" s="20"/>
      <c r="H191" s="14"/>
      <c r="I191" s="14"/>
      <c r="J191" s="14"/>
      <c r="K191" s="18"/>
    </row>
    <row r="192" spans="1:11">
      <c r="A192" s="5" t="s">
        <v>2</v>
      </c>
      <c r="B192" s="8" t="s">
        <v>74</v>
      </c>
      <c r="C192" s="14" t="s">
        <v>241</v>
      </c>
      <c r="D192" s="14"/>
      <c r="E192" s="14"/>
      <c r="G192" s="60"/>
      <c r="H192" s="14"/>
      <c r="J192" s="14"/>
    </row>
    <row r="193" spans="1:11">
      <c r="A193" s="5">
        <v>21</v>
      </c>
      <c r="B193" s="61" t="s">
        <v>161</v>
      </c>
      <c r="C193" s="14"/>
      <c r="D193" s="62">
        <f>IF(D324&gt;0,1-(((1-D325)*(1-D324))/(1-D325*D324*D326)),0)</f>
        <v>0.40052557554945034</v>
      </c>
      <c r="E193" s="14"/>
      <c r="G193" s="60"/>
      <c r="H193" s="14"/>
      <c r="J193" s="14"/>
    </row>
    <row r="194" spans="1:11">
      <c r="A194" s="5">
        <v>22</v>
      </c>
      <c r="B194" s="1" t="s">
        <v>162</v>
      </c>
      <c r="C194" s="14"/>
      <c r="D194" s="62">
        <f>IF(I278&gt;0,(D193/(1-D193))*(1-I275/I278),0)</f>
        <v>0.49288172122321383</v>
      </c>
      <c r="E194" s="14"/>
      <c r="G194" s="60"/>
      <c r="H194" s="14"/>
      <c r="J194" s="14"/>
    </row>
    <row r="195" spans="1:11">
      <c r="A195" s="5"/>
      <c r="B195" s="8" t="s">
        <v>229</v>
      </c>
      <c r="C195" s="14"/>
      <c r="D195" s="14"/>
      <c r="E195" s="14"/>
      <c r="G195" s="60"/>
      <c r="H195" s="14"/>
      <c r="J195" s="14"/>
    </row>
    <row r="196" spans="1:11">
      <c r="A196" s="5"/>
      <c r="B196" s="8" t="s">
        <v>165</v>
      </c>
      <c r="C196" s="14"/>
      <c r="D196" s="14"/>
      <c r="E196" s="14"/>
      <c r="G196" s="60"/>
      <c r="H196" s="14"/>
      <c r="J196" s="14"/>
    </row>
    <row r="197" spans="1:11">
      <c r="A197" s="5">
        <v>23</v>
      </c>
      <c r="B197" s="61" t="s">
        <v>164</v>
      </c>
      <c r="C197" s="14"/>
      <c r="D197" s="63">
        <f>IF(D193&gt;0,1/(1-D193),0)</f>
        <v>1.6681278787106779</v>
      </c>
      <c r="E197" s="14"/>
      <c r="G197" s="60"/>
      <c r="H197" s="14"/>
      <c r="J197" s="14"/>
    </row>
    <row r="198" spans="1:11">
      <c r="A198" s="5">
        <v>24</v>
      </c>
      <c r="B198" s="8" t="s">
        <v>163</v>
      </c>
      <c r="C198" s="14"/>
      <c r="D198" s="22">
        <f>'Amort Inves Tax Credit'!C11*(-1)</f>
        <v>-1481000</v>
      </c>
      <c r="E198" s="14"/>
      <c r="G198" s="60"/>
      <c r="H198" s="14"/>
      <c r="J198" s="14"/>
    </row>
    <row r="199" spans="1:11">
      <c r="A199" s="5"/>
      <c r="B199" s="8"/>
      <c r="C199" s="14"/>
      <c r="D199" s="14"/>
      <c r="E199" s="14"/>
      <c r="G199" s="60"/>
      <c r="H199" s="14"/>
      <c r="J199" s="14"/>
    </row>
    <row r="200" spans="1:11">
      <c r="A200" s="5">
        <v>25</v>
      </c>
      <c r="B200" s="61" t="s">
        <v>166</v>
      </c>
      <c r="C200" s="64"/>
      <c r="D200" s="14">
        <f>D194*D204</f>
        <v>265684480.27218926</v>
      </c>
      <c r="E200" s="14"/>
      <c r="F200" s="14" t="s">
        <v>45</v>
      </c>
      <c r="G200" s="20"/>
      <c r="H200" s="14"/>
      <c r="I200" s="14">
        <f>D194*I204</f>
        <v>26203331.90189594</v>
      </c>
      <c r="J200" s="14"/>
      <c r="K200" s="65" t="s">
        <v>2</v>
      </c>
    </row>
    <row r="201" spans="1:11" ht="16.5" thickBot="1">
      <c r="A201" s="5">
        <v>26</v>
      </c>
      <c r="B201" s="1" t="s">
        <v>168</v>
      </c>
      <c r="C201" s="64"/>
      <c r="D201" s="23">
        <f>D197*D198</f>
        <v>-2470497.3883705139</v>
      </c>
      <c r="E201" s="14"/>
      <c r="F201" s="1" t="s">
        <v>54</v>
      </c>
      <c r="G201" s="20">
        <f>G110</f>
        <v>8.5638351539922289E-2</v>
      </c>
      <c r="H201" s="14"/>
      <c r="I201" s="23">
        <f>G201*D201</f>
        <v>-211569.32382373398</v>
      </c>
      <c r="J201" s="14"/>
      <c r="K201" s="65"/>
    </row>
    <row r="202" spans="1:11">
      <c r="A202" s="5">
        <v>27</v>
      </c>
      <c r="B202" s="66" t="s">
        <v>149</v>
      </c>
      <c r="C202" s="1" t="s">
        <v>169</v>
      </c>
      <c r="D202" s="54">
        <f>+D200+D201</f>
        <v>263213982.88381875</v>
      </c>
      <c r="E202" s="14"/>
      <c r="F202" s="14" t="s">
        <v>2</v>
      </c>
      <c r="G202" s="20" t="s">
        <v>2</v>
      </c>
      <c r="H202" s="14"/>
      <c r="I202" s="54">
        <f>+I200+I201</f>
        <v>25991762.578072205</v>
      </c>
      <c r="J202" s="14"/>
      <c r="K202" s="18"/>
    </row>
    <row r="203" spans="1:11">
      <c r="A203" s="5" t="s">
        <v>2</v>
      </c>
      <c r="C203" s="67"/>
      <c r="D203" s="14"/>
      <c r="E203" s="14"/>
      <c r="F203" s="14"/>
      <c r="G203" s="20"/>
      <c r="H203" s="14"/>
      <c r="I203" s="14"/>
      <c r="J203" s="14"/>
      <c r="K203" s="18"/>
    </row>
    <row r="204" spans="1:11">
      <c r="A204" s="5">
        <v>28</v>
      </c>
      <c r="B204" s="8" t="s">
        <v>75</v>
      </c>
      <c r="C204" s="47"/>
      <c r="D204" s="14">
        <f>+$I278*D132</f>
        <v>539043078.35320878</v>
      </c>
      <c r="E204" s="14"/>
      <c r="F204" s="14" t="s">
        <v>45</v>
      </c>
      <c r="G204" s="60"/>
      <c r="H204" s="14"/>
      <c r="I204" s="14">
        <f>+$I278*I132</f>
        <v>53163529.450565897</v>
      </c>
      <c r="J204" s="14"/>
    </row>
    <row r="205" spans="1:11">
      <c r="A205" s="5"/>
      <c r="B205" s="66" t="s">
        <v>225</v>
      </c>
      <c r="D205" s="14"/>
      <c r="E205" s="14"/>
      <c r="F205" s="14"/>
      <c r="G205" s="60"/>
      <c r="H205" s="14"/>
      <c r="I205" s="14"/>
      <c r="J205" s="14"/>
      <c r="K205" s="48"/>
    </row>
    <row r="206" spans="1:11">
      <c r="A206" s="5"/>
      <c r="B206" s="8"/>
      <c r="D206" s="53"/>
      <c r="E206" s="14"/>
      <c r="F206" s="14"/>
      <c r="G206" s="60"/>
      <c r="H206" s="14"/>
      <c r="I206" s="53"/>
      <c r="J206" s="14"/>
      <c r="K206" s="48"/>
    </row>
    <row r="207" spans="1:11">
      <c r="A207" s="5">
        <v>29</v>
      </c>
      <c r="B207" s="8" t="s">
        <v>167</v>
      </c>
      <c r="C207" s="14"/>
      <c r="D207" s="53">
        <f>+D204+D202+D190+D179+D171</f>
        <v>1033635849.2352068</v>
      </c>
      <c r="E207" s="14"/>
      <c r="F207" s="14"/>
      <c r="G207" s="14"/>
      <c r="H207" s="14"/>
      <c r="I207" s="53">
        <f>+I204+I202+I190+I179+I171</f>
        <v>137001551.58325541</v>
      </c>
      <c r="J207" s="9"/>
      <c r="K207" s="12"/>
    </row>
    <row r="208" spans="1:11" ht="15.75" customHeight="1">
      <c r="A208" s="114">
        <v>30</v>
      </c>
      <c r="B208" s="56" t="s">
        <v>289</v>
      </c>
      <c r="C208" s="18"/>
      <c r="D208" s="53"/>
      <c r="E208" s="14"/>
      <c r="F208" s="14"/>
      <c r="G208" s="14"/>
      <c r="H208" s="14"/>
      <c r="I208" s="53"/>
      <c r="J208" s="9"/>
      <c r="K208" s="12"/>
    </row>
    <row r="209" spans="1:14">
      <c r="A209" s="114"/>
      <c r="B209" s="443" t="s">
        <v>224</v>
      </c>
      <c r="C209" s="443"/>
      <c r="J209" s="9"/>
      <c r="K209" s="12"/>
    </row>
    <row r="210" spans="1:14">
      <c r="A210" s="114"/>
      <c r="B210" s="56" t="s">
        <v>223</v>
      </c>
      <c r="C210" s="18"/>
      <c r="D210" s="50">
        <v>92201</v>
      </c>
      <c r="E210" s="14"/>
      <c r="F210" s="14"/>
      <c r="G210" s="14"/>
      <c r="H210" s="14"/>
      <c r="I210" s="50">
        <f>D210</f>
        <v>92201</v>
      </c>
      <c r="J210" s="9"/>
      <c r="K210" s="12"/>
    </row>
    <row r="211" spans="1:14">
      <c r="A211" s="114" t="s">
        <v>528</v>
      </c>
      <c r="B211" s="288" t="s">
        <v>529</v>
      </c>
      <c r="C211" s="18"/>
      <c r="D211" s="50"/>
      <c r="E211" s="14"/>
      <c r="F211" s="14"/>
      <c r="G211" s="14"/>
      <c r="H211" s="14"/>
      <c r="I211" s="50"/>
      <c r="J211" s="9"/>
      <c r="K211" s="12"/>
    </row>
    <row r="212" spans="1:14">
      <c r="A212" s="114"/>
      <c r="B212" s="288" t="s">
        <v>224</v>
      </c>
      <c r="C212" s="18"/>
      <c r="D212" s="50"/>
      <c r="E212" s="14"/>
      <c r="F212" s="14"/>
      <c r="G212" s="14"/>
      <c r="H212" s="14"/>
      <c r="I212" s="50"/>
      <c r="J212" s="9"/>
      <c r="K212" s="12"/>
    </row>
    <row r="213" spans="1:14" ht="16.5" thickBot="1">
      <c r="A213" s="114"/>
      <c r="B213" s="288" t="s">
        <v>530</v>
      </c>
      <c r="C213" s="18"/>
      <c r="D213" s="46">
        <v>9174200</v>
      </c>
      <c r="E213" s="14"/>
      <c r="F213" s="14"/>
      <c r="G213" s="14"/>
      <c r="H213" s="14"/>
      <c r="I213" s="46">
        <f>D213</f>
        <v>9174200</v>
      </c>
      <c r="J213" s="9"/>
      <c r="K213" s="12"/>
    </row>
    <row r="214" spans="1:14" ht="16.5" thickBot="1">
      <c r="A214" s="114">
        <v>31</v>
      </c>
      <c r="B214" s="10" t="s">
        <v>222</v>
      </c>
      <c r="C214" s="18"/>
      <c r="D214" s="169">
        <f>D207-D210-D213</f>
        <v>1024369448.2352068</v>
      </c>
      <c r="E214" s="18"/>
      <c r="F214" s="18"/>
      <c r="G214" s="18"/>
      <c r="H214" s="18"/>
      <c r="I214" s="169">
        <f>I207-I210-I213</f>
        <v>127735150.58325541</v>
      </c>
      <c r="J214" s="12"/>
      <c r="K214" s="18"/>
      <c r="L214" s="10"/>
      <c r="M214" s="10"/>
      <c r="N214" s="10"/>
    </row>
    <row r="215" spans="1:14" ht="16.5" thickTop="1">
      <c r="A215" s="114"/>
      <c r="B215" s="326" t="s">
        <v>589</v>
      </c>
      <c r="C215" s="18"/>
      <c r="D215" s="53"/>
      <c r="E215" s="14"/>
      <c r="F215" s="14"/>
      <c r="G215" s="14"/>
      <c r="H215" s="14"/>
      <c r="I215" s="53"/>
      <c r="J215" s="9"/>
      <c r="K215" s="12"/>
    </row>
    <row r="216" spans="1:14">
      <c r="A216" s="5"/>
      <c r="B216" s="8"/>
      <c r="C216" s="14"/>
      <c r="D216" s="53"/>
      <c r="E216" s="14"/>
      <c r="F216" s="14"/>
      <c r="G216" s="14"/>
      <c r="H216" s="14"/>
      <c r="I216" s="53"/>
      <c r="J216" s="9"/>
      <c r="K216" s="12"/>
    </row>
    <row r="217" spans="1:14">
      <c r="A217" s="5"/>
      <c r="B217" s="8"/>
      <c r="C217" s="14"/>
      <c r="D217" s="53"/>
      <c r="E217" s="14"/>
      <c r="F217" s="14"/>
      <c r="G217" s="14"/>
      <c r="H217" s="14"/>
      <c r="I217" s="53"/>
      <c r="J217" s="9"/>
      <c r="K217" s="12"/>
    </row>
    <row r="218" spans="1:14">
      <c r="A218" s="5"/>
      <c r="B218" s="8"/>
      <c r="C218" s="14"/>
      <c r="D218" s="53"/>
      <c r="E218" s="14"/>
      <c r="F218" s="14"/>
      <c r="G218" s="14"/>
      <c r="H218" s="14"/>
      <c r="I218" s="53"/>
      <c r="J218" s="9"/>
      <c r="K218" s="12"/>
    </row>
    <row r="219" spans="1:14">
      <c r="A219" s="444"/>
      <c r="B219" s="444"/>
      <c r="C219" s="444"/>
      <c r="D219" s="14"/>
      <c r="E219" s="14"/>
      <c r="F219" s="47"/>
      <c r="G219" s="438"/>
      <c r="H219" s="438"/>
      <c r="I219" s="438"/>
      <c r="J219" s="438"/>
      <c r="K219" s="438"/>
    </row>
    <row r="220" spans="1:14">
      <c r="A220" s="444"/>
      <c r="B220" s="444"/>
      <c r="C220" s="53"/>
      <c r="D220" s="14"/>
      <c r="E220" s="14"/>
      <c r="F220" s="47"/>
      <c r="G220" s="14"/>
      <c r="H220" s="14"/>
      <c r="I220" s="48"/>
      <c r="J220" s="54"/>
      <c r="K220" s="1"/>
    </row>
    <row r="221" spans="1:14">
      <c r="B221" s="2"/>
      <c r="C221" s="2"/>
      <c r="D221" s="3"/>
      <c r="E221" s="2"/>
      <c r="F221" s="2"/>
      <c r="G221" s="447"/>
      <c r="H221" s="448"/>
      <c r="I221" s="448"/>
      <c r="J221" s="448"/>
      <c r="K221" s="448"/>
    </row>
    <row r="222" spans="1:14">
      <c r="B222" s="2"/>
      <c r="C222" s="2"/>
      <c r="D222" s="3"/>
      <c r="E222" s="2"/>
      <c r="F222" s="447"/>
      <c r="G222" s="447"/>
      <c r="H222" s="447"/>
      <c r="I222" s="447"/>
      <c r="J222" s="447"/>
      <c r="K222" s="447"/>
    </row>
    <row r="223" spans="1:14">
      <c r="B223" s="2"/>
      <c r="C223" s="2"/>
      <c r="D223" s="3"/>
      <c r="E223" s="2"/>
      <c r="F223" s="2"/>
      <c r="G223" s="2"/>
      <c r="H223" s="4"/>
      <c r="I223" s="446" t="s">
        <v>188</v>
      </c>
      <c r="J223" s="446"/>
      <c r="K223" s="446"/>
    </row>
    <row r="224" spans="1:14">
      <c r="B224" s="2"/>
      <c r="C224" s="2"/>
      <c r="D224" s="3"/>
      <c r="E224" s="2"/>
      <c r="F224" s="2"/>
      <c r="G224" s="2"/>
      <c r="H224" s="4"/>
      <c r="I224" s="4"/>
      <c r="J224" s="445" t="s">
        <v>494</v>
      </c>
      <c r="K224" s="445"/>
    </row>
    <row r="225" spans="1:19">
      <c r="B225" s="314"/>
      <c r="C225" s="314"/>
      <c r="D225" s="3"/>
      <c r="E225" s="314"/>
      <c r="F225" s="314"/>
      <c r="G225" s="314"/>
      <c r="H225" s="4"/>
      <c r="I225" s="4"/>
      <c r="J225" s="313"/>
      <c r="K225" s="313"/>
    </row>
    <row r="226" spans="1:19">
      <c r="B226" s="2" t="s">
        <v>0</v>
      </c>
      <c r="C226" s="2"/>
      <c r="D226" s="3" t="s">
        <v>1</v>
      </c>
      <c r="E226" s="2"/>
      <c r="F226" s="2"/>
      <c r="G226" s="445" t="str">
        <f>K7</f>
        <v>Estimated - For the 12 months ended 12/31/14</v>
      </c>
      <c r="H226" s="445"/>
      <c r="I226" s="445"/>
      <c r="J226" s="445"/>
      <c r="K226" s="445"/>
    </row>
    <row r="227" spans="1:19">
      <c r="B227" s="2"/>
      <c r="C227" s="14" t="s">
        <v>2</v>
      </c>
      <c r="D227" s="14" t="s">
        <v>3</v>
      </c>
      <c r="E227" s="14"/>
      <c r="F227" s="14"/>
      <c r="G227" s="14"/>
      <c r="H227" s="4"/>
      <c r="I227" s="4"/>
      <c r="J227" s="9"/>
      <c r="K227" s="12"/>
    </row>
    <row r="228" spans="1:19" ht="9" customHeight="1">
      <c r="A228" s="5"/>
      <c r="J228" s="14"/>
      <c r="K228" s="18"/>
    </row>
    <row r="229" spans="1:19">
      <c r="A229" s="5"/>
      <c r="D229" s="1" t="str">
        <f>D10</f>
        <v>MidAmerican Energy Company</v>
      </c>
      <c r="J229" s="14"/>
      <c r="K229" s="18"/>
    </row>
    <row r="230" spans="1:19">
      <c r="A230" s="5"/>
      <c r="C230" s="44" t="s">
        <v>76</v>
      </c>
      <c r="E230" s="9"/>
      <c r="F230" s="9"/>
      <c r="G230" s="9"/>
      <c r="H230" s="9"/>
      <c r="I230" s="9"/>
      <c r="J230" s="14"/>
      <c r="K230" s="18"/>
    </row>
    <row r="231" spans="1:19">
      <c r="A231" s="5" t="s">
        <v>4</v>
      </c>
      <c r="B231" s="44"/>
      <c r="C231" s="9"/>
      <c r="D231" s="9"/>
      <c r="E231" s="9"/>
      <c r="F231" s="9"/>
      <c r="G231" s="9"/>
      <c r="H231" s="9"/>
      <c r="I231" s="9"/>
      <c r="J231" s="14"/>
      <c r="K231" s="18"/>
    </row>
    <row r="232" spans="1:19" ht="16.5" thickBot="1">
      <c r="A232" s="16" t="s">
        <v>6</v>
      </c>
      <c r="B232" s="68" t="s">
        <v>79</v>
      </c>
      <c r="C232" s="12"/>
      <c r="D232" s="12"/>
      <c r="E232" s="12"/>
      <c r="F232" s="12"/>
      <c r="G232" s="12"/>
      <c r="H232" s="10"/>
      <c r="I232" s="10"/>
      <c r="J232" s="18"/>
      <c r="K232" s="18"/>
    </row>
    <row r="233" spans="1:19">
      <c r="A233" s="5">
        <v>1</v>
      </c>
      <c r="B233" s="25" t="s">
        <v>243</v>
      </c>
      <c r="C233" s="12"/>
      <c r="D233" s="18"/>
      <c r="E233" s="18"/>
      <c r="F233" s="18"/>
      <c r="G233" s="18"/>
      <c r="H233" s="18"/>
      <c r="I233" s="18">
        <f>D90</f>
        <v>1092298448.9230769</v>
      </c>
      <c r="J233" s="18"/>
      <c r="K233" s="18"/>
    </row>
    <row r="234" spans="1:19">
      <c r="A234" s="5">
        <v>2</v>
      </c>
      <c r="B234" s="25" t="s">
        <v>242</v>
      </c>
      <c r="C234" s="10"/>
      <c r="D234" s="124"/>
      <c r="E234" s="10"/>
      <c r="F234" s="10"/>
      <c r="G234" s="10"/>
      <c r="H234" s="10"/>
      <c r="I234" s="22">
        <v>0</v>
      </c>
      <c r="J234" s="18"/>
      <c r="K234" s="18"/>
    </row>
    <row r="235" spans="1:19" ht="16.5" thickBot="1">
      <c r="A235" s="5">
        <v>3</v>
      </c>
      <c r="B235" s="69" t="s">
        <v>244</v>
      </c>
      <c r="C235" s="70"/>
      <c r="D235" s="117"/>
      <c r="E235" s="18"/>
      <c r="F235" s="18"/>
      <c r="G235" s="71"/>
      <c r="H235" s="18"/>
      <c r="I235" s="46">
        <v>0</v>
      </c>
      <c r="J235" s="18"/>
      <c r="K235" s="18"/>
    </row>
    <row r="236" spans="1:19">
      <c r="A236" s="5">
        <v>4</v>
      </c>
      <c r="B236" s="25" t="s">
        <v>187</v>
      </c>
      <c r="C236" s="12"/>
      <c r="D236" s="117"/>
      <c r="E236" s="18"/>
      <c r="F236" s="18"/>
      <c r="G236" s="71"/>
      <c r="H236" s="18"/>
      <c r="I236" s="18">
        <f>I233-I234-I235</f>
        <v>1092298448.9230769</v>
      </c>
      <c r="J236" s="18"/>
      <c r="K236" s="18"/>
    </row>
    <row r="237" spans="1:19" ht="9" customHeight="1">
      <c r="A237" s="5"/>
      <c r="B237" s="10"/>
      <c r="C237" s="12"/>
      <c r="D237" s="117"/>
      <c r="E237" s="18"/>
      <c r="F237" s="18"/>
      <c r="G237" s="71"/>
      <c r="H237" s="18"/>
      <c r="I237" s="10"/>
      <c r="J237" s="18"/>
      <c r="K237" s="18"/>
    </row>
    <row r="238" spans="1:19">
      <c r="A238" s="5">
        <v>5</v>
      </c>
      <c r="B238" s="25" t="s">
        <v>245</v>
      </c>
      <c r="C238" s="72"/>
      <c r="D238" s="125"/>
      <c r="E238" s="73"/>
      <c r="F238" s="73"/>
      <c r="G238" s="74"/>
      <c r="H238" s="18" t="s">
        <v>80</v>
      </c>
      <c r="I238" s="49">
        <f>IF(I233&gt;0,I236/I233,0)</f>
        <v>1</v>
      </c>
      <c r="J238" s="18"/>
      <c r="K238" s="18"/>
      <c r="N238" s="139" t="s">
        <v>276</v>
      </c>
      <c r="O238" s="139"/>
      <c r="P238" s="139"/>
    </row>
    <row r="239" spans="1:19" ht="9" customHeight="1">
      <c r="A239" s="5"/>
      <c r="B239" s="10"/>
      <c r="C239" s="10"/>
      <c r="D239" s="124"/>
      <c r="E239" s="10"/>
      <c r="F239" s="10"/>
      <c r="G239" s="10"/>
      <c r="H239" s="10"/>
      <c r="I239" s="10"/>
      <c r="J239" s="18"/>
      <c r="K239" s="18"/>
      <c r="N239" s="140"/>
      <c r="O239" s="141"/>
      <c r="P239" s="142"/>
      <c r="Q239" s="140"/>
      <c r="R239" s="141"/>
      <c r="S239" s="141"/>
    </row>
    <row r="240" spans="1:19">
      <c r="A240" s="5"/>
      <c r="B240" s="56" t="s">
        <v>77</v>
      </c>
      <c r="C240" s="10"/>
      <c r="D240" s="124"/>
      <c r="E240" s="10"/>
      <c r="F240" s="10"/>
      <c r="G240" s="10"/>
      <c r="H240" s="10"/>
      <c r="I240" s="10"/>
      <c r="J240" s="18"/>
      <c r="K240" s="18"/>
      <c r="N240" s="439" t="s">
        <v>277</v>
      </c>
      <c r="O240" s="440"/>
      <c r="P240" s="440"/>
      <c r="Q240" s="440"/>
      <c r="R240" s="440"/>
      <c r="S240" s="441"/>
    </row>
    <row r="241" spans="1:19">
      <c r="A241" s="5">
        <v>6</v>
      </c>
      <c r="B241" s="10" t="s">
        <v>246</v>
      </c>
      <c r="C241" s="10"/>
      <c r="D241" s="126"/>
      <c r="E241" s="12"/>
      <c r="F241" s="12"/>
      <c r="G241" s="11"/>
      <c r="H241" s="12"/>
      <c r="I241" s="18">
        <f>D162</f>
        <v>55404331</v>
      </c>
      <c r="J241" s="18"/>
      <c r="K241" s="18"/>
      <c r="N241" s="143"/>
      <c r="O241" s="144"/>
      <c r="P241" s="145"/>
      <c r="Q241" s="146"/>
      <c r="R241" s="144"/>
      <c r="S241" s="147"/>
    </row>
    <row r="242" spans="1:19" ht="16.5" thickBot="1">
      <c r="A242" s="5">
        <v>7</v>
      </c>
      <c r="B242" s="69" t="s">
        <v>247</v>
      </c>
      <c r="C242" s="70"/>
      <c r="D242" s="117"/>
      <c r="E242" s="117"/>
      <c r="F242" s="18"/>
      <c r="G242" s="18"/>
      <c r="H242" s="18"/>
      <c r="I242" s="46">
        <f>'Acct 561'!C9+'Acct 561'!C11+'Acct 561'!C13</f>
        <v>1431921</v>
      </c>
      <c r="J242" s="18"/>
      <c r="K242" s="18"/>
      <c r="N242" s="167">
        <f>I242</f>
        <v>1431921</v>
      </c>
      <c r="O242" s="149" t="s">
        <v>278</v>
      </c>
      <c r="P242" s="145"/>
      <c r="Q242" s="146"/>
      <c r="R242" s="144"/>
      <c r="S242" s="147"/>
    </row>
    <row r="243" spans="1:19">
      <c r="A243" s="5">
        <v>8</v>
      </c>
      <c r="B243" s="25" t="s">
        <v>248</v>
      </c>
      <c r="C243" s="72"/>
      <c r="D243" s="125"/>
      <c r="E243" s="73"/>
      <c r="F243" s="73"/>
      <c r="G243" s="74"/>
      <c r="H243" s="73"/>
      <c r="I243" s="18">
        <f>+I241-I242</f>
        <v>53972410</v>
      </c>
      <c r="J243" s="10"/>
      <c r="N243" s="150">
        <v>0</v>
      </c>
      <c r="O243" s="151" t="s">
        <v>279</v>
      </c>
      <c r="P243" s="152"/>
      <c r="Q243" s="152"/>
      <c r="R243"/>
      <c r="S243" s="153"/>
    </row>
    <row r="244" spans="1:19">
      <c r="A244" s="5"/>
      <c r="B244" s="25"/>
      <c r="C244" s="12"/>
      <c r="D244" s="117"/>
      <c r="E244" s="18"/>
      <c r="F244" s="18"/>
      <c r="G244" s="18"/>
      <c r="H244" s="10"/>
      <c r="I244" s="10"/>
      <c r="J244" s="10"/>
      <c r="N244" s="154">
        <f>N242-N243</f>
        <v>1431921</v>
      </c>
      <c r="O244" s="151" t="s">
        <v>280</v>
      </c>
      <c r="P244"/>
      <c r="Q244"/>
      <c r="R244"/>
      <c r="S244" s="153"/>
    </row>
    <row r="245" spans="1:19">
      <c r="A245" s="5">
        <v>9</v>
      </c>
      <c r="B245" s="25" t="s">
        <v>249</v>
      </c>
      <c r="C245" s="12"/>
      <c r="D245" s="117"/>
      <c r="E245" s="18"/>
      <c r="F245" s="18"/>
      <c r="G245" s="18"/>
      <c r="H245" s="18"/>
      <c r="I245" s="58">
        <f>IF(I241&gt;0,I243/I241,0)</f>
        <v>0.9741550710178235</v>
      </c>
      <c r="J245" s="10"/>
      <c r="N245" s="155"/>
      <c r="O245" s="156" t="s">
        <v>281</v>
      </c>
      <c r="P245" s="157"/>
      <c r="Q245" s="157"/>
      <c r="R245" s="144"/>
      <c r="S245" s="147"/>
    </row>
    <row r="246" spans="1:19">
      <c r="A246" s="5">
        <v>10</v>
      </c>
      <c r="B246" s="25" t="s">
        <v>250</v>
      </c>
      <c r="C246" s="12"/>
      <c r="D246" s="18"/>
      <c r="E246" s="18"/>
      <c r="F246" s="18"/>
      <c r="G246" s="18"/>
      <c r="H246" s="12" t="s">
        <v>11</v>
      </c>
      <c r="I246" s="75">
        <f>I238</f>
        <v>1</v>
      </c>
      <c r="J246" s="10"/>
      <c r="N246" s="148">
        <v>0</v>
      </c>
      <c r="O246" s="157" t="s">
        <v>282</v>
      </c>
      <c r="P246" s="158"/>
      <c r="Q246" s="157"/>
      <c r="R246" s="144"/>
      <c r="S246" s="147"/>
    </row>
    <row r="247" spans="1:19">
      <c r="A247" s="5">
        <v>11</v>
      </c>
      <c r="B247" s="25" t="s">
        <v>251</v>
      </c>
      <c r="C247" s="12"/>
      <c r="D247" s="12"/>
      <c r="E247" s="12"/>
      <c r="F247" s="12"/>
      <c r="G247" s="12"/>
      <c r="H247" s="12" t="s">
        <v>78</v>
      </c>
      <c r="I247" s="76">
        <f>+I246*I245</f>
        <v>0.9741550710178235</v>
      </c>
      <c r="J247" s="10"/>
      <c r="N247" s="148">
        <v>0</v>
      </c>
      <c r="O247" s="157" t="s">
        <v>283</v>
      </c>
      <c r="P247" s="158"/>
      <c r="Q247" s="157"/>
      <c r="R247" s="144"/>
      <c r="S247" s="147"/>
    </row>
    <row r="248" spans="1:19">
      <c r="A248" s="5"/>
      <c r="C248" s="9"/>
      <c r="D248" s="14"/>
      <c r="E248" s="14"/>
      <c r="F248" s="14"/>
      <c r="G248" s="77"/>
      <c r="H248" s="14"/>
      <c r="N248" s="168">
        <v>0</v>
      </c>
      <c r="O248" s="157" t="s">
        <v>284</v>
      </c>
      <c r="P248" s="158"/>
      <c r="Q248" s="159"/>
      <c r="R248" s="144"/>
      <c r="S248" s="147"/>
    </row>
    <row r="249" spans="1:19">
      <c r="A249" s="5" t="s">
        <v>2</v>
      </c>
      <c r="B249" s="8" t="s">
        <v>81</v>
      </c>
      <c r="C249" s="14"/>
      <c r="D249" s="14"/>
      <c r="E249" s="14"/>
      <c r="F249" s="14"/>
      <c r="G249" s="14"/>
      <c r="H249" s="14"/>
      <c r="I249" s="14"/>
      <c r="J249" s="14"/>
      <c r="K249" s="18"/>
      <c r="N249" s="154">
        <f>SUM(N246:N248)</f>
        <v>0</v>
      </c>
      <c r="O249" s="160" t="s">
        <v>285</v>
      </c>
      <c r="P249" s="145"/>
      <c r="Q249" s="146"/>
      <c r="R249" s="144"/>
      <c r="S249" s="147"/>
    </row>
    <row r="250" spans="1:19" ht="16.5" thickBot="1">
      <c r="A250" s="5" t="s">
        <v>2</v>
      </c>
      <c r="B250" s="8"/>
      <c r="C250" s="23" t="s">
        <v>82</v>
      </c>
      <c r="D250" s="78" t="s">
        <v>83</v>
      </c>
      <c r="E250" s="78" t="s">
        <v>11</v>
      </c>
      <c r="F250" s="14"/>
      <c r="G250" s="78" t="s">
        <v>84</v>
      </c>
      <c r="H250" s="14"/>
      <c r="I250" s="14"/>
      <c r="J250" s="14"/>
      <c r="K250" s="18"/>
      <c r="N250" s="161">
        <f>N244-N249</f>
        <v>1431921</v>
      </c>
      <c r="O250" s="162" t="s">
        <v>286</v>
      </c>
      <c r="P250" s="163"/>
      <c r="Q250" s="164"/>
      <c r="R250" s="165"/>
      <c r="S250" s="166"/>
    </row>
    <row r="251" spans="1:19">
      <c r="A251" s="5">
        <v>12</v>
      </c>
      <c r="B251" s="8" t="s">
        <v>44</v>
      </c>
      <c r="C251" s="14" t="s">
        <v>215</v>
      </c>
      <c r="D251" s="22">
        <f>'Labor Ratios'!C11</f>
        <v>73827469</v>
      </c>
      <c r="E251" s="79">
        <v>0</v>
      </c>
      <c r="F251" s="79"/>
      <c r="G251" s="14">
        <f>D251*E251</f>
        <v>0</v>
      </c>
      <c r="H251" s="14"/>
      <c r="I251" s="14"/>
      <c r="J251" s="14"/>
      <c r="K251" s="18"/>
    </row>
    <row r="252" spans="1:19">
      <c r="A252" s="5">
        <v>13</v>
      </c>
      <c r="B252" s="8" t="s">
        <v>46</v>
      </c>
      <c r="C252" s="14" t="s">
        <v>216</v>
      </c>
      <c r="D252" s="22">
        <f>'Labor Ratios'!C13</f>
        <v>8945454</v>
      </c>
      <c r="E252" s="79">
        <f>+I238</f>
        <v>1</v>
      </c>
      <c r="F252" s="79"/>
      <c r="G252" s="14">
        <f>D252*E252</f>
        <v>8945454</v>
      </c>
      <c r="H252" s="14"/>
      <c r="I252" s="14"/>
      <c r="J252" s="14"/>
      <c r="K252" s="18"/>
    </row>
    <row r="253" spans="1:19">
      <c r="A253" s="5">
        <v>14</v>
      </c>
      <c r="B253" s="8" t="s">
        <v>47</v>
      </c>
      <c r="C253" s="14" t="s">
        <v>217</v>
      </c>
      <c r="D253" s="22">
        <f>'Labor Ratios'!C15</f>
        <v>40834389</v>
      </c>
      <c r="E253" s="79">
        <v>0</v>
      </c>
      <c r="F253" s="79"/>
      <c r="G253" s="14">
        <f>D253*E253</f>
        <v>0</v>
      </c>
      <c r="H253" s="14"/>
      <c r="I253" s="80" t="s">
        <v>85</v>
      </c>
      <c r="J253" s="14"/>
      <c r="K253" s="18"/>
    </row>
    <row r="254" spans="1:19" ht="16.5" thickBot="1">
      <c r="A254" s="5">
        <v>15</v>
      </c>
      <c r="B254" s="8" t="s">
        <v>86</v>
      </c>
      <c r="C254" s="14" t="s">
        <v>252</v>
      </c>
      <c r="D254" s="46">
        <f>'Labor Ratios'!C20</f>
        <v>17452361</v>
      </c>
      <c r="E254" s="79">
        <v>0</v>
      </c>
      <c r="F254" s="79"/>
      <c r="G254" s="23">
        <f>D254*E254</f>
        <v>0</v>
      </c>
      <c r="H254" s="14"/>
      <c r="I254" s="16" t="s">
        <v>87</v>
      </c>
      <c r="J254" s="14"/>
      <c r="K254" s="18"/>
    </row>
    <row r="255" spans="1:19">
      <c r="A255" s="5">
        <v>16</v>
      </c>
      <c r="B255" s="8" t="s">
        <v>179</v>
      </c>
      <c r="C255" s="14"/>
      <c r="D255" s="14">
        <f>SUM(D251:D254)</f>
        <v>141059673</v>
      </c>
      <c r="E255" s="14"/>
      <c r="F255" s="14"/>
      <c r="G255" s="14">
        <f>SUM(G251:G254)</f>
        <v>8945454</v>
      </c>
      <c r="H255" s="37" t="s">
        <v>88</v>
      </c>
      <c r="I255" s="45">
        <f>IF(G255&gt;0,G255/D255,0)</f>
        <v>6.3416097668112417E-2</v>
      </c>
      <c r="J255" s="77" t="s">
        <v>88</v>
      </c>
      <c r="K255" s="18" t="s">
        <v>171</v>
      </c>
    </row>
    <row r="256" spans="1:19" ht="9" customHeight="1">
      <c r="A256" s="5"/>
      <c r="B256" s="8"/>
      <c r="C256" s="14"/>
      <c r="D256" s="14"/>
      <c r="E256" s="14"/>
      <c r="F256" s="14"/>
      <c r="G256" s="14"/>
      <c r="H256" s="14"/>
      <c r="I256" s="14"/>
      <c r="J256" s="14"/>
      <c r="K256" s="18"/>
    </row>
    <row r="257" spans="1:11">
      <c r="A257" s="5"/>
      <c r="B257" s="8" t="s">
        <v>253</v>
      </c>
      <c r="C257" s="14"/>
      <c r="D257" s="40" t="s">
        <v>83</v>
      </c>
      <c r="E257" s="14"/>
      <c r="F257" s="14"/>
      <c r="G257" s="77" t="s">
        <v>89</v>
      </c>
      <c r="H257" s="60" t="s">
        <v>2</v>
      </c>
      <c r="I257" s="47" t="str">
        <f>+I253</f>
        <v>W&amp;S Allocator</v>
      </c>
      <c r="J257" s="14"/>
      <c r="K257" s="18"/>
    </row>
    <row r="258" spans="1:11">
      <c r="A258" s="5">
        <v>17</v>
      </c>
      <c r="B258" s="8" t="s">
        <v>90</v>
      </c>
      <c r="C258" s="14" t="s">
        <v>91</v>
      </c>
      <c r="D258" s="22">
        <f>'Plant Balance'!D23+'Plant Balance'!E23+'Plant Balance'!F23</f>
        <v>12586314235.846155</v>
      </c>
      <c r="E258" s="14"/>
      <c r="G258" s="5" t="s">
        <v>92</v>
      </c>
      <c r="H258" s="81"/>
      <c r="I258" s="5" t="s">
        <v>93</v>
      </c>
      <c r="J258" s="14"/>
      <c r="K258" s="11" t="s">
        <v>94</v>
      </c>
    </row>
    <row r="259" spans="1:11">
      <c r="A259" s="5">
        <v>18</v>
      </c>
      <c r="B259" s="8" t="s">
        <v>95</v>
      </c>
      <c r="C259" s="14" t="s">
        <v>193</v>
      </c>
      <c r="D259" s="22">
        <f>'Plant Balance'!H23</f>
        <v>1208898603</v>
      </c>
      <c r="E259" s="14"/>
      <c r="G259" s="20">
        <f>IF(D261&gt;0,D258/D261,0)</f>
        <v>0.91236825287712531</v>
      </c>
      <c r="H259" s="77" t="s">
        <v>96</v>
      </c>
      <c r="I259" s="20">
        <f>I255</f>
        <v>6.3416097668112417E-2</v>
      </c>
      <c r="J259" s="60" t="s">
        <v>88</v>
      </c>
      <c r="K259" s="82">
        <f>I259*G259</f>
        <v>5.7858834233740865E-2</v>
      </c>
    </row>
    <row r="260" spans="1:11" ht="16.5" thickBot="1">
      <c r="A260" s="5">
        <v>19</v>
      </c>
      <c r="B260" s="83" t="s">
        <v>97</v>
      </c>
      <c r="C260" s="23" t="s">
        <v>194</v>
      </c>
      <c r="D260" s="46">
        <v>0</v>
      </c>
      <c r="E260" s="14"/>
      <c r="F260" s="14"/>
      <c r="G260" s="14" t="s">
        <v>2</v>
      </c>
      <c r="H260" s="14"/>
      <c r="I260" s="14"/>
      <c r="J260" s="14"/>
      <c r="K260" s="18"/>
    </row>
    <row r="261" spans="1:11">
      <c r="A261" s="5">
        <v>20</v>
      </c>
      <c r="B261" s="8" t="s">
        <v>150</v>
      </c>
      <c r="C261" s="14"/>
      <c r="D261" s="14">
        <f>D258+D259+D260</f>
        <v>13795212838.846155</v>
      </c>
      <c r="E261" s="14"/>
      <c r="F261" s="14"/>
      <c r="G261" s="14"/>
      <c r="H261" s="14"/>
      <c r="I261" s="14"/>
      <c r="J261" s="14"/>
      <c r="K261" s="18"/>
    </row>
    <row r="262" spans="1:11" ht="9" customHeight="1">
      <c r="A262" s="5"/>
      <c r="B262" s="8"/>
      <c r="C262" s="14"/>
      <c r="E262" s="14"/>
      <c r="F262" s="14"/>
      <c r="G262" s="14"/>
      <c r="H262" s="14"/>
      <c r="I262" s="14"/>
      <c r="J262" s="14"/>
      <c r="K262" s="18"/>
    </row>
    <row r="263" spans="1:11" ht="16.5" thickBot="1">
      <c r="A263" s="5"/>
      <c r="B263" s="2" t="s">
        <v>98</v>
      </c>
      <c r="C263" s="14"/>
      <c r="D263" s="14"/>
      <c r="E263" s="14"/>
      <c r="F263" s="14"/>
      <c r="G263" s="14"/>
      <c r="H263" s="14"/>
      <c r="I263" s="78" t="s">
        <v>83</v>
      </c>
      <c r="J263" s="14"/>
      <c r="K263" s="18"/>
    </row>
    <row r="264" spans="1:11">
      <c r="A264" s="5">
        <v>21</v>
      </c>
      <c r="B264" s="4"/>
      <c r="C264" s="14" t="s">
        <v>197</v>
      </c>
      <c r="D264" s="14"/>
      <c r="E264" s="14"/>
      <c r="F264" s="14"/>
      <c r="G264" s="14"/>
      <c r="H264" s="14"/>
      <c r="I264" s="84">
        <f>'Cost of Debt'!D24</f>
        <v>178057811</v>
      </c>
      <c r="J264" s="14"/>
      <c r="K264" s="18"/>
    </row>
    <row r="265" spans="1:11" ht="9" customHeight="1">
      <c r="A265" s="5"/>
      <c r="B265" s="8"/>
      <c r="C265" s="14"/>
      <c r="D265" s="14"/>
      <c r="E265" s="14"/>
      <c r="F265" s="14"/>
      <c r="G265" s="14"/>
      <c r="H265" s="14"/>
      <c r="I265" s="14"/>
      <c r="J265" s="14"/>
      <c r="K265" s="18"/>
    </row>
    <row r="266" spans="1:11">
      <c r="A266" s="5">
        <v>22</v>
      </c>
      <c r="B266" s="2"/>
      <c r="C266" s="14" t="s">
        <v>99</v>
      </c>
      <c r="D266" s="14"/>
      <c r="E266" s="14"/>
      <c r="F266" s="14"/>
      <c r="G266" s="14"/>
      <c r="H266" s="18"/>
      <c r="I266" s="85">
        <f>'Pref Stock'!C11</f>
        <v>1098024</v>
      </c>
      <c r="J266" s="14"/>
      <c r="K266" s="18"/>
    </row>
    <row r="267" spans="1:11" ht="9" customHeight="1">
      <c r="A267" s="5"/>
      <c r="B267" s="2"/>
      <c r="C267" s="14"/>
      <c r="D267" s="14"/>
      <c r="E267" s="14"/>
      <c r="F267" s="14"/>
      <c r="G267" s="14"/>
      <c r="H267" s="14"/>
      <c r="I267" s="14"/>
      <c r="J267" s="14"/>
      <c r="K267" s="18"/>
    </row>
    <row r="268" spans="1:11">
      <c r="A268" s="5"/>
      <c r="B268" s="2" t="s">
        <v>100</v>
      </c>
      <c r="C268" s="14"/>
      <c r="D268" s="14"/>
      <c r="E268" s="14"/>
      <c r="F268" s="14"/>
      <c r="G268" s="14"/>
      <c r="H268" s="14"/>
      <c r="I268" s="14"/>
      <c r="J268" s="14"/>
      <c r="K268" s="18"/>
    </row>
    <row r="269" spans="1:11">
      <c r="A269" s="5">
        <v>23</v>
      </c>
      <c r="B269" s="2"/>
      <c r="C269" s="14" t="s">
        <v>198</v>
      </c>
      <c r="D269" s="4"/>
      <c r="E269" s="14"/>
      <c r="F269" s="14"/>
      <c r="G269" s="14"/>
      <c r="H269" s="14"/>
      <c r="I269" s="22">
        <f>'Common Equity'!C23</f>
        <v>4076748289.1538463</v>
      </c>
      <c r="J269" s="14"/>
      <c r="K269" s="18"/>
    </row>
    <row r="270" spans="1:11">
      <c r="A270" s="5">
        <v>24</v>
      </c>
      <c r="B270" s="2"/>
      <c r="C270" s="14" t="s">
        <v>180</v>
      </c>
      <c r="D270" s="14"/>
      <c r="E270" s="14"/>
      <c r="F270" s="14"/>
      <c r="G270" s="14"/>
      <c r="H270" s="14"/>
      <c r="I270" s="86">
        <f>-D276</f>
        <v>-26821700</v>
      </c>
      <c r="J270" s="14"/>
      <c r="K270" s="18"/>
    </row>
    <row r="271" spans="1:11" ht="16.5" thickBot="1">
      <c r="A271" s="5">
        <v>25</v>
      </c>
      <c r="B271" s="2"/>
      <c r="C271" s="14" t="s">
        <v>199</v>
      </c>
      <c r="D271" s="14"/>
      <c r="E271" s="14"/>
      <c r="F271" s="14"/>
      <c r="G271" s="14"/>
      <c r="H271" s="14"/>
      <c r="I271" s="46">
        <f>'Acct 216.1'!C10*(-1)</f>
        <v>-13646272</v>
      </c>
      <c r="J271" s="14"/>
      <c r="K271" s="18"/>
    </row>
    <row r="272" spans="1:11">
      <c r="A272" s="5">
        <v>26</v>
      </c>
      <c r="B272" s="4"/>
      <c r="C272" s="14" t="s">
        <v>101</v>
      </c>
      <c r="D272" s="4" t="s">
        <v>102</v>
      </c>
      <c r="E272" s="4"/>
      <c r="F272" s="4"/>
      <c r="G272" s="4"/>
      <c r="H272" s="4"/>
      <c r="I272" s="14">
        <f>+I269+I270+I271</f>
        <v>4036280317.1538463</v>
      </c>
      <c r="J272" s="14"/>
      <c r="K272" s="18"/>
    </row>
    <row r="273" spans="1:11">
      <c r="A273" s="5"/>
      <c r="B273" s="8"/>
      <c r="C273" s="14"/>
      <c r="D273" s="14"/>
      <c r="E273" s="14"/>
      <c r="F273" s="14"/>
      <c r="G273" s="77" t="s">
        <v>103</v>
      </c>
      <c r="H273" s="14"/>
      <c r="I273" s="14"/>
      <c r="J273" s="14"/>
      <c r="K273" s="18"/>
    </row>
    <row r="274" spans="1:11" ht="16.5" thickBot="1">
      <c r="A274" s="5"/>
      <c r="B274" s="8"/>
      <c r="C274" s="14"/>
      <c r="D274" s="16" t="s">
        <v>83</v>
      </c>
      <c r="E274" s="16" t="s">
        <v>104</v>
      </c>
      <c r="F274" s="14"/>
      <c r="G274" s="16" t="s">
        <v>105</v>
      </c>
      <c r="H274" s="14"/>
      <c r="I274" s="16" t="s">
        <v>106</v>
      </c>
      <c r="J274" s="14"/>
      <c r="K274" s="18"/>
    </row>
    <row r="275" spans="1:11">
      <c r="A275" s="5">
        <v>27</v>
      </c>
      <c r="B275" s="2" t="s">
        <v>200</v>
      </c>
      <c r="D275" s="22">
        <f>'Cost of Debt'!C23</f>
        <v>4013087092.3076925</v>
      </c>
      <c r="E275" s="87">
        <f>IF($D$278&gt;0,D275/$D$278,0)</f>
        <v>0.4969035566052088</v>
      </c>
      <c r="F275" s="88"/>
      <c r="G275" s="88">
        <f>IF(D275&gt;0,I264/D275,0)</f>
        <v>4.436928651294466E-2</v>
      </c>
      <c r="I275" s="88">
        <f>G275*E275</f>
        <v>2.2047256272317725E-2</v>
      </c>
      <c r="J275" s="89" t="s">
        <v>107</v>
      </c>
    </row>
    <row r="276" spans="1:11">
      <c r="A276" s="5">
        <v>28</v>
      </c>
      <c r="B276" s="2" t="s">
        <v>254</v>
      </c>
      <c r="D276" s="22">
        <f>'Pref Stock'!C9</f>
        <v>26821700</v>
      </c>
      <c r="E276" s="87">
        <f>IF($D$278&gt;0,D276/$D$278,0)</f>
        <v>3.3210836988174829E-3</v>
      </c>
      <c r="F276" s="88"/>
      <c r="G276" s="88">
        <f>IF(D276&gt;0,I266/D276,0)</f>
        <v>4.0937897299574595E-2</v>
      </c>
      <c r="I276" s="88">
        <f>G276*E276</f>
        <v>1.3595818338548143E-4</v>
      </c>
      <c r="J276" s="14"/>
    </row>
    <row r="277" spans="1:11" ht="16.5" thickBot="1">
      <c r="A277" s="5">
        <v>29</v>
      </c>
      <c r="B277" s="2" t="s">
        <v>108</v>
      </c>
      <c r="D277" s="23">
        <f>I272</f>
        <v>4036280317.1538463</v>
      </c>
      <c r="E277" s="87">
        <f>IF($D$278&gt;0,D277/$D$278,0)</f>
        <v>0.49977535969597375</v>
      </c>
      <c r="F277" s="88"/>
      <c r="G277" s="90">
        <v>0.12379999999999999</v>
      </c>
      <c r="I277" s="91">
        <f>G277*E277</f>
        <v>6.1872189530361547E-2</v>
      </c>
      <c r="J277" s="14"/>
    </row>
    <row r="278" spans="1:11">
      <c r="A278" s="5">
        <v>30</v>
      </c>
      <c r="B278" s="8" t="s">
        <v>175</v>
      </c>
      <c r="D278" s="14">
        <f>D277+D276+D275</f>
        <v>8076189109.4615383</v>
      </c>
      <c r="E278" s="14" t="s">
        <v>2</v>
      </c>
      <c r="F278" s="14"/>
      <c r="G278" s="14"/>
      <c r="H278" s="14"/>
      <c r="I278" s="88">
        <f>SUM(I275:I277)</f>
        <v>8.4055403986064758E-2</v>
      </c>
      <c r="J278" s="89" t="s">
        <v>109</v>
      </c>
    </row>
    <row r="279" spans="1:11" ht="9" customHeight="1">
      <c r="E279" s="14"/>
      <c r="F279" s="14"/>
      <c r="G279" s="14"/>
      <c r="H279" s="14"/>
    </row>
    <row r="280" spans="1:11">
      <c r="A280" s="5"/>
      <c r="B280" s="2" t="s">
        <v>110</v>
      </c>
      <c r="C280" s="4"/>
      <c r="D280" s="4"/>
      <c r="E280" s="4"/>
      <c r="F280" s="4"/>
      <c r="G280" s="4"/>
      <c r="H280" s="4"/>
      <c r="I280" s="4"/>
      <c r="J280" s="4"/>
      <c r="K280" s="25"/>
    </row>
    <row r="281" spans="1:11" ht="9" customHeight="1">
      <c r="A281" s="5"/>
      <c r="B281" s="2"/>
      <c r="C281" s="2"/>
      <c r="D281" s="2"/>
      <c r="E281" s="2"/>
      <c r="F281" s="2"/>
      <c r="G281" s="2"/>
      <c r="H281" s="2"/>
      <c r="J281" s="92"/>
    </row>
    <row r="282" spans="1:11" ht="16.5" thickBot="1">
      <c r="A282" s="5"/>
      <c r="B282" s="2" t="s">
        <v>111</v>
      </c>
      <c r="C282" s="4"/>
      <c r="D282" s="4" t="s">
        <v>112</v>
      </c>
      <c r="E282" s="4" t="s">
        <v>113</v>
      </c>
      <c r="F282" s="4"/>
      <c r="G282" s="93" t="s">
        <v>2</v>
      </c>
      <c r="H282" s="94"/>
      <c r="I282" s="16" t="s">
        <v>151</v>
      </c>
      <c r="J282" s="95"/>
    </row>
    <row r="283" spans="1:11">
      <c r="A283" s="5">
        <v>31</v>
      </c>
      <c r="B283" s="1" t="s">
        <v>141</v>
      </c>
      <c r="C283" s="4"/>
      <c r="D283" s="4"/>
      <c r="F283" s="4"/>
      <c r="H283" s="94"/>
      <c r="I283" s="96">
        <v>0</v>
      </c>
      <c r="J283" s="97"/>
    </row>
    <row r="284" spans="1:11" ht="16.5" thickBot="1">
      <c r="A284" s="5">
        <v>32</v>
      </c>
      <c r="B284" s="51" t="s">
        <v>177</v>
      </c>
      <c r="C284" s="98"/>
      <c r="D284" s="127"/>
      <c r="E284" s="118"/>
      <c r="F284" s="118"/>
      <c r="G284" s="118"/>
      <c r="H284" s="4"/>
      <c r="I284" s="99">
        <v>0</v>
      </c>
      <c r="J284" s="100"/>
    </row>
    <row r="285" spans="1:11">
      <c r="A285" s="5">
        <v>33</v>
      </c>
      <c r="B285" s="1" t="s">
        <v>114</v>
      </c>
      <c r="C285" s="9"/>
      <c r="E285" s="4"/>
      <c r="F285" s="4"/>
      <c r="G285" s="4"/>
      <c r="H285" s="4"/>
      <c r="I285" s="101">
        <f>+I283-I284</f>
        <v>0</v>
      </c>
      <c r="J285" s="97"/>
    </row>
    <row r="286" spans="1:11" ht="9" customHeight="1">
      <c r="A286" s="5"/>
      <c r="B286" s="1" t="s">
        <v>2</v>
      </c>
      <c r="C286" s="9"/>
      <c r="E286" s="4"/>
      <c r="F286" s="4"/>
      <c r="G286" s="35"/>
      <c r="H286" s="4"/>
      <c r="I286" s="102" t="s">
        <v>2</v>
      </c>
      <c r="J286" s="95"/>
      <c r="K286" s="103"/>
    </row>
    <row r="287" spans="1:11">
      <c r="A287" s="5">
        <v>34</v>
      </c>
      <c r="B287" s="2" t="s">
        <v>255</v>
      </c>
      <c r="C287" s="9"/>
      <c r="E287" s="4"/>
      <c r="F287" s="4"/>
      <c r="G287" s="104"/>
      <c r="H287" s="4"/>
      <c r="I287" s="105">
        <f>'454 rents'!P12</f>
        <v>222088.5</v>
      </c>
      <c r="J287" s="95"/>
      <c r="K287" s="103"/>
    </row>
    <row r="288" spans="1:11" ht="9" customHeight="1">
      <c r="A288" s="5"/>
      <c r="C288" s="4"/>
      <c r="D288" s="4"/>
      <c r="E288" s="4"/>
      <c r="F288" s="4"/>
      <c r="G288" s="4"/>
      <c r="H288" s="4"/>
      <c r="I288" s="102"/>
      <c r="J288" s="95"/>
      <c r="K288" s="103"/>
    </row>
    <row r="289" spans="1:11">
      <c r="B289" s="2" t="s">
        <v>256</v>
      </c>
      <c r="C289" s="4"/>
      <c r="D289" s="4" t="s">
        <v>195</v>
      </c>
      <c r="E289" s="4"/>
      <c r="F289" s="4"/>
      <c r="G289" s="4"/>
      <c r="H289" s="4"/>
      <c r="K289" s="106"/>
    </row>
    <row r="290" spans="1:11">
      <c r="A290" s="5">
        <v>35</v>
      </c>
      <c r="B290" s="2" t="s">
        <v>115</v>
      </c>
      <c r="C290" s="14"/>
      <c r="D290" s="14"/>
      <c r="E290" s="14"/>
      <c r="F290" s="14"/>
      <c r="G290" s="14"/>
      <c r="H290" s="14"/>
      <c r="I290" s="107">
        <f>'trans for others'!K7</f>
        <v>36731211</v>
      </c>
      <c r="J290" s="108"/>
      <c r="K290" s="106"/>
    </row>
    <row r="291" spans="1:11">
      <c r="A291" s="5">
        <v>36</v>
      </c>
      <c r="B291" s="119" t="s">
        <v>176</v>
      </c>
      <c r="C291" s="118"/>
      <c r="D291" s="118"/>
      <c r="E291" s="118"/>
      <c r="F291" s="118"/>
      <c r="G291" s="118"/>
      <c r="H291" s="4"/>
      <c r="I291" s="107">
        <f>'trans for others'!K35</f>
        <v>1655142</v>
      </c>
      <c r="K291" s="109"/>
    </row>
    <row r="292" spans="1:11">
      <c r="A292" s="114" t="s">
        <v>219</v>
      </c>
      <c r="B292" s="309" t="s">
        <v>541</v>
      </c>
      <c r="C292" s="310"/>
      <c r="D292" s="118"/>
      <c r="E292" s="118"/>
      <c r="F292" s="118"/>
      <c r="G292" s="118"/>
      <c r="H292" s="4"/>
      <c r="I292" s="107">
        <v>92201</v>
      </c>
      <c r="K292" s="109"/>
    </row>
    <row r="293" spans="1:11" ht="16.5" thickBot="1">
      <c r="A293" s="114" t="s">
        <v>531</v>
      </c>
      <c r="B293" s="135" t="s">
        <v>532</v>
      </c>
      <c r="C293" s="69"/>
      <c r="D293" s="118"/>
      <c r="E293" s="118"/>
      <c r="F293" s="118"/>
      <c r="G293" s="118"/>
      <c r="H293" s="4"/>
      <c r="I293" s="134">
        <v>9174200</v>
      </c>
      <c r="K293" s="109"/>
    </row>
    <row r="294" spans="1:11">
      <c r="A294" s="5">
        <v>37</v>
      </c>
      <c r="B294" s="110" t="s">
        <v>533</v>
      </c>
      <c r="C294" s="5"/>
      <c r="D294" s="14"/>
      <c r="E294" s="14"/>
      <c r="F294" s="14"/>
      <c r="G294" s="14"/>
      <c r="H294" s="4"/>
      <c r="I294" s="111">
        <f>+I290-I291-I292-I293</f>
        <v>25809668</v>
      </c>
      <c r="J294" s="108"/>
      <c r="K294" s="112"/>
    </row>
    <row r="295" spans="1:11">
      <c r="A295" s="5"/>
      <c r="B295" s="110"/>
      <c r="C295" s="5"/>
      <c r="D295" s="14"/>
      <c r="E295" s="14"/>
      <c r="F295" s="14"/>
      <c r="G295" s="14"/>
      <c r="H295" s="4"/>
      <c r="I295" s="111"/>
      <c r="J295" s="108"/>
      <c r="K295" s="112"/>
    </row>
    <row r="296" spans="1:11">
      <c r="A296" s="5"/>
      <c r="B296" s="110"/>
      <c r="C296" s="5"/>
      <c r="D296" s="14"/>
      <c r="E296" s="14"/>
      <c r="F296" s="14"/>
      <c r="G296" s="14"/>
      <c r="H296" s="4"/>
      <c r="I296" s="111"/>
      <c r="J296" s="108"/>
      <c r="K296" s="112"/>
    </row>
    <row r="297" spans="1:11">
      <c r="A297" s="5"/>
      <c r="B297" s="110"/>
      <c r="C297" s="5"/>
      <c r="D297" s="14"/>
      <c r="E297" s="14"/>
      <c r="F297" s="14"/>
      <c r="G297" s="14"/>
      <c r="H297" s="4"/>
      <c r="I297" s="111"/>
      <c r="J297" s="108"/>
      <c r="K297" s="112"/>
    </row>
    <row r="298" spans="1:11">
      <c r="A298" s="437"/>
      <c r="B298" s="437"/>
      <c r="C298" s="437"/>
      <c r="D298" s="14"/>
      <c r="E298" s="14"/>
      <c r="F298" s="47"/>
      <c r="G298" s="438"/>
      <c r="H298" s="438"/>
      <c r="I298" s="438"/>
      <c r="J298" s="438"/>
      <c r="K298" s="438"/>
    </row>
    <row r="299" spans="1:11">
      <c r="B299" s="2"/>
      <c r="C299" s="2"/>
      <c r="D299" s="3"/>
      <c r="E299" s="2"/>
      <c r="F299" s="2"/>
      <c r="G299" s="447"/>
      <c r="H299" s="448"/>
      <c r="I299" s="448"/>
      <c r="J299" s="448"/>
      <c r="K299" s="448"/>
    </row>
    <row r="300" spans="1:11">
      <c r="B300" s="2"/>
      <c r="C300" s="2"/>
      <c r="D300" s="3"/>
      <c r="E300" s="2"/>
      <c r="F300" s="2"/>
      <c r="G300" s="447"/>
      <c r="H300" s="447"/>
      <c r="I300" s="447"/>
      <c r="J300" s="447"/>
      <c r="K300" s="447"/>
    </row>
    <row r="301" spans="1:11">
      <c r="B301" s="2"/>
      <c r="C301" s="2"/>
      <c r="D301" s="3"/>
      <c r="E301" s="2"/>
      <c r="F301" s="2"/>
      <c r="G301" s="2"/>
      <c r="H301" s="4"/>
      <c r="I301" s="446" t="s">
        <v>188</v>
      </c>
      <c r="J301" s="446"/>
      <c r="K301" s="446"/>
    </row>
    <row r="302" spans="1:11">
      <c r="B302" s="2"/>
      <c r="C302" s="2"/>
      <c r="D302" s="3"/>
      <c r="E302" s="2"/>
      <c r="F302" s="2"/>
      <c r="G302" s="2"/>
      <c r="H302" s="4"/>
      <c r="I302" s="4"/>
      <c r="J302" s="445" t="s">
        <v>495</v>
      </c>
      <c r="K302" s="445"/>
    </row>
    <row r="303" spans="1:11">
      <c r="B303" s="2"/>
      <c r="C303" s="2"/>
      <c r="D303" s="3"/>
      <c r="E303" s="2"/>
      <c r="F303" s="2"/>
      <c r="G303" s="2"/>
      <c r="H303" s="4"/>
      <c r="I303" s="4"/>
      <c r="J303" s="9"/>
      <c r="K303" s="36"/>
    </row>
    <row r="304" spans="1:11">
      <c r="B304" s="2" t="s">
        <v>0</v>
      </c>
      <c r="C304" s="2"/>
      <c r="D304" s="3" t="s">
        <v>1</v>
      </c>
      <c r="E304" s="2"/>
      <c r="F304" s="2"/>
      <c r="G304" s="2"/>
      <c r="H304" s="4"/>
      <c r="I304" s="4"/>
      <c r="J304" s="9"/>
      <c r="K304" s="36" t="str">
        <f>K7</f>
        <v>Estimated - For the 12 months ended 12/31/14</v>
      </c>
    </row>
    <row r="305" spans="1:11">
      <c r="B305" s="2"/>
      <c r="C305" s="14" t="s">
        <v>2</v>
      </c>
      <c r="D305" s="14" t="s">
        <v>3</v>
      </c>
      <c r="E305" s="14"/>
      <c r="F305" s="14"/>
      <c r="G305" s="14"/>
      <c r="H305" s="4"/>
      <c r="I305" s="4"/>
      <c r="J305" s="9"/>
      <c r="K305" s="12"/>
    </row>
    <row r="306" spans="1:11">
      <c r="A306" s="5"/>
      <c r="B306" s="110"/>
      <c r="C306" s="5"/>
      <c r="D306" s="14"/>
      <c r="E306" s="14"/>
      <c r="F306" s="14"/>
      <c r="G306" s="14"/>
      <c r="H306" s="4"/>
      <c r="I306" s="113"/>
      <c r="J306" s="95"/>
      <c r="K306" s="112"/>
    </row>
    <row r="307" spans="1:11">
      <c r="A307" s="5"/>
      <c r="B307" s="110"/>
      <c r="C307" s="5"/>
      <c r="D307" s="14" t="str">
        <f>D10</f>
        <v>MidAmerican Energy Company</v>
      </c>
      <c r="E307" s="14"/>
      <c r="F307" s="14"/>
      <c r="G307" s="14"/>
      <c r="H307" s="4"/>
      <c r="I307" s="113"/>
      <c r="J307" s="95"/>
      <c r="K307" s="112"/>
    </row>
    <row r="308" spans="1:11">
      <c r="A308" s="5"/>
      <c r="B308" s="110"/>
      <c r="C308" s="5"/>
      <c r="D308" s="14"/>
      <c r="E308" s="14"/>
      <c r="F308" s="14"/>
      <c r="G308" s="14"/>
      <c r="H308" s="4"/>
      <c r="I308" s="113"/>
      <c r="J308" s="95"/>
      <c r="K308" s="112"/>
    </row>
    <row r="309" spans="1:11">
      <c r="A309" s="5"/>
      <c r="B309" s="2" t="s">
        <v>227</v>
      </c>
      <c r="C309" s="5"/>
      <c r="D309" s="14"/>
      <c r="E309" s="14"/>
      <c r="F309" s="14"/>
      <c r="G309" s="14"/>
      <c r="H309" s="4"/>
      <c r="I309" s="14"/>
      <c r="J309" s="4"/>
      <c r="K309" s="18"/>
    </row>
    <row r="310" spans="1:11">
      <c r="A310" s="5"/>
      <c r="B310" s="122" t="s">
        <v>226</v>
      </c>
      <c r="C310" s="5"/>
      <c r="D310" s="14"/>
      <c r="E310" s="14"/>
      <c r="F310" s="14"/>
      <c r="G310" s="14"/>
      <c r="H310" s="4"/>
      <c r="I310" s="14"/>
      <c r="J310" s="4"/>
      <c r="K310" s="18"/>
    </row>
    <row r="311" spans="1:11">
      <c r="A311" s="5" t="s">
        <v>116</v>
      </c>
      <c r="B311" s="2"/>
      <c r="C311" s="4"/>
      <c r="D311" s="14"/>
      <c r="E311" s="14"/>
      <c r="F311" s="14"/>
      <c r="G311" s="14"/>
      <c r="H311" s="4"/>
      <c r="I311" s="14"/>
      <c r="J311" s="4"/>
      <c r="K311" s="18"/>
    </row>
    <row r="312" spans="1:11" ht="16.5" thickBot="1">
      <c r="A312" s="16" t="s">
        <v>117</v>
      </c>
      <c r="B312" s="2"/>
      <c r="C312" s="4"/>
      <c r="D312" s="14"/>
      <c r="E312" s="14"/>
      <c r="F312" s="14"/>
      <c r="G312" s="14"/>
      <c r="H312" s="4"/>
      <c r="I312" s="14"/>
      <c r="J312" s="4"/>
      <c r="K312" s="18"/>
    </row>
    <row r="313" spans="1:11">
      <c r="A313" s="128" t="s">
        <v>118</v>
      </c>
      <c r="B313" s="450" t="s">
        <v>292</v>
      </c>
      <c r="C313" s="450"/>
      <c r="D313" s="450"/>
      <c r="E313" s="450"/>
      <c r="F313" s="450"/>
      <c r="G313" s="450"/>
      <c r="H313" s="450"/>
      <c r="I313" s="450"/>
      <c r="J313" s="450"/>
      <c r="K313" s="450"/>
    </row>
    <row r="314" spans="1:11">
      <c r="A314" s="128" t="s">
        <v>119</v>
      </c>
      <c r="B314" s="450" t="s">
        <v>293</v>
      </c>
      <c r="C314" s="450"/>
      <c r="D314" s="450"/>
      <c r="E314" s="450"/>
      <c r="F314" s="450"/>
      <c r="G314" s="450"/>
      <c r="H314" s="450"/>
      <c r="I314" s="450"/>
      <c r="J314" s="450"/>
      <c r="K314" s="450"/>
    </row>
    <row r="315" spans="1:11">
      <c r="A315" s="128" t="s">
        <v>120</v>
      </c>
      <c r="B315" s="450" t="s">
        <v>294</v>
      </c>
      <c r="C315" s="450"/>
      <c r="D315" s="450"/>
      <c r="E315" s="450"/>
      <c r="F315" s="450"/>
      <c r="G315" s="450"/>
      <c r="H315" s="450"/>
      <c r="I315" s="450"/>
      <c r="J315" s="450"/>
      <c r="K315" s="450"/>
    </row>
    <row r="316" spans="1:11">
      <c r="A316" s="128" t="s">
        <v>121</v>
      </c>
      <c r="B316" s="450" t="s">
        <v>294</v>
      </c>
      <c r="C316" s="450"/>
      <c r="D316" s="450"/>
      <c r="E316" s="450"/>
      <c r="F316" s="450"/>
      <c r="G316" s="450"/>
      <c r="H316" s="450"/>
      <c r="I316" s="450"/>
      <c r="J316" s="450"/>
      <c r="K316" s="450"/>
    </row>
    <row r="317" spans="1:11">
      <c r="A317" s="128" t="s">
        <v>122</v>
      </c>
      <c r="B317" s="450" t="s">
        <v>183</v>
      </c>
      <c r="C317" s="450"/>
      <c r="D317" s="450"/>
      <c r="E317" s="450"/>
      <c r="F317" s="450"/>
      <c r="G317" s="450"/>
      <c r="H317" s="450"/>
      <c r="I317" s="450"/>
      <c r="J317" s="450"/>
      <c r="K317" s="450"/>
    </row>
    <row r="318" spans="1:11" ht="47.25" customHeight="1">
      <c r="A318" s="128" t="s">
        <v>123</v>
      </c>
      <c r="B318" s="450" t="s">
        <v>288</v>
      </c>
      <c r="C318" s="450"/>
      <c r="D318" s="450"/>
      <c r="E318" s="450"/>
      <c r="F318" s="450"/>
      <c r="G318" s="450"/>
      <c r="H318" s="450"/>
      <c r="I318" s="450"/>
      <c r="J318" s="450"/>
      <c r="K318" s="450"/>
    </row>
    <row r="319" spans="1:11">
      <c r="A319" s="128" t="s">
        <v>124</v>
      </c>
      <c r="B319" s="450" t="s">
        <v>125</v>
      </c>
      <c r="C319" s="450"/>
      <c r="D319" s="450"/>
      <c r="E319" s="450"/>
      <c r="F319" s="450"/>
      <c r="G319" s="450"/>
      <c r="H319" s="450"/>
      <c r="I319" s="450"/>
      <c r="J319" s="450"/>
      <c r="K319" s="450"/>
    </row>
    <row r="320" spans="1:11" ht="32.25" customHeight="1">
      <c r="A320" s="128" t="s">
        <v>126</v>
      </c>
      <c r="B320" s="450" t="s">
        <v>265</v>
      </c>
      <c r="C320" s="450"/>
      <c r="D320" s="450"/>
      <c r="E320" s="450"/>
      <c r="F320" s="450"/>
      <c r="G320" s="450"/>
      <c r="H320" s="450"/>
      <c r="I320" s="450"/>
      <c r="J320" s="450"/>
      <c r="K320" s="450"/>
    </row>
    <row r="321" spans="1:11" ht="32.25" customHeight="1">
      <c r="A321" s="128" t="s">
        <v>127</v>
      </c>
      <c r="B321" s="450" t="s">
        <v>266</v>
      </c>
      <c r="C321" s="450"/>
      <c r="D321" s="450"/>
      <c r="E321" s="450"/>
      <c r="F321" s="450"/>
      <c r="G321" s="450"/>
      <c r="H321" s="450"/>
      <c r="I321" s="450"/>
      <c r="J321" s="450"/>
      <c r="K321" s="450"/>
    </row>
    <row r="322" spans="1:11" ht="50.25" customHeight="1">
      <c r="A322" s="128" t="s">
        <v>128</v>
      </c>
      <c r="B322" s="450" t="s">
        <v>542</v>
      </c>
      <c r="C322" s="450"/>
      <c r="D322" s="450"/>
      <c r="E322" s="450"/>
      <c r="F322" s="450"/>
      <c r="G322" s="450"/>
      <c r="H322" s="450"/>
      <c r="I322" s="450"/>
      <c r="J322" s="450"/>
      <c r="K322" s="450"/>
    </row>
    <row r="323" spans="1:11" ht="78.75" customHeight="1">
      <c r="A323" s="128" t="s">
        <v>129</v>
      </c>
      <c r="B323" s="450" t="s">
        <v>267</v>
      </c>
      <c r="C323" s="450"/>
      <c r="D323" s="450"/>
      <c r="E323" s="450"/>
      <c r="F323" s="450"/>
      <c r="G323" s="450"/>
      <c r="H323" s="450"/>
      <c r="I323" s="450"/>
      <c r="J323" s="450"/>
      <c r="K323" s="450"/>
    </row>
    <row r="324" spans="1:11">
      <c r="A324" s="128" t="s">
        <v>2</v>
      </c>
      <c r="B324" s="133" t="s">
        <v>264</v>
      </c>
      <c r="C324" s="129" t="s">
        <v>156</v>
      </c>
      <c r="D324" s="130">
        <f>'footnote k tax'!C8</f>
        <v>0.35</v>
      </c>
      <c r="E324" s="129"/>
      <c r="F324" s="129"/>
      <c r="G324" s="129"/>
      <c r="H324" s="129"/>
      <c r="I324" s="129"/>
      <c r="J324" s="129"/>
      <c r="K324" s="129"/>
    </row>
    <row r="325" spans="1:11">
      <c r="A325" s="128"/>
      <c r="B325" s="129"/>
      <c r="C325" s="129" t="s">
        <v>157</v>
      </c>
      <c r="D325" s="130">
        <f>'footnote k tax'!C9</f>
        <v>8.1983118613746353E-2</v>
      </c>
      <c r="E325" s="450" t="s">
        <v>158</v>
      </c>
      <c r="F325" s="450"/>
      <c r="G325" s="450"/>
      <c r="H325" s="450"/>
      <c r="I325" s="450"/>
      <c r="J325" s="450"/>
      <c r="K325" s="450"/>
    </row>
    <row r="326" spans="1:11">
      <c r="A326" s="128"/>
      <c r="B326" s="129"/>
      <c r="C326" s="129" t="s">
        <v>159</v>
      </c>
      <c r="D326" s="130">
        <f>'footnote k tax'!C14</f>
        <v>0.16065295424259435</v>
      </c>
      <c r="E326" s="450" t="s">
        <v>160</v>
      </c>
      <c r="F326" s="450"/>
      <c r="G326" s="450"/>
      <c r="H326" s="450"/>
      <c r="I326" s="450"/>
      <c r="J326" s="450"/>
      <c r="K326" s="450"/>
    </row>
    <row r="327" spans="1:11">
      <c r="A327" s="128" t="s">
        <v>130</v>
      </c>
      <c r="B327" s="450" t="s">
        <v>206</v>
      </c>
      <c r="C327" s="450"/>
      <c r="D327" s="450"/>
      <c r="E327" s="450"/>
      <c r="F327" s="450"/>
      <c r="G327" s="450"/>
      <c r="H327" s="450"/>
      <c r="I327" s="450"/>
      <c r="J327" s="450"/>
      <c r="K327" s="450"/>
    </row>
    <row r="328" spans="1:11" ht="32.25" customHeight="1">
      <c r="A328" s="128" t="s">
        <v>131</v>
      </c>
      <c r="B328" s="450" t="s">
        <v>268</v>
      </c>
      <c r="C328" s="450"/>
      <c r="D328" s="450"/>
      <c r="E328" s="450"/>
      <c r="F328" s="450"/>
      <c r="G328" s="450"/>
      <c r="H328" s="450"/>
      <c r="I328" s="450"/>
      <c r="J328" s="450"/>
      <c r="K328" s="450"/>
    </row>
    <row r="329" spans="1:11" ht="48" customHeight="1">
      <c r="A329" s="128" t="s">
        <v>132</v>
      </c>
      <c r="B329" s="450" t="s">
        <v>275</v>
      </c>
      <c r="C329" s="450"/>
      <c r="D329" s="450"/>
      <c r="E329" s="450"/>
      <c r="F329" s="450"/>
      <c r="G329" s="450"/>
      <c r="H329" s="450"/>
      <c r="I329" s="450"/>
      <c r="J329" s="450"/>
      <c r="K329" s="450"/>
    </row>
    <row r="330" spans="1:11">
      <c r="A330" s="128" t="s">
        <v>133</v>
      </c>
      <c r="B330" s="450" t="s">
        <v>178</v>
      </c>
      <c r="C330" s="450"/>
      <c r="D330" s="450"/>
      <c r="E330" s="450"/>
      <c r="F330" s="450"/>
      <c r="G330" s="450"/>
      <c r="H330" s="450"/>
      <c r="I330" s="450"/>
      <c r="J330" s="450"/>
      <c r="K330" s="450"/>
    </row>
    <row r="331" spans="1:11" ht="32.25" customHeight="1">
      <c r="A331" s="128" t="s">
        <v>134</v>
      </c>
      <c r="B331" s="450" t="s">
        <v>269</v>
      </c>
      <c r="C331" s="450"/>
      <c r="D331" s="450"/>
      <c r="E331" s="450"/>
      <c r="F331" s="450"/>
      <c r="G331" s="450"/>
      <c r="H331" s="450"/>
      <c r="I331" s="450"/>
      <c r="J331" s="450"/>
      <c r="K331" s="450"/>
    </row>
    <row r="332" spans="1:11" ht="32.25" customHeight="1">
      <c r="A332" s="128" t="s">
        <v>135</v>
      </c>
      <c r="B332" s="450" t="s">
        <v>270</v>
      </c>
      <c r="C332" s="450"/>
      <c r="D332" s="450"/>
      <c r="E332" s="450"/>
      <c r="F332" s="450"/>
      <c r="G332" s="450"/>
      <c r="H332" s="450"/>
      <c r="I332" s="450"/>
      <c r="J332" s="450"/>
      <c r="K332" s="450"/>
    </row>
    <row r="333" spans="1:11">
      <c r="A333" s="128" t="s">
        <v>136</v>
      </c>
      <c r="B333" s="450" t="s">
        <v>137</v>
      </c>
      <c r="C333" s="450"/>
      <c r="D333" s="450"/>
      <c r="E333" s="450"/>
      <c r="F333" s="450"/>
      <c r="G333" s="450"/>
      <c r="H333" s="450"/>
      <c r="I333" s="450"/>
      <c r="J333" s="450"/>
      <c r="K333" s="450"/>
    </row>
    <row r="334" spans="1:11" ht="48" customHeight="1">
      <c r="A334" s="128" t="s">
        <v>184</v>
      </c>
      <c r="B334" s="450" t="s">
        <v>290</v>
      </c>
      <c r="C334" s="450"/>
      <c r="D334" s="450"/>
      <c r="E334" s="450"/>
      <c r="F334" s="450"/>
      <c r="G334" s="450"/>
      <c r="H334" s="450"/>
      <c r="I334" s="450"/>
      <c r="J334" s="450"/>
      <c r="K334" s="450"/>
    </row>
    <row r="335" spans="1:11" ht="63.75" customHeight="1">
      <c r="A335" s="131" t="s">
        <v>186</v>
      </c>
      <c r="B335" s="451" t="s">
        <v>291</v>
      </c>
      <c r="C335" s="451"/>
      <c r="D335" s="451"/>
      <c r="E335" s="451"/>
      <c r="F335" s="451"/>
      <c r="G335" s="451"/>
      <c r="H335" s="451"/>
      <c r="I335" s="451"/>
      <c r="J335" s="451"/>
      <c r="K335" s="451"/>
    </row>
    <row r="336" spans="1:11">
      <c r="A336" s="131" t="s">
        <v>196</v>
      </c>
      <c r="B336" s="451" t="s">
        <v>207</v>
      </c>
      <c r="C336" s="451"/>
      <c r="D336" s="451"/>
      <c r="E336" s="451"/>
      <c r="F336" s="451"/>
      <c r="G336" s="451"/>
      <c r="H336" s="451"/>
      <c r="I336" s="451"/>
      <c r="J336" s="451"/>
      <c r="K336" s="451"/>
    </row>
    <row r="337" spans="1:12">
      <c r="A337" s="132" t="s">
        <v>208</v>
      </c>
      <c r="B337" s="451" t="s">
        <v>543</v>
      </c>
      <c r="C337" s="451"/>
      <c r="D337" s="451"/>
      <c r="E337" s="451"/>
      <c r="F337" s="451"/>
      <c r="G337" s="451"/>
      <c r="H337" s="451"/>
      <c r="I337" s="451"/>
      <c r="J337" s="451"/>
      <c r="K337" s="451"/>
      <c r="L337" s="10"/>
    </row>
    <row r="338" spans="1:12" s="10" customFormat="1" ht="32.25" customHeight="1">
      <c r="A338" s="132" t="s">
        <v>220</v>
      </c>
      <c r="B338" s="451" t="s">
        <v>271</v>
      </c>
      <c r="C338" s="451"/>
      <c r="D338" s="451"/>
      <c r="E338" s="451"/>
      <c r="F338" s="451"/>
      <c r="G338" s="451"/>
      <c r="H338" s="451"/>
      <c r="I338" s="451"/>
      <c r="J338" s="451"/>
      <c r="K338" s="451"/>
      <c r="L338" s="1"/>
    </row>
    <row r="339" spans="1:12" ht="32.25" customHeight="1">
      <c r="A339" s="132" t="s">
        <v>221</v>
      </c>
      <c r="B339" s="451" t="s">
        <v>544</v>
      </c>
      <c r="C339" s="451"/>
      <c r="D339" s="451"/>
      <c r="E339" s="451"/>
      <c r="F339" s="451"/>
      <c r="G339" s="451"/>
      <c r="H339" s="451"/>
      <c r="I339" s="451"/>
      <c r="J339" s="451"/>
      <c r="K339" s="451"/>
    </row>
    <row r="340" spans="1:12">
      <c r="A340" s="31" t="s">
        <v>399</v>
      </c>
      <c r="B340" s="204" t="s">
        <v>400</v>
      </c>
      <c r="C340" s="9"/>
      <c r="D340" s="9"/>
      <c r="E340" s="9"/>
      <c r="F340" s="9"/>
      <c r="G340" s="9"/>
      <c r="H340" s="9"/>
      <c r="I340" s="12"/>
      <c r="J340" s="12"/>
      <c r="K340" s="12"/>
    </row>
    <row r="341" spans="1:12">
      <c r="A341" s="31"/>
      <c r="B341" s="12" t="s">
        <v>401</v>
      </c>
      <c r="C341" s="9"/>
      <c r="D341" s="9"/>
      <c r="E341" s="9"/>
      <c r="F341" s="9"/>
      <c r="G341" s="9"/>
      <c r="H341" s="9"/>
      <c r="I341" s="12"/>
      <c r="J341" s="12"/>
      <c r="K341" s="12"/>
    </row>
    <row r="342" spans="1:12">
      <c r="A342" s="31"/>
      <c r="B342" s="12" t="s">
        <v>402</v>
      </c>
      <c r="C342" s="9"/>
      <c r="D342" s="9"/>
      <c r="E342" s="9"/>
      <c r="F342" s="9"/>
      <c r="G342" s="9"/>
      <c r="H342" s="9"/>
      <c r="I342" s="12"/>
      <c r="J342" s="12"/>
      <c r="K342" s="12"/>
    </row>
    <row r="343" spans="1:12">
      <c r="A343" s="31"/>
      <c r="B343" s="12" t="s">
        <v>403</v>
      </c>
      <c r="C343" s="9"/>
      <c r="D343" s="9"/>
      <c r="E343" s="9"/>
      <c r="F343" s="9"/>
      <c r="G343" s="9"/>
      <c r="H343" s="9"/>
      <c r="I343" s="12"/>
      <c r="J343" s="12"/>
      <c r="K343" s="12"/>
    </row>
    <row r="344" spans="1:12">
      <c r="A344" s="31" t="s">
        <v>473</v>
      </c>
      <c r="B344" s="1" t="s">
        <v>522</v>
      </c>
      <c r="C344" s="9"/>
      <c r="D344" s="9"/>
      <c r="E344" s="9"/>
      <c r="F344" s="9"/>
      <c r="G344" s="9"/>
      <c r="H344" s="9"/>
      <c r="I344" s="12"/>
      <c r="J344" s="12"/>
      <c r="K344" s="12"/>
    </row>
    <row r="345" spans="1:12">
      <c r="A345" s="308"/>
      <c r="B345" s="1" t="s">
        <v>523</v>
      </c>
      <c r="C345" s="9"/>
      <c r="D345" s="9"/>
      <c r="E345" s="9"/>
      <c r="F345" s="9"/>
      <c r="G345" s="9"/>
      <c r="H345" s="9"/>
      <c r="I345" s="12"/>
      <c r="J345" s="12"/>
      <c r="K345" s="12"/>
    </row>
    <row r="346" spans="1:12">
      <c r="A346" s="31" t="s">
        <v>478</v>
      </c>
      <c r="B346" s="1" t="s">
        <v>524</v>
      </c>
      <c r="C346" s="9"/>
      <c r="D346" s="9"/>
      <c r="E346" s="9"/>
      <c r="F346" s="9"/>
      <c r="G346" s="9"/>
      <c r="H346" s="9"/>
      <c r="I346" s="12"/>
      <c r="J346" s="12"/>
      <c r="K346" s="12"/>
    </row>
    <row r="347" spans="1:12">
      <c r="A347" s="308"/>
      <c r="B347" s="1" t="s">
        <v>525</v>
      </c>
      <c r="C347" s="9"/>
      <c r="D347" s="9"/>
      <c r="E347" s="9"/>
      <c r="F347" s="9"/>
      <c r="G347" s="9"/>
      <c r="H347" s="9"/>
      <c r="I347" s="12"/>
      <c r="J347" s="12"/>
      <c r="K347" s="12"/>
    </row>
    <row r="348" spans="1:12">
      <c r="A348" s="31"/>
      <c r="B348" s="12"/>
      <c r="C348" s="9"/>
      <c r="D348" s="9"/>
      <c r="E348" s="9"/>
      <c r="F348" s="9"/>
      <c r="G348" s="9"/>
      <c r="H348" s="9"/>
      <c r="I348" s="12"/>
      <c r="J348" s="12"/>
      <c r="K348" s="12"/>
    </row>
    <row r="349" spans="1:12">
      <c r="A349" s="444"/>
      <c r="B349" s="444"/>
      <c r="C349" s="444"/>
      <c r="D349" s="14"/>
      <c r="E349" s="14"/>
      <c r="F349" s="47"/>
      <c r="G349" s="438"/>
      <c r="H349" s="438"/>
      <c r="I349" s="438"/>
      <c r="J349" s="438"/>
      <c r="K349" s="438"/>
    </row>
    <row r="350" spans="1:12">
      <c r="A350" s="444"/>
      <c r="B350" s="444"/>
      <c r="C350" s="444"/>
      <c r="D350" s="14"/>
      <c r="E350" s="14"/>
      <c r="F350" s="47"/>
      <c r="G350" s="14"/>
      <c r="H350" s="14"/>
      <c r="I350" s="48"/>
      <c r="J350" s="54"/>
      <c r="K350" s="1"/>
    </row>
    <row r="351" spans="1:12">
      <c r="A351" s="236"/>
      <c r="B351" s="236"/>
      <c r="C351" s="236"/>
      <c r="D351" s="14"/>
      <c r="E351" s="14"/>
      <c r="F351" s="47"/>
      <c r="G351" s="14"/>
      <c r="H351" s="14"/>
      <c r="I351" s="48"/>
      <c r="J351" s="237"/>
      <c r="K351" s="1"/>
    </row>
    <row r="352" spans="1:12">
      <c r="B352" s="238"/>
      <c r="C352" s="238"/>
      <c r="D352" s="3"/>
      <c r="E352" s="238"/>
      <c r="F352" s="238"/>
      <c r="G352" s="447"/>
      <c r="H352" s="448"/>
      <c r="I352" s="448"/>
      <c r="J352" s="448"/>
      <c r="K352" s="448"/>
    </row>
    <row r="353" spans="1:11">
      <c r="B353" s="238"/>
      <c r="C353" s="238"/>
      <c r="D353" s="3"/>
      <c r="E353" s="238"/>
      <c r="F353" s="238"/>
      <c r="G353" s="447"/>
      <c r="H353" s="447"/>
      <c r="I353" s="447"/>
      <c r="J353" s="447"/>
      <c r="K353" s="447"/>
    </row>
    <row r="354" spans="1:11">
      <c r="B354" s="238"/>
      <c r="C354" s="238"/>
      <c r="D354" s="3"/>
      <c r="E354" s="238"/>
      <c r="F354" s="238"/>
      <c r="G354" s="238"/>
      <c r="H354" s="4"/>
      <c r="I354" s="446" t="s">
        <v>188</v>
      </c>
      <c r="J354" s="446"/>
      <c r="K354" s="446"/>
    </row>
    <row r="355" spans="1:11">
      <c r="B355" s="238"/>
      <c r="C355" s="238"/>
      <c r="D355" s="3"/>
      <c r="E355" s="238"/>
      <c r="F355" s="238"/>
      <c r="G355" s="238"/>
      <c r="H355" s="4"/>
      <c r="I355" s="4"/>
      <c r="J355" s="445" t="s">
        <v>496</v>
      </c>
      <c r="K355" s="445"/>
    </row>
    <row r="356" spans="1:11">
      <c r="A356" s="236"/>
      <c r="B356" s="236"/>
      <c r="C356" s="236"/>
      <c r="D356" s="14"/>
      <c r="E356" s="14"/>
      <c r="F356" s="47"/>
      <c r="G356" s="14"/>
      <c r="H356" s="14"/>
      <c r="I356" s="48"/>
      <c r="J356" s="237"/>
      <c r="K356" s="1"/>
    </row>
    <row r="357" spans="1:11">
      <c r="A357" s="286"/>
      <c r="B357" s="286"/>
      <c r="C357" s="286"/>
      <c r="D357" s="14"/>
      <c r="E357" s="14"/>
      <c r="F357" s="47"/>
      <c r="G357" s="14"/>
      <c r="H357" s="14"/>
      <c r="I357" s="48"/>
      <c r="J357" s="287"/>
      <c r="K357" s="1"/>
    </row>
    <row r="358" spans="1:11">
      <c r="A358" s="286"/>
      <c r="B358" s="286"/>
      <c r="C358" s="286"/>
      <c r="D358" s="14"/>
      <c r="E358" s="14"/>
      <c r="F358" s="47"/>
      <c r="G358" s="14"/>
      <c r="H358" s="14"/>
      <c r="I358" s="48"/>
      <c r="J358" s="287"/>
      <c r="K358" s="1"/>
    </row>
    <row r="359" spans="1:11">
      <c r="A359" s="286"/>
      <c r="B359" s="286"/>
      <c r="C359" s="286"/>
      <c r="D359" s="14"/>
      <c r="E359" s="14"/>
      <c r="F359" s="47"/>
      <c r="G359" s="14"/>
      <c r="H359" s="14"/>
      <c r="I359" s="48"/>
      <c r="J359" s="287"/>
      <c r="K359" s="1"/>
    </row>
    <row r="360" spans="1:11">
      <c r="A360" s="37" t="s">
        <v>480</v>
      </c>
      <c r="B360" s="311" t="s">
        <v>545</v>
      </c>
      <c r="C360" s="311"/>
      <c r="D360" s="14"/>
      <c r="E360" s="14"/>
      <c r="F360" s="47"/>
      <c r="G360" s="14"/>
      <c r="H360" s="14"/>
      <c r="I360" s="48"/>
      <c r="J360" s="312"/>
      <c r="K360" s="1"/>
    </row>
    <row r="361" spans="1:11">
      <c r="A361" s="37"/>
      <c r="B361" s="311"/>
      <c r="C361" s="311"/>
      <c r="D361" s="14"/>
      <c r="E361" s="14"/>
      <c r="F361" s="47"/>
      <c r="G361" s="14"/>
      <c r="H361" s="14"/>
      <c r="I361" s="48"/>
      <c r="J361" s="312"/>
      <c r="K361" s="1"/>
    </row>
    <row r="362" spans="1:11">
      <c r="A362" s="37" t="s">
        <v>482</v>
      </c>
      <c r="B362" s="311" t="s">
        <v>546</v>
      </c>
      <c r="C362" s="311"/>
      <c r="D362" s="14"/>
      <c r="E362" s="14"/>
      <c r="F362" s="47"/>
      <c r="G362" s="14"/>
      <c r="H362" s="14"/>
      <c r="I362" s="48"/>
      <c r="J362" s="312"/>
      <c r="K362" s="1"/>
    </row>
    <row r="363" spans="1:11">
      <c r="A363" s="311"/>
      <c r="B363" s="311"/>
      <c r="C363" s="311"/>
      <c r="D363" s="14"/>
      <c r="E363" s="14"/>
      <c r="F363" s="47"/>
      <c r="G363" s="14"/>
      <c r="H363" s="14"/>
      <c r="I363" s="48"/>
      <c r="J363" s="312"/>
      <c r="K363" s="1"/>
    </row>
    <row r="364" spans="1:11">
      <c r="A364" s="31" t="s">
        <v>526</v>
      </c>
      <c r="B364" s="12" t="s">
        <v>474</v>
      </c>
      <c r="C364" s="286"/>
      <c r="D364" s="14"/>
      <c r="E364" s="14"/>
      <c r="F364" s="47"/>
      <c r="G364" s="14"/>
      <c r="H364" s="14"/>
      <c r="I364" s="48"/>
      <c r="J364" s="287"/>
      <c r="K364" s="1"/>
    </row>
    <row r="365" spans="1:11">
      <c r="A365" s="286"/>
      <c r="B365" s="12" t="s">
        <v>475</v>
      </c>
      <c r="C365" s="236"/>
      <c r="D365" s="14"/>
      <c r="E365" s="14"/>
      <c r="F365" s="47"/>
      <c r="G365" s="14"/>
      <c r="H365" s="14"/>
      <c r="I365" s="48"/>
      <c r="J365" s="237"/>
      <c r="K365" s="1"/>
    </row>
    <row r="366" spans="1:11">
      <c r="A366" s="286"/>
      <c r="B366" s="12" t="s">
        <v>476</v>
      </c>
      <c r="C366" s="236"/>
      <c r="D366" s="14"/>
      <c r="E366" s="14"/>
      <c r="F366" s="47"/>
      <c r="G366" s="14"/>
      <c r="H366" s="14"/>
      <c r="I366" s="48"/>
      <c r="J366" s="237"/>
      <c r="K366" s="1"/>
    </row>
    <row r="367" spans="1:11">
      <c r="A367" s="286"/>
      <c r="B367" s="12" t="s">
        <v>477</v>
      </c>
      <c r="C367" s="9"/>
      <c r="D367" s="9"/>
      <c r="E367" s="9"/>
      <c r="F367" s="9"/>
      <c r="G367" s="9"/>
      <c r="H367" s="9"/>
      <c r="I367" s="9"/>
      <c r="J367" s="9"/>
      <c r="K367" s="12"/>
    </row>
    <row r="368" spans="1:11">
      <c r="A368" s="31" t="s">
        <v>527</v>
      </c>
      <c r="B368" s="12" t="s">
        <v>479</v>
      </c>
      <c r="C368" s="9"/>
      <c r="D368" s="9"/>
      <c r="E368" s="9"/>
      <c r="F368" s="9"/>
      <c r="G368" s="9"/>
      <c r="H368" s="9"/>
      <c r="I368" s="12"/>
      <c r="J368" s="12"/>
      <c r="K368" s="12"/>
    </row>
    <row r="369" spans="1:11">
      <c r="A369" s="31" t="s">
        <v>547</v>
      </c>
      <c r="B369" s="12" t="s">
        <v>481</v>
      </c>
      <c r="C369" s="9"/>
      <c r="D369" s="9"/>
      <c r="E369" s="9"/>
      <c r="F369" s="9"/>
      <c r="G369" s="9"/>
      <c r="H369" s="9"/>
      <c r="I369" s="12"/>
      <c r="J369" s="12"/>
      <c r="K369" s="12"/>
    </row>
    <row r="370" spans="1:11">
      <c r="A370" s="31" t="s">
        <v>548</v>
      </c>
      <c r="B370" s="12" t="s">
        <v>483</v>
      </c>
      <c r="C370" s="9"/>
      <c r="D370" s="9"/>
      <c r="E370" s="9"/>
      <c r="F370" s="9"/>
      <c r="G370" s="9"/>
      <c r="H370" s="9"/>
      <c r="I370" s="12"/>
      <c r="J370" s="12"/>
      <c r="K370" s="12"/>
    </row>
    <row r="371" spans="1:11">
      <c r="A371" s="31"/>
      <c r="B371" s="12" t="s">
        <v>487</v>
      </c>
      <c r="C371" s="9" t="s">
        <v>484</v>
      </c>
      <c r="D371" s="408">
        <f>'2012 Attach O True-Up'!G16</f>
        <v>3714036.75</v>
      </c>
      <c r="E371" s="9"/>
      <c r="F371" s="9"/>
      <c r="G371" s="9"/>
      <c r="H371" s="9"/>
      <c r="I371" s="12"/>
      <c r="J371" s="12"/>
      <c r="K371" s="12"/>
    </row>
    <row r="372" spans="1:11">
      <c r="A372" s="31"/>
      <c r="B372" s="12" t="s">
        <v>486</v>
      </c>
      <c r="C372" s="9" t="s">
        <v>484</v>
      </c>
      <c r="D372" s="282">
        <f>'2012 Attach O True-Up'!G17</f>
        <v>3785939</v>
      </c>
      <c r="E372" s="9"/>
      <c r="F372" s="9"/>
      <c r="G372" s="9"/>
      <c r="H372" s="9"/>
      <c r="I372" s="12"/>
      <c r="J372" s="12"/>
      <c r="K372" s="12"/>
    </row>
    <row r="373" spans="1:11">
      <c r="A373" s="31"/>
      <c r="B373" s="12" t="s">
        <v>485</v>
      </c>
      <c r="C373" s="9"/>
      <c r="D373" s="408">
        <f>D372-D371</f>
        <v>71902.25</v>
      </c>
      <c r="E373" s="9"/>
      <c r="F373" s="9"/>
      <c r="G373" s="9"/>
      <c r="H373" s="9"/>
      <c r="I373" s="12"/>
      <c r="J373" s="12"/>
      <c r="K373" s="12"/>
    </row>
    <row r="374" spans="1:11">
      <c r="A374" s="31"/>
      <c r="B374" s="12" t="s">
        <v>488</v>
      </c>
      <c r="C374" s="9" t="s">
        <v>489</v>
      </c>
      <c r="D374" s="334">
        <v>19.057527287751309</v>
      </c>
      <c r="E374" s="9"/>
      <c r="F374" s="9"/>
      <c r="G374" s="9"/>
      <c r="H374" s="9"/>
      <c r="I374" s="12"/>
      <c r="J374" s="12"/>
      <c r="K374" s="12"/>
    </row>
    <row r="375" spans="1:11">
      <c r="A375" s="31"/>
      <c r="B375" s="12" t="s">
        <v>490</v>
      </c>
      <c r="C375" s="9"/>
      <c r="D375" s="408">
        <f>D373*D374</f>
        <v>1370279.0914257166</v>
      </c>
      <c r="E375" s="9"/>
      <c r="F375" s="9"/>
      <c r="G375" s="9"/>
      <c r="H375" s="9"/>
      <c r="I375" s="12"/>
      <c r="J375" s="12"/>
      <c r="K375" s="12"/>
    </row>
    <row r="376" spans="1:11">
      <c r="A376" s="31"/>
      <c r="B376" s="12"/>
      <c r="C376" s="9"/>
      <c r="D376" s="283"/>
      <c r="E376" s="9"/>
      <c r="F376" s="9"/>
      <c r="G376" s="9"/>
      <c r="H376" s="9"/>
      <c r="I376" s="12"/>
      <c r="J376" s="12"/>
      <c r="K376" s="12"/>
    </row>
    <row r="377" spans="1:11">
      <c r="A377" s="31"/>
      <c r="B377" s="12"/>
      <c r="C377" s="9"/>
      <c r="D377" s="283"/>
      <c r="E377" s="9"/>
      <c r="F377" s="9"/>
      <c r="G377" s="9"/>
      <c r="H377" s="9"/>
      <c r="I377" s="12"/>
      <c r="J377" s="12"/>
      <c r="K377" s="12"/>
    </row>
    <row r="378" spans="1:11">
      <c r="A378" s="31"/>
      <c r="B378" s="12"/>
      <c r="C378" s="9"/>
      <c r="D378" s="283"/>
      <c r="E378" s="9"/>
      <c r="F378" s="9"/>
      <c r="G378" s="9"/>
      <c r="H378" s="9"/>
      <c r="I378" s="12"/>
      <c r="J378" s="12"/>
      <c r="K378" s="12"/>
    </row>
    <row r="379" spans="1:11">
      <c r="A379" s="31"/>
      <c r="B379" s="12"/>
      <c r="C379" s="9"/>
      <c r="D379" s="283"/>
      <c r="E379" s="9"/>
      <c r="F379" s="9"/>
      <c r="G379" s="9"/>
      <c r="H379" s="9"/>
      <c r="I379" s="12"/>
      <c r="J379" s="12"/>
      <c r="K379" s="12"/>
    </row>
    <row r="380" spans="1:11">
      <c r="A380" s="31"/>
      <c r="B380" s="12"/>
      <c r="C380" s="9"/>
      <c r="D380" s="283"/>
      <c r="E380" s="9"/>
      <c r="F380" s="9"/>
      <c r="G380" s="9"/>
      <c r="H380" s="9"/>
      <c r="I380" s="12"/>
      <c r="J380" s="12"/>
      <c r="K380" s="12"/>
    </row>
    <row r="381" spans="1:11">
      <c r="A381" s="31"/>
      <c r="B381" s="12"/>
      <c r="C381" s="9"/>
      <c r="D381" s="283"/>
      <c r="E381" s="9"/>
      <c r="F381" s="9"/>
      <c r="G381" s="9"/>
      <c r="H381" s="9"/>
      <c r="I381" s="12"/>
      <c r="J381" s="12"/>
      <c r="K381" s="12"/>
    </row>
    <row r="382" spans="1:11">
      <c r="A382" s="31"/>
      <c r="B382" s="12"/>
      <c r="C382" s="9"/>
      <c r="D382" s="283"/>
      <c r="E382" s="9"/>
      <c r="F382" s="9"/>
      <c r="G382" s="9"/>
      <c r="H382" s="9"/>
      <c r="I382" s="12"/>
      <c r="J382" s="12"/>
      <c r="K382" s="12"/>
    </row>
    <row r="383" spans="1:11">
      <c r="A383" s="31"/>
      <c r="B383" s="12"/>
      <c r="C383" s="9"/>
      <c r="D383" s="283"/>
      <c r="E383" s="9"/>
      <c r="F383" s="9"/>
      <c r="G383" s="9"/>
      <c r="H383" s="9"/>
      <c r="I383" s="12"/>
      <c r="J383" s="12"/>
      <c r="K383" s="12"/>
    </row>
    <row r="384" spans="1:11">
      <c r="A384" s="31"/>
      <c r="B384" s="12"/>
      <c r="C384" s="9"/>
      <c r="D384" s="283"/>
      <c r="E384" s="9"/>
      <c r="F384" s="9"/>
      <c r="G384" s="9"/>
      <c r="H384" s="9"/>
      <c r="I384" s="12"/>
      <c r="J384" s="12"/>
      <c r="K384" s="12"/>
    </row>
    <row r="385" spans="1:11">
      <c r="A385" s="31"/>
      <c r="B385" s="12"/>
      <c r="C385" s="9"/>
      <c r="D385" s="283"/>
      <c r="E385" s="9"/>
      <c r="F385" s="9"/>
      <c r="G385" s="9"/>
      <c r="H385" s="9"/>
      <c r="I385" s="12"/>
      <c r="J385" s="12"/>
      <c r="K385" s="12"/>
    </row>
    <row r="386" spans="1:11">
      <c r="A386" s="31"/>
      <c r="B386" s="12"/>
      <c r="C386" s="9"/>
      <c r="D386" s="283"/>
      <c r="E386" s="9"/>
      <c r="F386" s="9"/>
      <c r="G386" s="9"/>
      <c r="H386" s="9"/>
      <c r="I386" s="12"/>
      <c r="J386" s="12"/>
      <c r="K386" s="12"/>
    </row>
    <row r="387" spans="1:11">
      <c r="A387" s="31"/>
      <c r="B387" s="12"/>
      <c r="C387" s="9"/>
      <c r="D387" s="283"/>
      <c r="E387" s="9"/>
      <c r="F387" s="9"/>
      <c r="G387" s="9"/>
      <c r="H387" s="9"/>
      <c r="I387" s="12"/>
      <c r="J387" s="12"/>
      <c r="K387" s="12"/>
    </row>
    <row r="388" spans="1:11">
      <c r="A388" s="31"/>
      <c r="B388" s="12"/>
      <c r="C388" s="9"/>
      <c r="D388" s="283"/>
      <c r="E388" s="9"/>
      <c r="F388" s="9"/>
      <c r="G388" s="9"/>
      <c r="H388" s="9"/>
      <c r="I388" s="12"/>
      <c r="J388" s="12"/>
      <c r="K388" s="12"/>
    </row>
    <row r="389" spans="1:11">
      <c r="A389" s="31"/>
      <c r="B389" s="12"/>
      <c r="C389" s="9"/>
      <c r="D389" s="283"/>
      <c r="E389" s="9"/>
      <c r="F389" s="9"/>
      <c r="G389" s="9"/>
      <c r="H389" s="9"/>
      <c r="I389" s="12"/>
      <c r="J389" s="12"/>
      <c r="K389" s="12"/>
    </row>
    <row r="390" spans="1:11">
      <c r="A390" s="31"/>
      <c r="B390" s="12"/>
      <c r="C390" s="9"/>
      <c r="D390" s="283"/>
      <c r="E390" s="9"/>
      <c r="F390" s="9"/>
      <c r="G390" s="9"/>
      <c r="H390" s="9"/>
      <c r="I390" s="12"/>
      <c r="J390" s="12"/>
      <c r="K390" s="12"/>
    </row>
    <row r="391" spans="1:11">
      <c r="A391" s="31"/>
      <c r="B391" s="12"/>
      <c r="C391" s="9"/>
      <c r="D391" s="283"/>
      <c r="E391" s="9"/>
      <c r="F391" s="9"/>
      <c r="G391" s="9"/>
      <c r="H391" s="9"/>
      <c r="I391" s="12"/>
      <c r="J391" s="12"/>
      <c r="K391" s="12"/>
    </row>
    <row r="392" spans="1:11">
      <c r="A392" s="31"/>
      <c r="B392" s="12"/>
      <c r="C392" s="9"/>
      <c r="D392" s="283"/>
      <c r="E392" s="9"/>
      <c r="F392" s="9"/>
      <c r="G392" s="9"/>
      <c r="H392" s="9"/>
      <c r="I392" s="12"/>
      <c r="J392" s="12"/>
      <c r="K392" s="12"/>
    </row>
    <row r="393" spans="1:11">
      <c r="A393" s="31"/>
      <c r="B393" s="12"/>
      <c r="C393" s="9"/>
      <c r="D393" s="283"/>
      <c r="E393" s="9"/>
      <c r="F393" s="9"/>
      <c r="G393" s="9"/>
      <c r="H393" s="9"/>
      <c r="I393" s="12"/>
      <c r="J393" s="12"/>
      <c r="K393" s="12"/>
    </row>
    <row r="394" spans="1:11">
      <c r="A394" s="31"/>
      <c r="B394" s="12"/>
      <c r="C394" s="9"/>
      <c r="D394" s="283"/>
      <c r="E394" s="9"/>
      <c r="F394" s="9"/>
      <c r="G394" s="9"/>
      <c r="H394" s="9"/>
      <c r="I394" s="12"/>
      <c r="J394" s="12"/>
      <c r="K394" s="12"/>
    </row>
    <row r="395" spans="1:11">
      <c r="A395" s="31"/>
      <c r="B395" s="12"/>
      <c r="C395" s="9"/>
      <c r="D395" s="283"/>
      <c r="E395" s="9"/>
      <c r="F395" s="9"/>
      <c r="G395" s="9"/>
      <c r="H395" s="9"/>
      <c r="I395" s="12"/>
      <c r="J395" s="12"/>
      <c r="K395" s="12"/>
    </row>
    <row r="396" spans="1:11">
      <c r="A396" s="31"/>
      <c r="B396" s="12"/>
      <c r="C396" s="9"/>
      <c r="D396" s="283"/>
      <c r="E396" s="9"/>
      <c r="F396" s="9"/>
      <c r="G396" s="9"/>
      <c r="H396" s="9"/>
      <c r="I396" s="12"/>
      <c r="J396" s="12"/>
      <c r="K396" s="12"/>
    </row>
    <row r="397" spans="1:11">
      <c r="A397" s="31"/>
      <c r="B397" s="12"/>
      <c r="C397" s="9"/>
      <c r="D397" s="283"/>
      <c r="E397" s="9"/>
      <c r="F397" s="9"/>
      <c r="G397" s="9"/>
      <c r="H397" s="9"/>
      <c r="I397" s="12"/>
      <c r="J397" s="12"/>
      <c r="K397" s="12"/>
    </row>
    <row r="398" spans="1:11">
      <c r="A398" s="31"/>
      <c r="B398" s="12"/>
      <c r="C398" s="9"/>
      <c r="D398" s="283"/>
      <c r="E398" s="9"/>
      <c r="F398" s="9"/>
      <c r="G398" s="9"/>
      <c r="H398" s="9"/>
      <c r="I398" s="12"/>
      <c r="J398" s="12"/>
      <c r="K398" s="12"/>
    </row>
    <row r="399" spans="1:11">
      <c r="A399" s="31"/>
      <c r="B399" s="12"/>
      <c r="C399" s="9"/>
      <c r="D399" s="283"/>
      <c r="E399" s="9"/>
      <c r="F399" s="9"/>
      <c r="G399" s="9"/>
      <c r="H399" s="9"/>
      <c r="I399" s="12"/>
      <c r="J399" s="12"/>
      <c r="K399" s="12"/>
    </row>
    <row r="400" spans="1:11">
      <c r="A400" s="31"/>
      <c r="B400" s="12"/>
      <c r="C400" s="9"/>
      <c r="D400" s="283"/>
      <c r="E400" s="9"/>
      <c r="F400" s="9"/>
      <c r="G400" s="9"/>
      <c r="H400" s="9"/>
      <c r="I400" s="12"/>
      <c r="J400" s="12"/>
      <c r="K400" s="12"/>
    </row>
    <row r="401" spans="1:11">
      <c r="A401" s="31"/>
      <c r="B401" s="12"/>
      <c r="C401" s="9"/>
      <c r="D401" s="283"/>
      <c r="E401" s="9"/>
      <c r="F401" s="9"/>
      <c r="G401" s="9"/>
      <c r="H401" s="9"/>
      <c r="I401" s="12"/>
      <c r="J401" s="12"/>
      <c r="K401" s="12"/>
    </row>
    <row r="402" spans="1:11">
      <c r="A402" s="31"/>
      <c r="B402" s="12"/>
      <c r="C402" s="9"/>
      <c r="D402" s="283"/>
      <c r="E402" s="9"/>
      <c r="F402" s="9"/>
      <c r="G402" s="9"/>
      <c r="H402" s="9"/>
      <c r="I402" s="12"/>
      <c r="J402" s="12"/>
      <c r="K402" s="12"/>
    </row>
    <row r="403" spans="1:11">
      <c r="A403" s="31"/>
      <c r="B403" s="12"/>
      <c r="C403" s="9"/>
      <c r="D403" s="283"/>
      <c r="E403" s="9"/>
      <c r="F403" s="9"/>
      <c r="G403" s="9"/>
      <c r="H403" s="9"/>
      <c r="I403" s="12"/>
      <c r="J403" s="12"/>
      <c r="K403" s="12"/>
    </row>
    <row r="404" spans="1:11">
      <c r="A404" s="31"/>
      <c r="B404" s="12"/>
      <c r="C404" s="9"/>
      <c r="D404" s="283"/>
      <c r="E404" s="9"/>
      <c r="F404" s="9"/>
      <c r="G404" s="9"/>
      <c r="H404" s="9"/>
      <c r="I404" s="12"/>
      <c r="J404" s="12"/>
      <c r="K404" s="12"/>
    </row>
    <row r="405" spans="1:11">
      <c r="A405" s="31"/>
      <c r="B405" s="12"/>
      <c r="C405" s="9"/>
      <c r="D405" s="283"/>
      <c r="E405" s="9"/>
      <c r="F405" s="9"/>
      <c r="G405" s="9"/>
      <c r="H405" s="9"/>
      <c r="I405" s="12"/>
      <c r="J405" s="12"/>
      <c r="K405" s="12"/>
    </row>
    <row r="406" spans="1:11">
      <c r="A406" s="31"/>
      <c r="B406" s="12"/>
      <c r="C406" s="9"/>
      <c r="D406" s="283"/>
      <c r="E406" s="9"/>
      <c r="F406" s="9"/>
      <c r="G406" s="9"/>
      <c r="H406" s="9"/>
      <c r="I406" s="12"/>
      <c r="J406" s="12"/>
      <c r="K406" s="12"/>
    </row>
    <row r="407" spans="1:11">
      <c r="A407" s="31"/>
      <c r="B407" s="12"/>
      <c r="C407" s="9"/>
      <c r="D407" s="283"/>
      <c r="E407" s="9"/>
      <c r="F407" s="9"/>
      <c r="G407" s="9"/>
      <c r="H407" s="9"/>
      <c r="I407" s="12"/>
      <c r="J407" s="12"/>
      <c r="K407" s="12"/>
    </row>
    <row r="408" spans="1:11">
      <c r="A408" s="31"/>
      <c r="B408" s="12"/>
      <c r="C408" s="9"/>
      <c r="D408" s="283"/>
      <c r="E408" s="9"/>
      <c r="F408" s="9"/>
      <c r="G408" s="9"/>
      <c r="H408" s="9"/>
      <c r="I408" s="12"/>
      <c r="J408" s="12"/>
      <c r="K408" s="12"/>
    </row>
    <row r="409" spans="1:11">
      <c r="A409" s="31"/>
      <c r="B409" s="12"/>
      <c r="C409" s="9"/>
      <c r="D409" s="283"/>
      <c r="E409" s="9"/>
      <c r="F409" s="9"/>
      <c r="G409" s="9"/>
      <c r="H409" s="9"/>
      <c r="I409" s="12"/>
      <c r="J409" s="12"/>
      <c r="K409" s="12"/>
    </row>
    <row r="410" spans="1:11">
      <c r="A410" s="31"/>
      <c r="B410" s="12"/>
      <c r="C410" s="9"/>
      <c r="D410" s="283"/>
      <c r="E410" s="9"/>
      <c r="F410" s="9"/>
      <c r="G410" s="9"/>
      <c r="H410" s="9"/>
      <c r="I410" s="12"/>
      <c r="J410" s="12"/>
      <c r="K410" s="12"/>
    </row>
    <row r="411" spans="1:11">
      <c r="A411" s="31"/>
      <c r="B411" s="12"/>
      <c r="C411" s="9"/>
      <c r="D411" s="283"/>
      <c r="E411" s="9"/>
      <c r="F411" s="9"/>
      <c r="G411" s="9"/>
      <c r="H411" s="9"/>
      <c r="I411" s="12"/>
      <c r="J411" s="12"/>
      <c r="K411" s="12"/>
    </row>
    <row r="412" spans="1:11">
      <c r="A412" s="31"/>
      <c r="B412" s="12"/>
      <c r="C412" s="9"/>
      <c r="D412" s="283"/>
      <c r="E412" s="9"/>
      <c r="F412" s="9"/>
      <c r="G412" s="9"/>
      <c r="H412" s="9"/>
      <c r="I412" s="12"/>
      <c r="J412" s="12"/>
      <c r="K412" s="12"/>
    </row>
    <row r="413" spans="1:11">
      <c r="A413" s="31"/>
      <c r="B413" s="12"/>
      <c r="C413" s="9"/>
      <c r="D413" s="283"/>
      <c r="E413" s="9"/>
      <c r="F413" s="9"/>
      <c r="G413" s="9"/>
      <c r="H413" s="9"/>
      <c r="I413" s="12"/>
      <c r="J413" s="12"/>
      <c r="K413" s="12"/>
    </row>
    <row r="414" spans="1:11">
      <c r="A414" s="31"/>
      <c r="B414" s="12"/>
      <c r="C414" s="9"/>
      <c r="D414" s="283"/>
      <c r="E414" s="9"/>
      <c r="F414" s="9"/>
      <c r="G414" s="9"/>
      <c r="H414" s="9"/>
      <c r="I414" s="12"/>
      <c r="J414" s="12"/>
      <c r="K414" s="12"/>
    </row>
    <row r="423" spans="1:11">
      <c r="A423" s="444"/>
      <c r="B423" s="444"/>
      <c r="C423" s="444"/>
      <c r="D423" s="14"/>
      <c r="E423" s="14"/>
      <c r="F423" s="47"/>
      <c r="G423" s="438"/>
      <c r="H423" s="438"/>
      <c r="I423" s="438"/>
      <c r="J423" s="438"/>
      <c r="K423" s="438"/>
    </row>
  </sheetData>
  <sheetProtection password="E4A3" sheet="1" objects="1" scenarios="1"/>
  <mergeCells count="69">
    <mergeCell ref="G352:K352"/>
    <mergeCell ref="G353:K353"/>
    <mergeCell ref="I354:K354"/>
    <mergeCell ref="J355:K355"/>
    <mergeCell ref="A423:C423"/>
    <mergeCell ref="G423:K423"/>
    <mergeCell ref="B313:K313"/>
    <mergeCell ref="B334:K334"/>
    <mergeCell ref="B333:K333"/>
    <mergeCell ref="B332:K332"/>
    <mergeCell ref="B331:K331"/>
    <mergeCell ref="B330:K330"/>
    <mergeCell ref="B329:K329"/>
    <mergeCell ref="E326:K326"/>
    <mergeCell ref="B317:K317"/>
    <mergeCell ref="B339:K339"/>
    <mergeCell ref="B314:K314"/>
    <mergeCell ref="B315:K315"/>
    <mergeCell ref="B322:K322"/>
    <mergeCell ref="B321:K321"/>
    <mergeCell ref="B320:K320"/>
    <mergeCell ref="B319:K319"/>
    <mergeCell ref="B318:K318"/>
    <mergeCell ref="J302:K302"/>
    <mergeCell ref="I301:K301"/>
    <mergeCell ref="G300:K300"/>
    <mergeCell ref="G299:K299"/>
    <mergeCell ref="A350:C350"/>
    <mergeCell ref="A349:C349"/>
    <mergeCell ref="G349:K349"/>
    <mergeCell ref="B323:K323"/>
    <mergeCell ref="E325:K325"/>
    <mergeCell ref="B327:K327"/>
    <mergeCell ref="B338:K338"/>
    <mergeCell ref="B337:K337"/>
    <mergeCell ref="B336:K336"/>
    <mergeCell ref="B328:K328"/>
    <mergeCell ref="B335:K335"/>
    <mergeCell ref="B316:K316"/>
    <mergeCell ref="A146:B146"/>
    <mergeCell ref="A145:C145"/>
    <mergeCell ref="I145:K145"/>
    <mergeCell ref="J152:K152"/>
    <mergeCell ref="I151:K151"/>
    <mergeCell ref="D149:K149"/>
    <mergeCell ref="F148:K148"/>
    <mergeCell ref="A74:C74"/>
    <mergeCell ref="A73:C73"/>
    <mergeCell ref="G73:K73"/>
    <mergeCell ref="J78:K78"/>
    <mergeCell ref="I77:K77"/>
    <mergeCell ref="G76:K76"/>
    <mergeCell ref="G75:K75"/>
    <mergeCell ref="I4:K4"/>
    <mergeCell ref="G2:K2"/>
    <mergeCell ref="G1:K1"/>
    <mergeCell ref="F222:K222"/>
    <mergeCell ref="G221:K221"/>
    <mergeCell ref="A298:C298"/>
    <mergeCell ref="G298:K298"/>
    <mergeCell ref="N240:S240"/>
    <mergeCell ref="A147:K147"/>
    <mergeCell ref="B209:C209"/>
    <mergeCell ref="A220:B220"/>
    <mergeCell ref="A219:C219"/>
    <mergeCell ref="G219:K219"/>
    <mergeCell ref="J224:K224"/>
    <mergeCell ref="G226:K226"/>
    <mergeCell ref="I223:K223"/>
  </mergeCells>
  <phoneticPr fontId="0" type="noConversion"/>
  <printOptions horizontalCentered="1" verticalCentered="1"/>
  <pageMargins left="0.75" right="0.75" top="1" bottom="1" header="0.5" footer="0.5"/>
  <pageSetup scale="54" fitToHeight="6" orientation="portrait" horizontalDpi="300" verticalDpi="300" r:id="rId1"/>
  <headerFooter alignWithMargins="0"/>
  <rowBreaks count="4" manualBreakCount="4">
    <brk id="74" max="16383" man="1"/>
    <brk id="147" max="16383" man="1"/>
    <brk id="220" max="16383" man="1"/>
    <brk id="298" max="16383" man="1"/>
  </rowBreaks>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C21" sqref="C21"/>
    </sheetView>
  </sheetViews>
  <sheetFormatPr defaultRowHeight="15"/>
  <cols>
    <col min="1" max="1" width="6.77734375" customWidth="1"/>
    <col min="2" max="2" width="16.44140625" customWidth="1"/>
    <col min="3" max="3" width="15.77734375" customWidth="1"/>
  </cols>
  <sheetData>
    <row r="1" spans="1:3" ht="15.75">
      <c r="A1" s="197" t="s">
        <v>295</v>
      </c>
    </row>
    <row r="2" spans="1:3" ht="15.75">
      <c r="A2" s="197" t="s">
        <v>535</v>
      </c>
    </row>
    <row r="3" spans="1:3" ht="15.75">
      <c r="A3" s="197" t="s">
        <v>644</v>
      </c>
    </row>
    <row r="7" spans="1:3">
      <c r="A7" s="228" t="s">
        <v>4</v>
      </c>
      <c r="B7" s="255"/>
      <c r="C7" s="264"/>
    </row>
    <row r="8" spans="1:3" ht="15.75">
      <c r="A8" s="219" t="s">
        <v>6</v>
      </c>
      <c r="B8" s="251" t="s">
        <v>426</v>
      </c>
      <c r="C8" s="315" t="s">
        <v>536</v>
      </c>
    </row>
    <row r="9" spans="1:3">
      <c r="A9" s="290">
        <v>1</v>
      </c>
      <c r="B9" s="240">
        <v>41640</v>
      </c>
      <c r="C9" s="264">
        <f>2575560+2014840</f>
        <v>4590400</v>
      </c>
    </row>
    <row r="10" spans="1:3">
      <c r="A10" s="277">
        <v>2</v>
      </c>
      <c r="B10" s="241">
        <v>41671</v>
      </c>
      <c r="C10" s="153">
        <f>2734422+1819855</f>
        <v>4554277</v>
      </c>
    </row>
    <row r="11" spans="1:3">
      <c r="A11" s="277">
        <v>3</v>
      </c>
      <c r="B11" s="241">
        <v>41699</v>
      </c>
      <c r="C11" s="153">
        <f>2782480+1998640</f>
        <v>4781120</v>
      </c>
    </row>
    <row r="12" spans="1:3">
      <c r="A12" s="277">
        <v>4</v>
      </c>
      <c r="B12" s="241">
        <v>41730</v>
      </c>
      <c r="C12" s="153">
        <f>2520091+1934168</f>
        <v>4454259</v>
      </c>
    </row>
    <row r="13" spans="1:3">
      <c r="A13" s="277">
        <v>5</v>
      </c>
      <c r="B13" s="241">
        <v>41760</v>
      </c>
      <c r="C13" s="153">
        <f>2508823+1998640</f>
        <v>4507463</v>
      </c>
    </row>
    <row r="14" spans="1:3">
      <c r="A14" s="277">
        <v>6</v>
      </c>
      <c r="B14" s="241">
        <v>41791</v>
      </c>
      <c r="C14" s="153">
        <f>2702754+1934168</f>
        <v>4636922</v>
      </c>
    </row>
    <row r="15" spans="1:3">
      <c r="A15" s="277">
        <v>7</v>
      </c>
      <c r="B15" s="241">
        <v>41821</v>
      </c>
      <c r="C15" s="153">
        <f>2481215+1998640</f>
        <v>4479855</v>
      </c>
    </row>
    <row r="16" spans="1:3">
      <c r="A16" s="277">
        <v>8</v>
      </c>
      <c r="B16" s="241">
        <v>41852</v>
      </c>
      <c r="C16" s="153">
        <f>2475100+1998640</f>
        <v>4473740</v>
      </c>
    </row>
    <row r="17" spans="1:3">
      <c r="A17" s="277">
        <v>9</v>
      </c>
      <c r="B17" s="241">
        <v>41883</v>
      </c>
      <c r="C17" s="153">
        <f>2708684+1934168</f>
        <v>4642852</v>
      </c>
    </row>
    <row r="18" spans="1:3">
      <c r="A18" s="277">
        <v>10</v>
      </c>
      <c r="B18" s="241">
        <v>41913</v>
      </c>
      <c r="C18" s="153">
        <f>2728864+1998640</f>
        <v>4727504</v>
      </c>
    </row>
    <row r="19" spans="1:3">
      <c r="A19" s="277">
        <v>11</v>
      </c>
      <c r="B19" s="241">
        <v>41944</v>
      </c>
      <c r="C19" s="153">
        <f>2726588+1934168</f>
        <v>4660756</v>
      </c>
    </row>
    <row r="20" spans="1:3">
      <c r="A20" s="277">
        <v>12</v>
      </c>
      <c r="B20" s="241">
        <v>41974</v>
      </c>
      <c r="C20" s="153">
        <f>2896543+1998640</f>
        <v>4895183</v>
      </c>
    </row>
    <row r="21" spans="1:3" ht="15.75" thickBot="1">
      <c r="A21" s="277">
        <v>13</v>
      </c>
      <c r="B21" s="143"/>
      <c r="C21" s="257"/>
    </row>
    <row r="22" spans="1:3" ht="15.75">
      <c r="A22" s="277">
        <v>14</v>
      </c>
      <c r="B22" s="251" t="s">
        <v>9</v>
      </c>
      <c r="C22" s="256">
        <f>SUM(C9:C21)</f>
        <v>55404331</v>
      </c>
    </row>
    <row r="23" spans="1:3">
      <c r="A23" s="225"/>
      <c r="B23" s="225"/>
      <c r="C23" s="226"/>
    </row>
  </sheetData>
  <sheetProtection password="E4A3"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C21" sqref="C21"/>
    </sheetView>
  </sheetViews>
  <sheetFormatPr defaultRowHeight="15"/>
  <cols>
    <col min="1" max="1" width="6.77734375" customWidth="1"/>
    <col min="2" max="2" width="16.44140625" customWidth="1"/>
    <col min="3" max="3" width="15.77734375" customWidth="1"/>
  </cols>
  <sheetData>
    <row r="1" spans="1:3" ht="15.75">
      <c r="A1" s="197" t="s">
        <v>295</v>
      </c>
    </row>
    <row r="2" spans="1:3" ht="15.75">
      <c r="A2" s="197" t="s">
        <v>537</v>
      </c>
    </row>
    <row r="3" spans="1:3" ht="15.75">
      <c r="A3" s="197" t="s">
        <v>644</v>
      </c>
    </row>
    <row r="7" spans="1:3">
      <c r="A7" s="228" t="s">
        <v>4</v>
      </c>
      <c r="B7" s="255"/>
      <c r="C7" s="264"/>
    </row>
    <row r="8" spans="1:3" ht="15.75">
      <c r="A8" s="219" t="s">
        <v>6</v>
      </c>
      <c r="B8" s="251" t="s">
        <v>426</v>
      </c>
      <c r="C8" s="315" t="s">
        <v>536</v>
      </c>
    </row>
    <row r="9" spans="1:3">
      <c r="A9" s="290">
        <v>1</v>
      </c>
      <c r="B9" s="240">
        <v>41640</v>
      </c>
      <c r="C9" s="264">
        <v>7586495</v>
      </c>
    </row>
    <row r="10" spans="1:3">
      <c r="A10" s="277">
        <v>2</v>
      </c>
      <c r="B10" s="241">
        <v>41671</v>
      </c>
      <c r="C10" s="153">
        <v>6651368</v>
      </c>
    </row>
    <row r="11" spans="1:3">
      <c r="A11" s="277">
        <v>3</v>
      </c>
      <c r="B11" s="241">
        <v>41699</v>
      </c>
      <c r="C11" s="153">
        <v>5530311</v>
      </c>
    </row>
    <row r="12" spans="1:3">
      <c r="A12" s="277">
        <v>4</v>
      </c>
      <c r="B12" s="241">
        <v>41730</v>
      </c>
      <c r="C12" s="153">
        <v>6440671</v>
      </c>
    </row>
    <row r="13" spans="1:3">
      <c r="A13" s="277">
        <v>5</v>
      </c>
      <c r="B13" s="241">
        <v>41760</v>
      </c>
      <c r="C13" s="153">
        <v>6773197</v>
      </c>
    </row>
    <row r="14" spans="1:3">
      <c r="A14" s="277">
        <v>6</v>
      </c>
      <c r="B14" s="241">
        <v>41791</v>
      </c>
      <c r="C14" s="153">
        <v>6813317</v>
      </c>
    </row>
    <row r="15" spans="1:3">
      <c r="A15" s="277">
        <v>7</v>
      </c>
      <c r="B15" s="241">
        <v>41821</v>
      </c>
      <c r="C15" s="153">
        <v>7066027</v>
      </c>
    </row>
    <row r="16" spans="1:3">
      <c r="A16" s="277">
        <v>8</v>
      </c>
      <c r="B16" s="241">
        <v>41852</v>
      </c>
      <c r="C16" s="153">
        <v>6964209</v>
      </c>
    </row>
    <row r="17" spans="1:3">
      <c r="A17" s="277">
        <v>9</v>
      </c>
      <c r="B17" s="241">
        <v>41883</v>
      </c>
      <c r="C17" s="153">
        <v>6657055</v>
      </c>
    </row>
    <row r="18" spans="1:3">
      <c r="A18" s="277">
        <v>10</v>
      </c>
      <c r="B18" s="241">
        <v>41913</v>
      </c>
      <c r="C18" s="153">
        <v>6721693</v>
      </c>
    </row>
    <row r="19" spans="1:3">
      <c r="A19" s="277">
        <v>11</v>
      </c>
      <c r="B19" s="241">
        <v>41944</v>
      </c>
      <c r="C19" s="153">
        <v>6811712</v>
      </c>
    </row>
    <row r="20" spans="1:3">
      <c r="A20" s="277">
        <v>12</v>
      </c>
      <c r="B20" s="241">
        <v>41974</v>
      </c>
      <c r="C20" s="153">
        <v>8266875</v>
      </c>
    </row>
    <row r="21" spans="1:3" ht="15.75" thickBot="1">
      <c r="A21" s="277">
        <v>13</v>
      </c>
      <c r="B21" s="143"/>
      <c r="C21" s="257"/>
    </row>
    <row r="22" spans="1:3" ht="15.75">
      <c r="A22" s="277">
        <v>14</v>
      </c>
      <c r="B22" s="251" t="s">
        <v>9</v>
      </c>
      <c r="C22" s="256">
        <f>SUM(C9:C21)</f>
        <v>82282930</v>
      </c>
    </row>
    <row r="23" spans="1:3">
      <c r="A23" s="225"/>
      <c r="B23" s="225"/>
      <c r="C23" s="226"/>
    </row>
  </sheetData>
  <sheetProtection password="E4A3"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C15" sqref="C15"/>
    </sheetView>
  </sheetViews>
  <sheetFormatPr defaultRowHeight="15"/>
  <cols>
    <col min="1" max="1" width="6.77734375" customWidth="1"/>
    <col min="2" max="2" width="19.6640625" customWidth="1"/>
    <col min="3" max="3" width="14.44140625" bestFit="1" customWidth="1"/>
  </cols>
  <sheetData>
    <row r="1" spans="1:3" ht="15.75">
      <c r="A1" s="197" t="s">
        <v>295</v>
      </c>
    </row>
    <row r="2" spans="1:3" ht="15.75">
      <c r="A2" s="197" t="s">
        <v>458</v>
      </c>
    </row>
    <row r="3" spans="1:3" ht="15.75">
      <c r="A3" s="197" t="s">
        <v>644</v>
      </c>
    </row>
    <row r="5" spans="1:3">
      <c r="B5" s="208" t="s">
        <v>432</v>
      </c>
      <c r="C5" s="208" t="s">
        <v>433</v>
      </c>
    </row>
    <row r="7" spans="1:3">
      <c r="A7" s="209" t="s">
        <v>4</v>
      </c>
      <c r="B7" s="255"/>
      <c r="C7" s="264"/>
    </row>
    <row r="8" spans="1:3" ht="15.75">
      <c r="A8" s="210" t="s">
        <v>6</v>
      </c>
      <c r="B8" s="245" t="s">
        <v>458</v>
      </c>
      <c r="C8" s="226"/>
    </row>
    <row r="9" spans="1:3">
      <c r="A9" s="229">
        <v>1</v>
      </c>
      <c r="B9" s="255" t="s">
        <v>427</v>
      </c>
      <c r="C9" s="222">
        <v>270653458</v>
      </c>
    </row>
    <row r="10" spans="1:3">
      <c r="A10" s="230"/>
      <c r="B10" s="143"/>
      <c r="C10" s="224"/>
    </row>
    <row r="11" spans="1:3">
      <c r="A11" s="230">
        <v>2</v>
      </c>
      <c r="B11" s="143" t="s">
        <v>38</v>
      </c>
      <c r="C11" s="224">
        <v>17152195</v>
      </c>
    </row>
    <row r="12" spans="1:3">
      <c r="A12" s="230"/>
      <c r="B12" s="143"/>
      <c r="C12" s="224"/>
    </row>
    <row r="13" spans="1:3">
      <c r="A13" s="230">
        <v>3</v>
      </c>
      <c r="B13" s="143" t="s">
        <v>428</v>
      </c>
      <c r="C13" s="224">
        <v>64740631</v>
      </c>
    </row>
    <row r="14" spans="1:3">
      <c r="A14" s="230"/>
      <c r="B14" s="143"/>
      <c r="C14" s="224"/>
    </row>
    <row r="15" spans="1:3" ht="15.75" thickBot="1">
      <c r="A15" s="230">
        <v>4</v>
      </c>
      <c r="B15" s="143" t="s">
        <v>459</v>
      </c>
      <c r="C15" s="265">
        <v>14772113</v>
      </c>
    </row>
    <row r="16" spans="1:3">
      <c r="A16" s="230"/>
      <c r="B16" s="143"/>
      <c r="C16" s="224"/>
    </row>
    <row r="17" spans="1:3" ht="15.75">
      <c r="A17" s="230">
        <v>5</v>
      </c>
      <c r="B17" s="251" t="s">
        <v>9</v>
      </c>
      <c r="C17" s="224">
        <f>SUM(C9:C16)</f>
        <v>367318397</v>
      </c>
    </row>
    <row r="18" spans="1:3">
      <c r="A18" s="219"/>
      <c r="B18" s="225"/>
      <c r="C18" s="226"/>
    </row>
  </sheetData>
  <sheetProtection password="E4A3" sheet="1" objects="1" scenario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C21" sqref="C21"/>
    </sheetView>
  </sheetViews>
  <sheetFormatPr defaultRowHeight="15"/>
  <cols>
    <col min="1" max="1" width="6.77734375" customWidth="1"/>
    <col min="2" max="2" width="20.88671875" customWidth="1"/>
    <col min="3" max="3" width="14.44140625" bestFit="1" customWidth="1"/>
  </cols>
  <sheetData>
    <row r="1" spans="1:3" ht="15.75">
      <c r="A1" s="197" t="s">
        <v>295</v>
      </c>
    </row>
    <row r="2" spans="1:3" ht="15.75">
      <c r="A2" s="197" t="s">
        <v>569</v>
      </c>
    </row>
    <row r="3" spans="1:3" ht="15.75">
      <c r="A3" s="197" t="s">
        <v>644</v>
      </c>
    </row>
    <row r="5" spans="1:3">
      <c r="B5" s="208" t="s">
        <v>432</v>
      </c>
      <c r="C5" s="208" t="s">
        <v>433</v>
      </c>
    </row>
    <row r="7" spans="1:3">
      <c r="A7" s="209" t="s">
        <v>4</v>
      </c>
      <c r="B7" s="255"/>
      <c r="C7" s="264"/>
    </row>
    <row r="8" spans="1:3" ht="15.75">
      <c r="A8" s="210" t="s">
        <v>6</v>
      </c>
      <c r="B8" s="245" t="s">
        <v>569</v>
      </c>
      <c r="C8" s="226"/>
    </row>
    <row r="9" spans="1:3">
      <c r="A9" s="229">
        <v>1</v>
      </c>
      <c r="B9" s="255" t="s">
        <v>570</v>
      </c>
      <c r="C9" s="222">
        <f>C21*0.10395626219</f>
        <v>9463741.9093014505</v>
      </c>
    </row>
    <row r="10" spans="1:3">
      <c r="A10" s="230"/>
      <c r="B10" s="143"/>
      <c r="C10" s="224"/>
    </row>
    <row r="11" spans="1:3">
      <c r="A11" s="230">
        <v>2</v>
      </c>
      <c r="B11" s="143" t="s">
        <v>571</v>
      </c>
      <c r="C11" s="224">
        <v>0</v>
      </c>
    </row>
    <row r="12" spans="1:3">
      <c r="A12" s="230"/>
      <c r="B12" s="143"/>
      <c r="C12" s="224"/>
    </row>
    <row r="13" spans="1:3">
      <c r="A13" s="230">
        <v>3</v>
      </c>
      <c r="B13" s="143" t="s">
        <v>572</v>
      </c>
      <c r="C13" s="224">
        <f>C21*0.88489071771</f>
        <v>80556737.938866898</v>
      </c>
    </row>
    <row r="14" spans="1:3">
      <c r="A14" s="230"/>
      <c r="B14" s="143"/>
      <c r="C14" s="224"/>
    </row>
    <row r="15" spans="1:3">
      <c r="A15" s="230">
        <v>4</v>
      </c>
      <c r="B15" s="143" t="s">
        <v>573</v>
      </c>
      <c r="C15" s="224">
        <v>0</v>
      </c>
    </row>
    <row r="16" spans="1:3">
      <c r="A16" s="230"/>
      <c r="B16" s="143"/>
      <c r="C16" s="224"/>
    </row>
    <row r="17" spans="1:3">
      <c r="A17" s="230">
        <v>5</v>
      </c>
      <c r="B17" s="143" t="s">
        <v>574</v>
      </c>
      <c r="C17" s="224">
        <f>C21*0.01115302008</f>
        <v>1015324.1500109442</v>
      </c>
    </row>
    <row r="18" spans="1:3">
      <c r="A18" s="230"/>
      <c r="B18" s="143"/>
      <c r="C18" s="224"/>
    </row>
    <row r="19" spans="1:3" ht="15.75" thickBot="1">
      <c r="A19" s="230">
        <v>6</v>
      </c>
      <c r="B19" s="143" t="s">
        <v>575</v>
      </c>
      <c r="C19" s="265">
        <v>0</v>
      </c>
    </row>
    <row r="20" spans="1:3">
      <c r="A20" s="230"/>
      <c r="B20" s="143"/>
      <c r="C20" s="224"/>
    </row>
    <row r="21" spans="1:3" ht="15.75">
      <c r="A21" s="230">
        <v>7</v>
      </c>
      <c r="B21" s="251" t="s">
        <v>9</v>
      </c>
      <c r="C21" s="224">
        <v>91035804</v>
      </c>
    </row>
    <row r="22" spans="1:3">
      <c r="A22" s="219"/>
      <c r="B22" s="225"/>
      <c r="C22" s="226"/>
    </row>
  </sheetData>
  <sheetProtection password="E4A3" sheet="1" objects="1" scenarios="1"/>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10" sqref="C10"/>
    </sheetView>
  </sheetViews>
  <sheetFormatPr defaultRowHeight="15"/>
  <cols>
    <col min="1" max="1" width="6.77734375" customWidth="1"/>
    <col min="2" max="2" width="20.88671875" customWidth="1"/>
    <col min="3" max="3" width="14.44140625" bestFit="1" customWidth="1"/>
  </cols>
  <sheetData>
    <row r="1" spans="1:3" ht="15.75">
      <c r="A1" s="197" t="s">
        <v>295</v>
      </c>
    </row>
    <row r="2" spans="1:3" ht="15.75">
      <c r="A2" s="197" t="s">
        <v>578</v>
      </c>
    </row>
    <row r="3" spans="1:3" ht="15.75">
      <c r="A3" s="197" t="s">
        <v>588</v>
      </c>
    </row>
    <row r="5" spans="1:3">
      <c r="B5" s="208" t="s">
        <v>432</v>
      </c>
      <c r="C5" s="208" t="s">
        <v>433</v>
      </c>
    </row>
    <row r="7" spans="1:3">
      <c r="A7" s="209" t="s">
        <v>4</v>
      </c>
      <c r="B7" s="255"/>
      <c r="C7" s="264"/>
    </row>
    <row r="8" spans="1:3" ht="15.75">
      <c r="A8" s="210" t="s">
        <v>6</v>
      </c>
      <c r="B8" s="245" t="s">
        <v>578</v>
      </c>
      <c r="C8" s="226"/>
    </row>
    <row r="9" spans="1:3" ht="15.75" thickBot="1">
      <c r="A9" s="229">
        <v>1</v>
      </c>
      <c r="B9" s="255" t="s">
        <v>579</v>
      </c>
      <c r="C9" s="318">
        <v>1481000</v>
      </c>
    </row>
    <row r="10" spans="1:3">
      <c r="A10" s="230"/>
      <c r="B10" s="143"/>
      <c r="C10" s="224"/>
    </row>
    <row r="11" spans="1:3" ht="15.75">
      <c r="A11" s="230">
        <v>2</v>
      </c>
      <c r="B11" s="251" t="s">
        <v>9</v>
      </c>
      <c r="C11" s="224">
        <f>SUM(C9:C10)</f>
        <v>1481000</v>
      </c>
    </row>
    <row r="12" spans="1:3">
      <c r="A12" s="219"/>
      <c r="B12" s="225"/>
      <c r="C12" s="226"/>
    </row>
  </sheetData>
  <sheetProtection password="E4A3" sheet="1" objects="1" scenarios="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2" workbookViewId="0">
      <selection activeCell="C24" sqref="C24"/>
    </sheetView>
  </sheetViews>
  <sheetFormatPr defaultRowHeight="15"/>
  <cols>
    <col min="1" max="1" width="6.77734375" customWidth="1"/>
    <col min="2" max="2" width="14.88671875" customWidth="1"/>
    <col min="3" max="3" width="14.44140625" bestFit="1" customWidth="1"/>
    <col min="5" max="5" width="12.33203125" bestFit="1" customWidth="1"/>
  </cols>
  <sheetData>
    <row r="1" spans="1:3" ht="15.75">
      <c r="A1" s="197" t="s">
        <v>295</v>
      </c>
    </row>
    <row r="2" spans="1:3" ht="15.75">
      <c r="A2" s="197" t="s">
        <v>580</v>
      </c>
    </row>
    <row r="3" spans="1:3" ht="15.75">
      <c r="A3" s="197" t="s">
        <v>644</v>
      </c>
    </row>
    <row r="5" spans="1:3">
      <c r="B5" s="208" t="s">
        <v>432</v>
      </c>
      <c r="C5" s="208" t="s">
        <v>433</v>
      </c>
    </row>
    <row r="7" spans="1:3">
      <c r="A7" s="209" t="s">
        <v>4</v>
      </c>
      <c r="B7" s="255"/>
      <c r="C7" s="264"/>
    </row>
    <row r="8" spans="1:3" ht="15.75">
      <c r="A8" s="210" t="s">
        <v>6</v>
      </c>
      <c r="B8" s="245" t="s">
        <v>580</v>
      </c>
      <c r="C8" s="226"/>
    </row>
    <row r="9" spans="1:3">
      <c r="A9" s="229">
        <v>1</v>
      </c>
      <c r="B9" s="321">
        <v>561.1</v>
      </c>
      <c r="C9" s="222">
        <v>479975</v>
      </c>
    </row>
    <row r="10" spans="1:3">
      <c r="A10" s="230"/>
      <c r="B10" s="322"/>
      <c r="C10" s="224"/>
    </row>
    <row r="11" spans="1:3">
      <c r="A11" s="230">
        <v>2</v>
      </c>
      <c r="B11" s="322">
        <v>561.20000000000005</v>
      </c>
      <c r="C11" s="224">
        <v>661988</v>
      </c>
    </row>
    <row r="12" spans="1:3">
      <c r="A12" s="230"/>
      <c r="B12" s="322"/>
      <c r="C12" s="224"/>
    </row>
    <row r="13" spans="1:3">
      <c r="A13" s="230">
        <v>3</v>
      </c>
      <c r="B13" s="322">
        <v>561.29999999999995</v>
      </c>
      <c r="C13" s="224">
        <v>289958</v>
      </c>
    </row>
    <row r="14" spans="1:3">
      <c r="A14" s="230"/>
      <c r="B14" s="322"/>
      <c r="C14" s="224"/>
    </row>
    <row r="15" spans="1:3">
      <c r="A15" s="230">
        <v>4</v>
      </c>
      <c r="B15" s="322">
        <v>561.4</v>
      </c>
      <c r="C15" s="224">
        <v>3761255</v>
      </c>
    </row>
    <row r="16" spans="1:3">
      <c r="A16" s="230"/>
      <c r="B16" s="322"/>
      <c r="C16" s="224"/>
    </row>
    <row r="17" spans="1:3">
      <c r="A17" s="230">
        <v>5</v>
      </c>
      <c r="B17" s="322">
        <v>561.5</v>
      </c>
      <c r="C17" s="224">
        <v>205239</v>
      </c>
    </row>
    <row r="18" spans="1:3">
      <c r="A18" s="230"/>
      <c r="B18" s="322"/>
      <c r="C18" s="224"/>
    </row>
    <row r="19" spans="1:3">
      <c r="A19" s="230">
        <v>6</v>
      </c>
      <c r="B19" s="322">
        <v>561.6</v>
      </c>
      <c r="C19" s="224">
        <v>0</v>
      </c>
    </row>
    <row r="20" spans="1:3">
      <c r="A20" s="230"/>
      <c r="B20" s="322"/>
      <c r="C20" s="224"/>
    </row>
    <row r="21" spans="1:3">
      <c r="A21" s="230">
        <v>7</v>
      </c>
      <c r="B21" s="322">
        <v>561.70000000000005</v>
      </c>
      <c r="C21" s="224">
        <v>1379</v>
      </c>
    </row>
    <row r="22" spans="1:3">
      <c r="A22" s="230"/>
      <c r="B22" s="322"/>
      <c r="C22" s="224"/>
    </row>
    <row r="23" spans="1:3" ht="15.75" thickBot="1">
      <c r="A23" s="230">
        <v>8</v>
      </c>
      <c r="B23" s="322">
        <v>561.79999999999995</v>
      </c>
      <c r="C23" s="265">
        <v>135773</v>
      </c>
    </row>
    <row r="24" spans="1:3">
      <c r="A24" s="230"/>
      <c r="B24" s="143"/>
      <c r="C24" s="224"/>
    </row>
    <row r="25" spans="1:3" ht="15.75">
      <c r="A25" s="230">
        <v>9</v>
      </c>
      <c r="B25" s="251" t="s">
        <v>9</v>
      </c>
      <c r="C25" s="224">
        <f>SUM(C9:C24)</f>
        <v>5535567</v>
      </c>
    </row>
    <row r="26" spans="1:3">
      <c r="A26" s="219"/>
      <c r="B26" s="225"/>
      <c r="C26" s="226"/>
    </row>
  </sheetData>
  <sheetProtection password="E4A3" sheet="1" objects="1" scenarios="1"/>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12" sqref="C12"/>
    </sheetView>
  </sheetViews>
  <sheetFormatPr defaultRowHeight="15"/>
  <cols>
    <col min="1" max="1" width="6.77734375" customWidth="1"/>
    <col min="2" max="2" width="14.88671875" customWidth="1"/>
    <col min="3" max="3" width="14.44140625" bestFit="1" customWidth="1"/>
  </cols>
  <sheetData>
    <row r="1" spans="1:3" ht="15.75">
      <c r="A1" s="197" t="s">
        <v>295</v>
      </c>
    </row>
    <row r="2" spans="1:3" ht="15.75">
      <c r="A2" s="197" t="s">
        <v>590</v>
      </c>
    </row>
    <row r="3" spans="1:3" ht="15.75">
      <c r="A3" s="197" t="s">
        <v>644</v>
      </c>
    </row>
    <row r="5" spans="1:3">
      <c r="B5" s="208" t="s">
        <v>432</v>
      </c>
      <c r="C5" s="208" t="s">
        <v>433</v>
      </c>
    </row>
    <row r="7" spans="1:3">
      <c r="A7" s="209" t="s">
        <v>4</v>
      </c>
      <c r="B7" s="255"/>
      <c r="C7" s="264"/>
    </row>
    <row r="8" spans="1:3" ht="15.75">
      <c r="A8" s="210" t="s">
        <v>6</v>
      </c>
      <c r="B8" s="245" t="s">
        <v>590</v>
      </c>
      <c r="C8" s="226"/>
    </row>
    <row r="9" spans="1:3">
      <c r="A9" s="229">
        <v>1</v>
      </c>
      <c r="B9" s="321">
        <v>565</v>
      </c>
      <c r="C9" s="222">
        <v>23563207</v>
      </c>
    </row>
    <row r="10" spans="1:3">
      <c r="A10" s="230"/>
      <c r="B10" s="322"/>
      <c r="C10" s="224"/>
    </row>
    <row r="11" spans="1:3" ht="15.75" thickBot="1">
      <c r="A11" s="230">
        <v>2</v>
      </c>
      <c r="B11" s="322">
        <v>565.5</v>
      </c>
      <c r="C11" s="265">
        <v>84074</v>
      </c>
    </row>
    <row r="12" spans="1:3">
      <c r="A12" s="230"/>
      <c r="B12" s="143"/>
      <c r="C12" s="224"/>
    </row>
    <row r="13" spans="1:3" ht="15.75">
      <c r="A13" s="230">
        <v>3</v>
      </c>
      <c r="B13" s="251" t="s">
        <v>9</v>
      </c>
      <c r="C13" s="224">
        <f>SUM(C9:C12)</f>
        <v>23647281</v>
      </c>
    </row>
    <row r="14" spans="1:3">
      <c r="A14" s="219"/>
      <c r="B14" s="225"/>
      <c r="C14" s="226"/>
    </row>
  </sheetData>
  <sheetProtection password="E4A3"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13" sqref="C13"/>
    </sheetView>
  </sheetViews>
  <sheetFormatPr defaultRowHeight="15"/>
  <cols>
    <col min="1" max="1" width="6.77734375" customWidth="1"/>
    <col min="2" max="2" width="17.21875" customWidth="1"/>
    <col min="3" max="3" width="14.44140625" bestFit="1" customWidth="1"/>
  </cols>
  <sheetData>
    <row r="1" spans="1:3" ht="15.75">
      <c r="A1" s="197" t="s">
        <v>295</v>
      </c>
    </row>
    <row r="2" spans="1:3" ht="15.75">
      <c r="A2" s="197" t="s">
        <v>593</v>
      </c>
    </row>
    <row r="3" spans="1:3" ht="15.75">
      <c r="A3" s="197" t="s">
        <v>644</v>
      </c>
    </row>
    <row r="5" spans="1:3">
      <c r="B5" s="208" t="s">
        <v>432</v>
      </c>
      <c r="C5" s="208" t="s">
        <v>433</v>
      </c>
    </row>
    <row r="7" spans="1:3">
      <c r="A7" s="209" t="s">
        <v>4</v>
      </c>
      <c r="B7" s="255"/>
      <c r="C7" s="264"/>
    </row>
    <row r="8" spans="1:3" ht="15.75">
      <c r="A8" s="210" t="s">
        <v>6</v>
      </c>
      <c r="B8" s="245" t="s">
        <v>594</v>
      </c>
      <c r="C8" s="226"/>
    </row>
    <row r="9" spans="1:3">
      <c r="A9" s="209"/>
      <c r="B9" s="255"/>
      <c r="C9" s="264"/>
    </row>
    <row r="10" spans="1:3">
      <c r="A10" s="230">
        <v>1</v>
      </c>
      <c r="B10" s="329" t="s">
        <v>592</v>
      </c>
      <c r="C10" s="224">
        <v>1686776</v>
      </c>
    </row>
    <row r="11" spans="1:3">
      <c r="A11" s="230"/>
      <c r="B11" s="329"/>
      <c r="C11" s="224"/>
    </row>
    <row r="12" spans="1:3">
      <c r="A12" s="328">
        <v>2</v>
      </c>
      <c r="B12" s="330" t="s">
        <v>591</v>
      </c>
      <c r="C12" s="331">
        <v>37500</v>
      </c>
    </row>
    <row r="13" spans="1:3">
      <c r="A13" s="172"/>
      <c r="C13" s="327"/>
    </row>
  </sheetData>
  <sheetProtection password="E4A3" sheet="1" objects="1" scenarios="1"/>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C19" sqref="C19"/>
    </sheetView>
  </sheetViews>
  <sheetFormatPr defaultRowHeight="15"/>
  <cols>
    <col min="1" max="1" width="6.77734375" customWidth="1"/>
    <col min="2" max="2" width="19.33203125" customWidth="1"/>
    <col min="3" max="3" width="14.44140625" bestFit="1" customWidth="1"/>
    <col min="4" max="4" width="15.109375" customWidth="1"/>
  </cols>
  <sheetData>
    <row r="1" spans="1:4" ht="15.75">
      <c r="A1" s="197" t="s">
        <v>295</v>
      </c>
    </row>
    <row r="2" spans="1:4" ht="15.75">
      <c r="A2" s="197" t="s">
        <v>460</v>
      </c>
    </row>
    <row r="3" spans="1:4" ht="15.75">
      <c r="A3" s="197" t="s">
        <v>645</v>
      </c>
    </row>
    <row r="5" spans="1:4">
      <c r="B5" s="208" t="s">
        <v>432</v>
      </c>
      <c r="C5" s="208" t="s">
        <v>433</v>
      </c>
      <c r="D5" s="208" t="s">
        <v>438</v>
      </c>
    </row>
    <row r="7" spans="1:4" ht="15.75">
      <c r="A7" s="228"/>
      <c r="B7" s="259"/>
      <c r="C7" s="455" t="s">
        <v>646</v>
      </c>
      <c r="D7" s="456"/>
    </row>
    <row r="8" spans="1:4" ht="15.75">
      <c r="A8" s="253" t="s">
        <v>4</v>
      </c>
      <c r="B8" s="266"/>
      <c r="C8" s="243"/>
      <c r="D8" s="213"/>
    </row>
    <row r="9" spans="1:4" ht="15.75">
      <c r="A9" s="210" t="s">
        <v>6</v>
      </c>
      <c r="B9" s="261" t="s">
        <v>461</v>
      </c>
      <c r="C9" s="214" t="s">
        <v>7</v>
      </c>
      <c r="D9" s="216" t="s">
        <v>464</v>
      </c>
    </row>
    <row r="10" spans="1:4">
      <c r="A10" s="228"/>
      <c r="B10" s="228"/>
      <c r="C10" s="228"/>
      <c r="D10" s="228"/>
    </row>
    <row r="11" spans="1:4">
      <c r="A11" s="230">
        <v>1</v>
      </c>
      <c r="B11" s="231" t="s">
        <v>427</v>
      </c>
      <c r="C11" s="267">
        <v>73827469</v>
      </c>
      <c r="D11" s="269">
        <f>C11/$C$22</f>
        <v>0.52337757085258518</v>
      </c>
    </row>
    <row r="12" spans="1:4">
      <c r="A12" s="230"/>
      <c r="B12" s="231"/>
      <c r="C12" s="267"/>
      <c r="D12" s="269"/>
    </row>
    <row r="13" spans="1:4">
      <c r="A13" s="230">
        <v>2</v>
      </c>
      <c r="B13" s="231" t="s">
        <v>38</v>
      </c>
      <c r="C13" s="267">
        <v>8945454</v>
      </c>
      <c r="D13" s="269">
        <f t="shared" ref="D13:D20" si="0">C13/$C$22</f>
        <v>6.3416097668112417E-2</v>
      </c>
    </row>
    <row r="14" spans="1:4">
      <c r="A14" s="230"/>
      <c r="B14" s="231"/>
      <c r="C14" s="267"/>
      <c r="D14" s="269"/>
    </row>
    <row r="15" spans="1:4">
      <c r="A15" s="230">
        <v>3</v>
      </c>
      <c r="B15" s="231" t="s">
        <v>428</v>
      </c>
      <c r="C15" s="267">
        <v>40834389</v>
      </c>
      <c r="D15" s="269">
        <f t="shared" si="0"/>
        <v>0.2894830828085076</v>
      </c>
    </row>
    <row r="16" spans="1:4">
      <c r="A16" s="230"/>
      <c r="B16" s="231"/>
      <c r="C16" s="267"/>
      <c r="D16" s="269"/>
    </row>
    <row r="17" spans="1:4">
      <c r="A17" s="230">
        <v>4</v>
      </c>
      <c r="B17" s="231" t="s">
        <v>462</v>
      </c>
      <c r="C17" s="267"/>
      <c r="D17" s="269"/>
    </row>
    <row r="18" spans="1:4">
      <c r="A18" s="230">
        <v>5</v>
      </c>
      <c r="B18" s="231" t="s">
        <v>465</v>
      </c>
      <c r="C18" s="267">
        <v>17448125</v>
      </c>
      <c r="D18" s="269">
        <f t="shared" si="0"/>
        <v>0.12369321882661673</v>
      </c>
    </row>
    <row r="19" spans="1:4">
      <c r="A19" s="230">
        <v>6</v>
      </c>
      <c r="B19" s="231" t="s">
        <v>466</v>
      </c>
      <c r="C19" s="268">
        <v>4236</v>
      </c>
      <c r="D19" s="270">
        <f t="shared" si="0"/>
        <v>3.0029844178073487E-5</v>
      </c>
    </row>
    <row r="20" spans="1:4">
      <c r="A20" s="230">
        <v>7</v>
      </c>
      <c r="B20" s="231" t="s">
        <v>463</v>
      </c>
      <c r="C20" s="267">
        <f>SUM(C18:C19)</f>
        <v>17452361</v>
      </c>
      <c r="D20" s="269">
        <f t="shared" si="0"/>
        <v>0.1237232486707948</v>
      </c>
    </row>
    <row r="21" spans="1:4">
      <c r="A21" s="230"/>
      <c r="B21" s="231"/>
      <c r="C21" s="267"/>
      <c r="D21" s="231"/>
    </row>
    <row r="22" spans="1:4" ht="15.75" thickBot="1">
      <c r="A22" s="230">
        <v>8</v>
      </c>
      <c r="B22" s="231" t="s">
        <v>9</v>
      </c>
      <c r="C22" s="271">
        <f>C11+C13+C15+C20</f>
        <v>141059673</v>
      </c>
      <c r="D22" s="272">
        <f>D11+D13+D15+D20</f>
        <v>0.99999999999999989</v>
      </c>
    </row>
    <row r="23" spans="1:4" ht="15.75" thickTop="1">
      <c r="A23" s="219"/>
      <c r="B23" s="219"/>
      <c r="C23" s="219"/>
      <c r="D23" s="219"/>
    </row>
  </sheetData>
  <sheetProtection password="E4A3" sheet="1" objects="1" scenarios="1"/>
  <mergeCells count="1">
    <mergeCell ref="C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9" sqref="C9"/>
    </sheetView>
  </sheetViews>
  <sheetFormatPr defaultRowHeight="15"/>
  <cols>
    <col min="1" max="1" width="6.77734375" customWidth="1"/>
    <col min="2" max="2" width="21.6640625" customWidth="1"/>
    <col min="3" max="3" width="14.44140625" bestFit="1" customWidth="1"/>
  </cols>
  <sheetData>
    <row r="1" spans="1:3" ht="15.75">
      <c r="A1" s="197" t="s">
        <v>295</v>
      </c>
    </row>
    <row r="2" spans="1:3" ht="15.75">
      <c r="A2" s="197" t="s">
        <v>582</v>
      </c>
    </row>
    <row r="3" spans="1:3" ht="15.75">
      <c r="A3" s="197" t="s">
        <v>644</v>
      </c>
    </row>
    <row r="5" spans="1:3">
      <c r="B5" s="208" t="s">
        <v>432</v>
      </c>
      <c r="C5" s="208" t="s">
        <v>433</v>
      </c>
    </row>
    <row r="7" spans="1:3">
      <c r="A7" s="209" t="s">
        <v>4</v>
      </c>
      <c r="B7" s="255"/>
      <c r="C7" s="264"/>
    </row>
    <row r="8" spans="1:3" ht="15.75">
      <c r="A8" s="210" t="s">
        <v>6</v>
      </c>
      <c r="B8" s="245" t="s">
        <v>582</v>
      </c>
      <c r="C8" s="226"/>
    </row>
    <row r="9" spans="1:3">
      <c r="A9" s="229">
        <v>1</v>
      </c>
      <c r="B9" s="319" t="s">
        <v>582</v>
      </c>
      <c r="C9" s="222">
        <v>26821700</v>
      </c>
    </row>
    <row r="10" spans="1:3">
      <c r="A10" s="230"/>
      <c r="B10" s="322"/>
      <c r="C10" s="224"/>
    </row>
    <row r="11" spans="1:3">
      <c r="A11" s="230">
        <v>2</v>
      </c>
      <c r="B11" s="320" t="s">
        <v>583</v>
      </c>
      <c r="C11" s="224">
        <v>1098024</v>
      </c>
    </row>
    <row r="12" spans="1:3">
      <c r="A12" s="230"/>
      <c r="B12" s="322"/>
      <c r="C12" s="224"/>
    </row>
    <row r="13" spans="1:3">
      <c r="A13" s="219"/>
      <c r="B13" s="225"/>
      <c r="C13" s="226"/>
    </row>
  </sheetData>
  <sheetProtection password="E4A3"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election activeCell="F22" sqref="F22"/>
    </sheetView>
  </sheetViews>
  <sheetFormatPr defaultRowHeight="15"/>
  <cols>
    <col min="1" max="1" width="6.77734375" customWidth="1"/>
    <col min="2" max="2" width="12.33203125" customWidth="1"/>
    <col min="3" max="3" width="4.77734375" customWidth="1"/>
    <col min="4" max="4" width="15.88671875" bestFit="1" customWidth="1"/>
    <col min="5" max="8" width="15.88671875" customWidth="1"/>
    <col min="9" max="9" width="16.88671875" bestFit="1" customWidth="1"/>
  </cols>
  <sheetData>
    <row r="1" spans="1:9" ht="15.75">
      <c r="A1" s="197" t="s">
        <v>295</v>
      </c>
    </row>
    <row r="2" spans="1:9" ht="15.75">
      <c r="A2" s="197" t="s">
        <v>425</v>
      </c>
    </row>
    <row r="3" spans="1:9" ht="15.75">
      <c r="A3" s="197" t="s">
        <v>643</v>
      </c>
    </row>
    <row r="7" spans="1:9" ht="15.75">
      <c r="A7" s="209" t="s">
        <v>4</v>
      </c>
      <c r="B7" s="211"/>
      <c r="C7" s="212"/>
      <c r="D7" s="212"/>
      <c r="E7" s="212"/>
      <c r="F7" s="212"/>
      <c r="G7" s="212" t="s">
        <v>429</v>
      </c>
      <c r="H7" s="317"/>
      <c r="I7" s="213"/>
    </row>
    <row r="8" spans="1:9" ht="15.75">
      <c r="A8" s="210" t="s">
        <v>6</v>
      </c>
      <c r="B8" s="214" t="s">
        <v>426</v>
      </c>
      <c r="C8" s="215"/>
      <c r="D8" s="215" t="s">
        <v>427</v>
      </c>
      <c r="E8" s="215" t="s">
        <v>38</v>
      </c>
      <c r="F8" s="215" t="s">
        <v>428</v>
      </c>
      <c r="G8" s="227" t="s">
        <v>430</v>
      </c>
      <c r="H8" s="227" t="s">
        <v>581</v>
      </c>
      <c r="I8" s="216" t="s">
        <v>9</v>
      </c>
    </row>
    <row r="9" spans="1:9">
      <c r="A9" s="217">
        <v>1</v>
      </c>
      <c r="B9" s="240">
        <v>41609</v>
      </c>
      <c r="C9" s="220"/>
      <c r="D9" s="221">
        <v>8164724022</v>
      </c>
      <c r="E9" s="221">
        <v>1068317956</v>
      </c>
      <c r="F9" s="221">
        <v>2863154490</v>
      </c>
      <c r="G9" s="221">
        <v>480223555</v>
      </c>
      <c r="H9" s="221">
        <v>1208898603</v>
      </c>
      <c r="I9" s="222">
        <f>SUM(D9:H9)</f>
        <v>13785318626</v>
      </c>
    </row>
    <row r="10" spans="1:9">
      <c r="A10" s="218">
        <v>2</v>
      </c>
      <c r="B10" s="241">
        <v>41640</v>
      </c>
      <c r="C10" s="158"/>
      <c r="D10" s="223">
        <v>8170269838</v>
      </c>
      <c r="E10" s="223">
        <v>1068775630</v>
      </c>
      <c r="F10" s="223">
        <v>2870509217</v>
      </c>
      <c r="G10" s="223">
        <v>480223555</v>
      </c>
      <c r="H10" s="223">
        <v>1208898603</v>
      </c>
      <c r="I10" s="224">
        <f>SUM(D10:H10)</f>
        <v>13798676843</v>
      </c>
    </row>
    <row r="11" spans="1:9">
      <c r="A11" s="218">
        <v>3</v>
      </c>
      <c r="B11" s="241">
        <v>41671</v>
      </c>
      <c r="C11" s="158"/>
      <c r="D11" s="223">
        <v>8180354216</v>
      </c>
      <c r="E11" s="223">
        <v>1068963840</v>
      </c>
      <c r="F11" s="223">
        <v>2879260423</v>
      </c>
      <c r="G11" s="223">
        <v>480223555</v>
      </c>
      <c r="H11" s="223">
        <v>1208898603</v>
      </c>
      <c r="I11" s="224">
        <f>SUM(D11:H11)</f>
        <v>13817700637</v>
      </c>
    </row>
    <row r="12" spans="1:9">
      <c r="A12" s="218">
        <v>4</v>
      </c>
      <c r="B12" s="241">
        <v>41699</v>
      </c>
      <c r="C12" s="158"/>
      <c r="D12" s="223">
        <v>8188006753</v>
      </c>
      <c r="E12" s="223">
        <v>1071629305</v>
      </c>
      <c r="F12" s="223">
        <v>2887643440</v>
      </c>
      <c r="G12" s="223">
        <v>480223555</v>
      </c>
      <c r="H12" s="223">
        <v>1208898603</v>
      </c>
      <c r="I12" s="224">
        <f t="shared" ref="I12:I21" si="0">SUM(D12:H12)</f>
        <v>13836401656</v>
      </c>
    </row>
    <row r="13" spans="1:9">
      <c r="A13" s="218">
        <v>5</v>
      </c>
      <c r="B13" s="241">
        <v>41730</v>
      </c>
      <c r="C13" s="158"/>
      <c r="D13" s="223">
        <v>8194194118</v>
      </c>
      <c r="E13" s="223">
        <v>1074575886</v>
      </c>
      <c r="F13" s="223">
        <v>2895685365</v>
      </c>
      <c r="G13" s="223">
        <v>480223555</v>
      </c>
      <c r="H13" s="223">
        <v>1208898603</v>
      </c>
      <c r="I13" s="224">
        <f t="shared" si="0"/>
        <v>13853577527</v>
      </c>
    </row>
    <row r="14" spans="1:9">
      <c r="A14" s="218">
        <v>6</v>
      </c>
      <c r="B14" s="241">
        <v>41760</v>
      </c>
      <c r="C14" s="158"/>
      <c r="D14" s="223">
        <v>8359938511</v>
      </c>
      <c r="E14" s="223">
        <v>1085007146</v>
      </c>
      <c r="F14" s="223">
        <v>2909245714</v>
      </c>
      <c r="G14" s="223">
        <v>480223555</v>
      </c>
      <c r="H14" s="223">
        <v>1208898603</v>
      </c>
      <c r="I14" s="224">
        <f t="shared" si="0"/>
        <v>14043313529</v>
      </c>
    </row>
    <row r="15" spans="1:9">
      <c r="A15" s="218">
        <v>7</v>
      </c>
      <c r="B15" s="241">
        <v>41791</v>
      </c>
      <c r="C15" s="158"/>
      <c r="D15" s="223">
        <v>8369004698</v>
      </c>
      <c r="E15" s="223">
        <v>1097946750</v>
      </c>
      <c r="F15" s="223">
        <v>2923761201</v>
      </c>
      <c r="G15" s="223">
        <v>480223555</v>
      </c>
      <c r="H15" s="223">
        <v>1208898603</v>
      </c>
      <c r="I15" s="224">
        <f t="shared" si="0"/>
        <v>14079834807</v>
      </c>
    </row>
    <row r="16" spans="1:9">
      <c r="A16" s="218">
        <v>8</v>
      </c>
      <c r="B16" s="241">
        <v>41821</v>
      </c>
      <c r="C16" s="158"/>
      <c r="D16" s="223">
        <v>8379846847</v>
      </c>
      <c r="E16" s="223">
        <v>1100191743</v>
      </c>
      <c r="F16" s="223">
        <v>2935346321</v>
      </c>
      <c r="G16" s="223">
        <v>480223555</v>
      </c>
      <c r="H16" s="223">
        <v>1208898603</v>
      </c>
      <c r="I16" s="224">
        <f t="shared" si="0"/>
        <v>14104507069</v>
      </c>
    </row>
    <row r="17" spans="1:9">
      <c r="A17" s="218">
        <v>9</v>
      </c>
      <c r="B17" s="241">
        <v>41852</v>
      </c>
      <c r="C17" s="158"/>
      <c r="D17" s="223">
        <v>8615438358</v>
      </c>
      <c r="E17" s="223">
        <v>1100651975</v>
      </c>
      <c r="F17" s="223">
        <v>2945819492</v>
      </c>
      <c r="G17" s="223">
        <v>480223555</v>
      </c>
      <c r="H17" s="223">
        <v>1208898603</v>
      </c>
      <c r="I17" s="224">
        <f t="shared" si="0"/>
        <v>14351031983</v>
      </c>
    </row>
    <row r="18" spans="1:9">
      <c r="A18" s="218">
        <v>10</v>
      </c>
      <c r="B18" s="241">
        <v>41883</v>
      </c>
      <c r="C18" s="158"/>
      <c r="D18" s="223">
        <v>8649340356</v>
      </c>
      <c r="E18" s="223">
        <v>1101291382</v>
      </c>
      <c r="F18" s="223">
        <v>2957439390</v>
      </c>
      <c r="G18" s="223">
        <v>480223555</v>
      </c>
      <c r="H18" s="223">
        <v>1208898603</v>
      </c>
      <c r="I18" s="224">
        <f t="shared" si="0"/>
        <v>14397193286</v>
      </c>
    </row>
    <row r="19" spans="1:9">
      <c r="A19" s="218">
        <v>11</v>
      </c>
      <c r="B19" s="241">
        <v>41913</v>
      </c>
      <c r="C19" s="158"/>
      <c r="D19" s="223">
        <v>9148035082</v>
      </c>
      <c r="E19" s="223">
        <v>1106139472</v>
      </c>
      <c r="F19" s="223">
        <v>2968833334</v>
      </c>
      <c r="G19" s="223">
        <v>480223555</v>
      </c>
      <c r="H19" s="223">
        <v>1208898603</v>
      </c>
      <c r="I19" s="224">
        <f t="shared" si="0"/>
        <v>14912130046</v>
      </c>
    </row>
    <row r="20" spans="1:9">
      <c r="A20" s="218">
        <v>12</v>
      </c>
      <c r="B20" s="241">
        <v>41944</v>
      </c>
      <c r="C20" s="158"/>
      <c r="D20" s="223">
        <v>9446184121</v>
      </c>
      <c r="E20" s="223">
        <v>1115706948</v>
      </c>
      <c r="F20" s="223">
        <v>2987295399</v>
      </c>
      <c r="G20" s="223">
        <v>480223555</v>
      </c>
      <c r="H20" s="223">
        <v>1208898603</v>
      </c>
      <c r="I20" s="224">
        <f t="shared" si="0"/>
        <v>15238308626</v>
      </c>
    </row>
    <row r="21" spans="1:9">
      <c r="A21" s="218">
        <v>13</v>
      </c>
      <c r="B21" s="241">
        <v>41974</v>
      </c>
      <c r="C21" s="158"/>
      <c r="D21" s="223">
        <v>9529391080</v>
      </c>
      <c r="E21" s="223">
        <v>1140681803</v>
      </c>
      <c r="F21" s="223">
        <v>3003483444</v>
      </c>
      <c r="G21" s="223">
        <v>480223555</v>
      </c>
      <c r="H21" s="223">
        <v>1208898603</v>
      </c>
      <c r="I21" s="224">
        <f t="shared" si="0"/>
        <v>15362678485</v>
      </c>
    </row>
    <row r="22" spans="1:9">
      <c r="A22" s="218">
        <v>14</v>
      </c>
      <c r="B22" s="143"/>
      <c r="C22" s="158"/>
      <c r="D22" s="158"/>
      <c r="E22" s="158"/>
      <c r="F22" s="158"/>
      <c r="G22" s="158"/>
      <c r="H22" s="158"/>
      <c r="I22" s="224"/>
    </row>
    <row r="23" spans="1:9" ht="15.75">
      <c r="A23" s="218">
        <v>15</v>
      </c>
      <c r="B23" s="143" t="s">
        <v>431</v>
      </c>
      <c r="C23" s="158"/>
      <c r="D23" s="275">
        <f>AVERAGE(D9:D21)</f>
        <v>8568825230.7692308</v>
      </c>
      <c r="E23" s="275">
        <f>AVERAGE(E9:E21)</f>
        <v>1092298448.9230769</v>
      </c>
      <c r="F23" s="275">
        <f>AVERAGE(F9:F21)</f>
        <v>2925190556.1538463</v>
      </c>
      <c r="G23" s="275">
        <f>AVERAGE(G9:G21)</f>
        <v>480223555</v>
      </c>
      <c r="H23" s="275">
        <f t="shared" ref="H23:I23" si="1">AVERAGE(H9:H21)</f>
        <v>1208898603</v>
      </c>
      <c r="I23" s="276">
        <f t="shared" si="1"/>
        <v>14275436393.846153</v>
      </c>
    </row>
    <row r="24" spans="1:9">
      <c r="A24" s="219"/>
      <c r="B24" s="225"/>
      <c r="C24" s="198"/>
      <c r="D24" s="198"/>
      <c r="E24" s="198"/>
      <c r="F24" s="198"/>
      <c r="G24" s="198"/>
      <c r="H24" s="198"/>
      <c r="I24" s="226"/>
    </row>
  </sheetData>
  <sheetProtection password="E4A3" sheet="1" objects="1" scenarios="1"/>
  <pageMargins left="0.7" right="0.7" top="0.75" bottom="0.75" header="0.3" footer="0.3"/>
  <pageSetup scale="6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C22" sqref="C22"/>
    </sheetView>
  </sheetViews>
  <sheetFormatPr defaultRowHeight="15"/>
  <cols>
    <col min="1" max="1" width="6.77734375" customWidth="1"/>
    <col min="2" max="3" width="16.44140625" customWidth="1"/>
  </cols>
  <sheetData>
    <row r="1" spans="1:3" ht="15.75">
      <c r="A1" s="197" t="s">
        <v>295</v>
      </c>
    </row>
    <row r="2" spans="1:3" ht="15.75">
      <c r="A2" s="197" t="s">
        <v>467</v>
      </c>
    </row>
    <row r="3" spans="1:3" ht="15.75">
      <c r="A3" s="197" t="s">
        <v>643</v>
      </c>
    </row>
    <row r="5" spans="1:3">
      <c r="B5" s="208" t="s">
        <v>432</v>
      </c>
      <c r="C5" s="208" t="s">
        <v>433</v>
      </c>
    </row>
    <row r="7" spans="1:3" ht="15.75">
      <c r="A7" s="209" t="s">
        <v>4</v>
      </c>
      <c r="B7" s="243"/>
      <c r="C7" s="213"/>
    </row>
    <row r="8" spans="1:3" ht="15.75">
      <c r="A8" s="210" t="s">
        <v>6</v>
      </c>
      <c r="B8" s="245" t="s">
        <v>426</v>
      </c>
      <c r="C8" s="216" t="s">
        <v>467</v>
      </c>
    </row>
    <row r="9" spans="1:3">
      <c r="A9" s="229">
        <v>1</v>
      </c>
      <c r="B9" s="240">
        <v>41609</v>
      </c>
      <c r="C9" s="247">
        <v>3854400881</v>
      </c>
    </row>
    <row r="10" spans="1:3">
      <c r="A10" s="230">
        <v>2</v>
      </c>
      <c r="B10" s="241">
        <v>41640</v>
      </c>
      <c r="C10" s="249">
        <v>3912882067</v>
      </c>
    </row>
    <row r="11" spans="1:3">
      <c r="A11" s="230">
        <v>3</v>
      </c>
      <c r="B11" s="241">
        <v>41671</v>
      </c>
      <c r="C11" s="249">
        <v>3947335773</v>
      </c>
    </row>
    <row r="12" spans="1:3">
      <c r="A12" s="230">
        <v>4</v>
      </c>
      <c r="B12" s="241">
        <v>41699</v>
      </c>
      <c r="C12" s="249">
        <v>3991165295</v>
      </c>
    </row>
    <row r="13" spans="1:3">
      <c r="A13" s="230">
        <v>5</v>
      </c>
      <c r="B13" s="241">
        <v>41730</v>
      </c>
      <c r="C13" s="249">
        <v>4007550234</v>
      </c>
    </row>
    <row r="14" spans="1:3">
      <c r="A14" s="230">
        <v>6</v>
      </c>
      <c r="B14" s="241">
        <v>41760</v>
      </c>
      <c r="C14" s="249">
        <v>4020809203</v>
      </c>
    </row>
    <row r="15" spans="1:3">
      <c r="A15" s="230">
        <v>7</v>
      </c>
      <c r="B15" s="241">
        <v>41791</v>
      </c>
      <c r="C15" s="249">
        <v>4053704950</v>
      </c>
    </row>
    <row r="16" spans="1:3">
      <c r="A16" s="230">
        <v>8</v>
      </c>
      <c r="B16" s="241">
        <v>41821</v>
      </c>
      <c r="C16" s="249">
        <v>4113479025</v>
      </c>
    </row>
    <row r="17" spans="1:3">
      <c r="A17" s="230">
        <v>9</v>
      </c>
      <c r="B17" s="241">
        <v>41852</v>
      </c>
      <c r="C17" s="249">
        <v>4173721951</v>
      </c>
    </row>
    <row r="18" spans="1:3">
      <c r="A18" s="230">
        <v>10</v>
      </c>
      <c r="B18" s="241">
        <v>41883</v>
      </c>
      <c r="C18" s="249">
        <v>4200922242</v>
      </c>
    </row>
    <row r="19" spans="1:3">
      <c r="A19" s="230">
        <v>11</v>
      </c>
      <c r="B19" s="241">
        <v>41913</v>
      </c>
      <c r="C19" s="249">
        <v>4216028598</v>
      </c>
    </row>
    <row r="20" spans="1:3">
      <c r="A20" s="230">
        <v>12</v>
      </c>
      <c r="B20" s="241">
        <v>41944</v>
      </c>
      <c r="C20" s="249">
        <v>4234319865</v>
      </c>
    </row>
    <row r="21" spans="1:3">
      <c r="A21" s="230">
        <v>13</v>
      </c>
      <c r="B21" s="241">
        <v>41974</v>
      </c>
      <c r="C21" s="249">
        <v>4271407675</v>
      </c>
    </row>
    <row r="22" spans="1:3" ht="15.75" thickBot="1">
      <c r="A22" s="230">
        <v>14</v>
      </c>
      <c r="B22" s="143"/>
      <c r="C22" s="257"/>
    </row>
    <row r="23" spans="1:3" ht="15.75">
      <c r="A23" s="230">
        <v>15</v>
      </c>
      <c r="B23" s="251" t="s">
        <v>431</v>
      </c>
      <c r="C23" s="258">
        <f t="shared" ref="C23" si="0">AVERAGE(C9:C21)</f>
        <v>4076748289.1538463</v>
      </c>
    </row>
    <row r="24" spans="1:3">
      <c r="A24" s="219"/>
      <c r="B24" s="225"/>
      <c r="C24" s="226"/>
    </row>
  </sheetData>
  <sheetProtection password="E4A3" sheet="1" objects="1" scenarios="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1" sqref="C11"/>
    </sheetView>
  </sheetViews>
  <sheetFormatPr defaultRowHeight="15"/>
  <cols>
    <col min="1" max="1" width="6.77734375" customWidth="1"/>
    <col min="2" max="2" width="21.6640625" customWidth="1"/>
    <col min="3" max="3" width="22.44140625" customWidth="1"/>
  </cols>
  <sheetData>
    <row r="1" spans="1:3" ht="15.75">
      <c r="A1" s="197" t="s">
        <v>295</v>
      </c>
    </row>
    <row r="2" spans="1:3" ht="15.75">
      <c r="A2" s="197" t="s">
        <v>595</v>
      </c>
    </row>
    <row r="3" spans="1:3" ht="15.75">
      <c r="A3" s="197" t="s">
        <v>644</v>
      </c>
    </row>
    <row r="5" spans="1:3">
      <c r="B5" s="208" t="s">
        <v>432</v>
      </c>
      <c r="C5" s="208" t="s">
        <v>433</v>
      </c>
    </row>
    <row r="7" spans="1:3">
      <c r="A7" s="209" t="s">
        <v>4</v>
      </c>
      <c r="B7" s="255"/>
      <c r="C7" s="264"/>
    </row>
    <row r="8" spans="1:3" ht="15.75">
      <c r="A8" s="210" t="s">
        <v>6</v>
      </c>
      <c r="B8" s="245" t="s">
        <v>596</v>
      </c>
      <c r="C8" s="226"/>
    </row>
    <row r="9" spans="1:3" ht="15.75">
      <c r="A9" s="209"/>
      <c r="B9" s="259"/>
      <c r="C9" s="264"/>
    </row>
    <row r="10" spans="1:3">
      <c r="A10" s="230">
        <v>1</v>
      </c>
      <c r="B10" s="332">
        <v>216.1</v>
      </c>
      <c r="C10" s="224">
        <v>13646272</v>
      </c>
    </row>
    <row r="11" spans="1:3">
      <c r="A11" s="219"/>
      <c r="B11" s="219"/>
      <c r="C11" s="226"/>
    </row>
  </sheetData>
  <sheetProtection password="E4A3" sheet="1" objects="1" scenarios="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7" workbookViewId="0">
      <selection activeCell="D22" sqref="D22"/>
    </sheetView>
  </sheetViews>
  <sheetFormatPr defaultRowHeight="15"/>
  <cols>
    <col min="1" max="1" width="6.77734375" customWidth="1"/>
    <col min="2" max="3" width="16.44140625" customWidth="1"/>
    <col min="4" max="4" width="13.88671875" customWidth="1"/>
  </cols>
  <sheetData>
    <row r="1" spans="1:4" ht="15.75">
      <c r="A1" s="197" t="s">
        <v>295</v>
      </c>
    </row>
    <row r="2" spans="1:4" ht="15.75">
      <c r="A2" s="197" t="s">
        <v>469</v>
      </c>
    </row>
    <row r="3" spans="1:4" ht="15.75">
      <c r="A3" s="197" t="s">
        <v>643</v>
      </c>
    </row>
    <row r="5" spans="1:4">
      <c r="B5" s="208" t="s">
        <v>432</v>
      </c>
      <c r="C5" s="208" t="s">
        <v>433</v>
      </c>
    </row>
    <row r="7" spans="1:4" ht="15.75">
      <c r="A7" s="278" t="s">
        <v>4</v>
      </c>
      <c r="B7" s="243"/>
      <c r="C7" s="280"/>
      <c r="D7" s="244" t="s">
        <v>471</v>
      </c>
    </row>
    <row r="8" spans="1:4" ht="15.75">
      <c r="A8" s="279" t="s">
        <v>6</v>
      </c>
      <c r="B8" s="245" t="s">
        <v>426</v>
      </c>
      <c r="C8" s="215" t="s">
        <v>470</v>
      </c>
      <c r="D8" s="333">
        <v>2013</v>
      </c>
    </row>
    <row r="9" spans="1:4">
      <c r="A9" s="239">
        <v>1</v>
      </c>
      <c r="B9" s="241">
        <v>41609</v>
      </c>
      <c r="C9" s="248">
        <v>3570779400</v>
      </c>
      <c r="D9" s="224">
        <v>0</v>
      </c>
    </row>
    <row r="10" spans="1:4">
      <c r="A10" s="277">
        <v>2</v>
      </c>
      <c r="B10" s="241">
        <v>41640</v>
      </c>
      <c r="C10" s="248">
        <v>3570779400</v>
      </c>
      <c r="D10" s="224">
        <v>13333980</v>
      </c>
    </row>
    <row r="11" spans="1:4">
      <c r="A11" s="277">
        <v>3</v>
      </c>
      <c r="B11" s="241">
        <v>41671</v>
      </c>
      <c r="C11" s="248">
        <v>3570779400</v>
      </c>
      <c r="D11" s="224">
        <v>13333032</v>
      </c>
    </row>
    <row r="12" spans="1:4">
      <c r="A12" s="277">
        <v>4</v>
      </c>
      <c r="B12" s="241">
        <v>41699</v>
      </c>
      <c r="C12" s="248">
        <v>3570779400</v>
      </c>
      <c r="D12" s="224">
        <v>13337178</v>
      </c>
    </row>
    <row r="13" spans="1:4">
      <c r="A13" s="277">
        <v>5</v>
      </c>
      <c r="B13" s="241">
        <v>41730</v>
      </c>
      <c r="C13" s="248">
        <v>3570779400</v>
      </c>
      <c r="D13" s="224">
        <v>13340120</v>
      </c>
    </row>
    <row r="14" spans="1:4">
      <c r="A14" s="277">
        <v>6</v>
      </c>
      <c r="B14" s="241">
        <v>41760</v>
      </c>
      <c r="C14" s="248">
        <v>4420779400</v>
      </c>
      <c r="D14" s="224">
        <v>13345348</v>
      </c>
    </row>
    <row r="15" spans="1:4">
      <c r="A15" s="277">
        <v>7</v>
      </c>
      <c r="B15" s="241">
        <v>41791</v>
      </c>
      <c r="C15" s="248">
        <v>4420779400</v>
      </c>
      <c r="D15" s="224">
        <v>16481817</v>
      </c>
    </row>
    <row r="16" spans="1:4">
      <c r="A16" s="277">
        <v>8</v>
      </c>
      <c r="B16" s="241">
        <v>41821</v>
      </c>
      <c r="C16" s="248">
        <v>4420779400</v>
      </c>
      <c r="D16" s="224">
        <v>16482948</v>
      </c>
    </row>
    <row r="17" spans="1:4">
      <c r="A17" s="277">
        <v>9</v>
      </c>
      <c r="B17" s="241">
        <v>41852</v>
      </c>
      <c r="C17" s="248">
        <v>4420779400</v>
      </c>
      <c r="D17" s="224">
        <v>16488942</v>
      </c>
    </row>
    <row r="18" spans="1:4">
      <c r="A18" s="277">
        <v>10</v>
      </c>
      <c r="B18" s="241">
        <v>41883</v>
      </c>
      <c r="C18" s="248">
        <v>4420779400</v>
      </c>
      <c r="D18" s="224">
        <v>16493926</v>
      </c>
    </row>
    <row r="19" spans="1:4">
      <c r="A19" s="277">
        <v>11</v>
      </c>
      <c r="B19" s="241">
        <v>41913</v>
      </c>
      <c r="C19" s="248">
        <v>4070779400</v>
      </c>
      <c r="D19" s="224">
        <v>15164938</v>
      </c>
    </row>
    <row r="20" spans="1:4">
      <c r="A20" s="277">
        <v>12</v>
      </c>
      <c r="B20" s="241">
        <v>41944</v>
      </c>
      <c r="C20" s="248">
        <v>4070779400</v>
      </c>
      <c r="D20" s="224">
        <v>15125019</v>
      </c>
    </row>
    <row r="21" spans="1:4">
      <c r="A21" s="277">
        <v>13</v>
      </c>
      <c r="B21" s="241">
        <v>41974</v>
      </c>
      <c r="C21" s="248">
        <v>4070779400</v>
      </c>
      <c r="D21" s="224">
        <v>15130563</v>
      </c>
    </row>
    <row r="22" spans="1:4" ht="15.75" thickBot="1">
      <c r="A22" s="277">
        <v>14</v>
      </c>
      <c r="B22" s="143"/>
      <c r="C22" s="281"/>
      <c r="D22" s="257"/>
    </row>
    <row r="23" spans="1:4" ht="15.75">
      <c r="A23" s="277">
        <v>15</v>
      </c>
      <c r="B23" s="251" t="s">
        <v>431</v>
      </c>
      <c r="C23" s="252">
        <f t="shared" ref="C23" si="0">AVERAGE(C9:C21)</f>
        <v>4013087092.3076925</v>
      </c>
      <c r="D23" s="153"/>
    </row>
    <row r="24" spans="1:4" ht="15.75">
      <c r="A24" s="277">
        <v>16</v>
      </c>
      <c r="B24" s="143" t="s">
        <v>472</v>
      </c>
      <c r="C24" s="158"/>
      <c r="D24" s="276">
        <f>SUM(D9:D23)</f>
        <v>178057811</v>
      </c>
    </row>
    <row r="25" spans="1:4">
      <c r="A25" s="225"/>
      <c r="B25" s="225"/>
      <c r="C25" s="198"/>
      <c r="D25" s="226"/>
    </row>
  </sheetData>
  <sheetProtection password="E4A3" sheet="1" objects="1" scenarios="1"/>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workbookViewId="0">
      <selection activeCell="K8" sqref="K8"/>
    </sheetView>
  </sheetViews>
  <sheetFormatPr defaultRowHeight="15"/>
  <cols>
    <col min="1" max="1" width="5.109375" customWidth="1"/>
    <col min="7" max="7" width="9.77734375" customWidth="1"/>
    <col min="8" max="8" width="11.77734375" customWidth="1"/>
    <col min="9" max="9" width="9.5546875" customWidth="1"/>
    <col min="10" max="11" width="13" customWidth="1"/>
  </cols>
  <sheetData>
    <row r="1" spans="1:11" ht="15.75">
      <c r="A1" s="173" t="s">
        <v>295</v>
      </c>
      <c r="B1" s="174"/>
      <c r="C1" s="174"/>
      <c r="D1" s="174"/>
      <c r="E1" s="174"/>
      <c r="F1" s="174"/>
      <c r="G1" s="174"/>
      <c r="H1" s="174"/>
      <c r="I1" s="174"/>
      <c r="J1" s="174"/>
      <c r="K1" s="175"/>
    </row>
    <row r="2" spans="1:11" ht="15.75">
      <c r="A2" s="173" t="s">
        <v>296</v>
      </c>
      <c r="B2" s="174"/>
      <c r="C2" s="174"/>
      <c r="D2" s="174"/>
      <c r="E2" s="174"/>
      <c r="F2" s="174"/>
      <c r="G2" s="174"/>
      <c r="H2" s="174"/>
      <c r="I2" s="174"/>
      <c r="J2" s="174"/>
      <c r="K2" s="176"/>
    </row>
    <row r="3" spans="1:11" ht="15.75">
      <c r="A3" s="173" t="s">
        <v>599</v>
      </c>
      <c r="B3" s="174"/>
      <c r="C3" s="174"/>
      <c r="D3" s="174"/>
      <c r="E3" s="174"/>
      <c r="F3" s="174"/>
      <c r="G3" s="174"/>
      <c r="H3" s="174"/>
      <c r="I3" s="174"/>
      <c r="J3" s="174"/>
      <c r="K3" s="176"/>
    </row>
    <row r="4" spans="1:11">
      <c r="A4" s="176"/>
      <c r="B4" s="176"/>
      <c r="C4" s="176"/>
      <c r="D4" s="176"/>
      <c r="E4" s="176"/>
      <c r="F4" s="176"/>
      <c r="G4" s="176"/>
      <c r="H4" s="176"/>
      <c r="I4" s="176"/>
      <c r="J4" s="176"/>
      <c r="K4" s="176"/>
    </row>
    <row r="5" spans="1:11">
      <c r="A5" s="176"/>
      <c r="B5" s="176"/>
      <c r="C5" s="176"/>
      <c r="D5" s="176"/>
      <c r="E5" s="176"/>
      <c r="F5" s="176"/>
      <c r="G5" s="176"/>
      <c r="H5" s="176"/>
      <c r="I5" s="176"/>
      <c r="J5" s="176"/>
      <c r="K5" s="176"/>
    </row>
    <row r="6" spans="1:11">
      <c r="A6" s="177" t="s">
        <v>4</v>
      </c>
      <c r="B6" s="176"/>
      <c r="C6" s="176"/>
      <c r="D6" s="176"/>
      <c r="E6" s="176"/>
      <c r="F6" s="176"/>
      <c r="G6" s="176"/>
      <c r="H6" s="176"/>
      <c r="I6" s="176"/>
      <c r="J6" s="176"/>
      <c r="K6" s="176"/>
    </row>
    <row r="7" spans="1:11">
      <c r="A7" s="177">
        <v>1</v>
      </c>
      <c r="B7" s="176" t="s">
        <v>600</v>
      </c>
      <c r="C7" s="176"/>
      <c r="D7" s="176"/>
      <c r="E7" s="176"/>
      <c r="F7" s="176"/>
      <c r="G7" s="176"/>
      <c r="H7" s="176"/>
      <c r="I7" s="176"/>
      <c r="J7" s="178"/>
      <c r="K7" s="178">
        <f>27464810+92201+9174200</f>
        <v>36731211</v>
      </c>
    </row>
    <row r="8" spans="1:11">
      <c r="A8" s="176"/>
      <c r="B8" s="176"/>
      <c r="C8" s="176"/>
      <c r="D8" s="176"/>
      <c r="E8" s="176"/>
      <c r="F8" s="176"/>
      <c r="G8" s="176"/>
      <c r="H8" s="176"/>
      <c r="I8" s="176"/>
      <c r="J8" s="176"/>
      <c r="K8" s="176"/>
    </row>
    <row r="9" spans="1:11">
      <c r="A9" s="176"/>
      <c r="B9" s="176"/>
      <c r="C9" s="176"/>
      <c r="D9" s="176"/>
      <c r="E9" s="176"/>
      <c r="F9" s="176"/>
      <c r="G9" s="176"/>
      <c r="H9" s="176"/>
      <c r="I9" s="177" t="s">
        <v>297</v>
      </c>
      <c r="J9" s="176"/>
      <c r="K9" s="176"/>
    </row>
    <row r="10" spans="1:11" ht="15.75">
      <c r="A10" s="176"/>
      <c r="B10" s="179" t="s">
        <v>298</v>
      </c>
      <c r="C10" s="176"/>
      <c r="D10" s="176"/>
      <c r="E10" s="176"/>
      <c r="F10" s="176"/>
      <c r="G10" s="176"/>
      <c r="H10" s="176"/>
      <c r="I10" s="176"/>
      <c r="J10" s="177" t="s">
        <v>299</v>
      </c>
      <c r="K10" s="176"/>
    </row>
    <row r="11" spans="1:11" ht="15.75">
      <c r="A11" s="176"/>
      <c r="B11" s="179"/>
      <c r="C11" s="176"/>
      <c r="D11" s="176"/>
      <c r="E11" s="176"/>
      <c r="F11" s="176"/>
      <c r="G11" s="176"/>
      <c r="H11" s="176"/>
      <c r="I11" s="177" t="s">
        <v>300</v>
      </c>
      <c r="J11" s="177" t="s">
        <v>301</v>
      </c>
      <c r="K11" s="176"/>
    </row>
    <row r="12" spans="1:11">
      <c r="A12" s="177">
        <v>2</v>
      </c>
      <c r="B12" s="176" t="s">
        <v>302</v>
      </c>
      <c r="C12" s="176"/>
      <c r="D12" s="176"/>
      <c r="E12" s="176"/>
      <c r="F12" s="176"/>
      <c r="G12" s="176"/>
      <c r="H12" s="176"/>
      <c r="I12" s="180">
        <v>1269</v>
      </c>
      <c r="J12" s="181">
        <v>0</v>
      </c>
      <c r="K12" s="176"/>
    </row>
    <row r="13" spans="1:11">
      <c r="A13" s="177">
        <v>3</v>
      </c>
      <c r="B13" s="176" t="s">
        <v>303</v>
      </c>
      <c r="C13" s="176"/>
      <c r="D13" s="176"/>
      <c r="E13" s="176" t="s">
        <v>534</v>
      </c>
      <c r="F13" s="176"/>
      <c r="G13" s="176"/>
      <c r="H13" s="176"/>
      <c r="I13" s="182">
        <v>19137</v>
      </c>
      <c r="J13" s="181">
        <v>0</v>
      </c>
      <c r="K13" s="176"/>
    </row>
    <row r="14" spans="1:11">
      <c r="A14" s="177">
        <v>4</v>
      </c>
      <c r="B14" s="176" t="s">
        <v>304</v>
      </c>
      <c r="C14" s="176"/>
      <c r="D14" s="176"/>
      <c r="E14" s="176" t="s">
        <v>534</v>
      </c>
      <c r="F14" s="176"/>
      <c r="G14" s="176"/>
      <c r="H14" s="176"/>
      <c r="I14" s="182">
        <v>82711</v>
      </c>
      <c r="J14" s="181">
        <v>0</v>
      </c>
      <c r="K14" s="176"/>
    </row>
    <row r="15" spans="1:11">
      <c r="A15" s="177">
        <v>5</v>
      </c>
      <c r="B15" s="176" t="s">
        <v>305</v>
      </c>
      <c r="C15" s="176"/>
      <c r="D15" s="176"/>
      <c r="E15" s="176"/>
      <c r="F15" s="176"/>
      <c r="G15" s="176"/>
      <c r="H15" s="176"/>
      <c r="I15" s="183">
        <v>811</v>
      </c>
      <c r="J15" s="181">
        <v>0</v>
      </c>
      <c r="K15" s="176"/>
    </row>
    <row r="16" spans="1:11">
      <c r="A16" s="177">
        <v>6</v>
      </c>
      <c r="B16" s="176" t="s">
        <v>306</v>
      </c>
      <c r="C16" s="176"/>
      <c r="D16" s="176"/>
      <c r="E16" s="176"/>
      <c r="F16" s="176"/>
      <c r="G16" s="176"/>
      <c r="H16" s="176"/>
      <c r="I16" s="183">
        <v>985</v>
      </c>
      <c r="J16" s="181">
        <v>0</v>
      </c>
      <c r="K16" s="176"/>
    </row>
    <row r="17" spans="1:11">
      <c r="A17" s="177">
        <v>7</v>
      </c>
      <c r="B17" s="176" t="s">
        <v>307</v>
      </c>
      <c r="C17" s="176"/>
      <c r="D17" s="176"/>
      <c r="E17" s="176"/>
      <c r="F17" s="176"/>
      <c r="G17" s="176"/>
      <c r="H17" s="176"/>
      <c r="I17" s="183">
        <v>3811</v>
      </c>
      <c r="J17" s="181">
        <v>0</v>
      </c>
      <c r="K17" s="176"/>
    </row>
    <row r="18" spans="1:11">
      <c r="A18" s="177">
        <v>8</v>
      </c>
      <c r="B18" s="176" t="s">
        <v>308</v>
      </c>
      <c r="C18" s="176"/>
      <c r="D18" s="176"/>
      <c r="E18" s="176"/>
      <c r="F18" s="176"/>
      <c r="G18" s="176"/>
      <c r="H18" s="176"/>
      <c r="I18" s="183">
        <v>2220</v>
      </c>
      <c r="J18" s="181">
        <v>0</v>
      </c>
      <c r="K18" s="176"/>
    </row>
    <row r="19" spans="1:11">
      <c r="A19" s="177">
        <v>9</v>
      </c>
      <c r="B19" s="176" t="s">
        <v>309</v>
      </c>
      <c r="C19" s="176"/>
      <c r="D19" s="176"/>
      <c r="E19" s="176"/>
      <c r="F19" s="176"/>
      <c r="G19" s="176"/>
      <c r="H19" s="176"/>
      <c r="I19" s="183">
        <v>876</v>
      </c>
      <c r="J19" s="181">
        <v>0</v>
      </c>
      <c r="K19" s="176"/>
    </row>
    <row r="20" spans="1:11">
      <c r="A20" s="177">
        <v>10</v>
      </c>
      <c r="B20" s="176" t="s">
        <v>310</v>
      </c>
      <c r="C20" s="176"/>
      <c r="D20" s="176"/>
      <c r="E20" s="176"/>
      <c r="F20" s="176"/>
      <c r="G20" s="176"/>
      <c r="H20" s="176"/>
      <c r="I20" s="183">
        <v>11572</v>
      </c>
      <c r="J20" s="181">
        <v>0</v>
      </c>
      <c r="K20" s="176"/>
    </row>
    <row r="21" spans="1:11">
      <c r="A21" s="177">
        <v>11</v>
      </c>
      <c r="B21" s="176" t="s">
        <v>311</v>
      </c>
      <c r="C21" s="176"/>
      <c r="D21" s="176"/>
      <c r="E21" s="176"/>
      <c r="F21" s="176"/>
      <c r="G21" s="176"/>
      <c r="H21" s="176"/>
      <c r="I21" s="183">
        <v>3406</v>
      </c>
      <c r="J21" s="181">
        <v>0</v>
      </c>
      <c r="K21" s="176"/>
    </row>
    <row r="22" spans="1:11">
      <c r="A22" s="177">
        <v>12</v>
      </c>
      <c r="B22" s="176" t="s">
        <v>312</v>
      </c>
      <c r="C22" s="176"/>
      <c r="D22" s="176"/>
      <c r="E22" s="176" t="s">
        <v>534</v>
      </c>
      <c r="F22" s="176"/>
      <c r="G22" s="176"/>
      <c r="H22" s="176"/>
      <c r="I22" s="183">
        <v>4944</v>
      </c>
      <c r="J22" s="181">
        <v>0</v>
      </c>
      <c r="K22" s="176"/>
    </row>
    <row r="23" spans="1:11">
      <c r="A23" s="177">
        <v>13</v>
      </c>
      <c r="B23" s="176" t="s">
        <v>313</v>
      </c>
      <c r="C23" s="176"/>
      <c r="D23" s="176"/>
      <c r="F23" s="176"/>
      <c r="G23" s="176"/>
      <c r="H23" s="176"/>
      <c r="I23" s="183">
        <v>6300</v>
      </c>
      <c r="J23" s="181">
        <v>0</v>
      </c>
      <c r="K23" s="176"/>
    </row>
    <row r="24" spans="1:11">
      <c r="A24" s="177">
        <v>14</v>
      </c>
      <c r="B24" s="176" t="s">
        <v>314</v>
      </c>
      <c r="C24" s="176"/>
      <c r="D24" s="176"/>
      <c r="E24" s="176"/>
      <c r="F24" s="176"/>
      <c r="G24" s="176"/>
      <c r="H24" s="176"/>
      <c r="I24" s="183">
        <v>1764</v>
      </c>
      <c r="J24" s="181">
        <v>0</v>
      </c>
      <c r="K24" s="176"/>
    </row>
    <row r="25" spans="1:11">
      <c r="A25" s="177">
        <v>15</v>
      </c>
      <c r="B25" s="176" t="s">
        <v>315</v>
      </c>
      <c r="C25" s="176"/>
      <c r="D25" s="176"/>
      <c r="E25" s="176"/>
      <c r="F25" s="176"/>
      <c r="G25" s="176"/>
      <c r="H25" s="176"/>
      <c r="I25" s="183">
        <v>1313</v>
      </c>
      <c r="J25" s="181">
        <v>0</v>
      </c>
      <c r="K25" s="176"/>
    </row>
    <row r="26" spans="1:11">
      <c r="A26" s="177">
        <v>16</v>
      </c>
      <c r="B26" s="176" t="s">
        <v>316</v>
      </c>
      <c r="C26" s="176"/>
      <c r="D26" s="176"/>
      <c r="E26" s="176"/>
      <c r="F26" s="176"/>
      <c r="G26" s="176"/>
      <c r="H26" s="176"/>
      <c r="I26" s="183">
        <v>368</v>
      </c>
      <c r="J26" s="181">
        <v>0</v>
      </c>
      <c r="K26" s="176"/>
    </row>
    <row r="27" spans="1:11">
      <c r="A27" s="177">
        <v>17</v>
      </c>
      <c r="B27" s="176" t="s">
        <v>317</v>
      </c>
      <c r="C27" s="176"/>
      <c r="D27" s="176"/>
      <c r="E27" s="176" t="s">
        <v>534</v>
      </c>
      <c r="F27" s="176"/>
      <c r="G27" s="176"/>
      <c r="H27" s="176"/>
      <c r="I27" s="183">
        <v>7195</v>
      </c>
      <c r="J27" s="181">
        <v>0</v>
      </c>
      <c r="K27" s="176"/>
    </row>
    <row r="28" spans="1:11">
      <c r="A28" s="177">
        <v>18</v>
      </c>
      <c r="B28" s="176" t="s">
        <v>318</v>
      </c>
      <c r="C28" s="176"/>
      <c r="D28" s="176"/>
      <c r="E28" s="176"/>
      <c r="F28" s="176"/>
      <c r="G28" s="176"/>
      <c r="H28" s="176"/>
      <c r="I28" s="183">
        <v>22456</v>
      </c>
      <c r="J28" s="181">
        <v>0</v>
      </c>
      <c r="K28" s="176"/>
    </row>
    <row r="29" spans="1:11">
      <c r="A29" s="177">
        <v>19</v>
      </c>
      <c r="B29" s="176" t="s">
        <v>319</v>
      </c>
      <c r="C29" s="176"/>
      <c r="D29" s="176"/>
      <c r="E29" s="176" t="s">
        <v>534</v>
      </c>
      <c r="F29" s="176"/>
      <c r="G29" s="176"/>
      <c r="H29" s="176"/>
      <c r="I29" s="183">
        <v>32781</v>
      </c>
      <c r="J29" s="181">
        <v>0</v>
      </c>
      <c r="K29" s="176"/>
    </row>
    <row r="30" spans="1:11">
      <c r="A30" s="177">
        <v>20</v>
      </c>
      <c r="B30" s="176" t="s">
        <v>320</v>
      </c>
      <c r="C30" s="176"/>
      <c r="D30" s="176"/>
      <c r="E30" s="176"/>
      <c r="F30" s="176"/>
      <c r="G30" s="176"/>
      <c r="H30" s="176"/>
      <c r="I30" s="183">
        <v>2448</v>
      </c>
      <c r="J30" s="181">
        <v>0</v>
      </c>
      <c r="K30" s="176"/>
    </row>
    <row r="31" spans="1:11">
      <c r="A31" s="177">
        <v>21</v>
      </c>
      <c r="B31" s="176" t="s">
        <v>321</v>
      </c>
      <c r="C31" s="176"/>
      <c r="D31" s="176"/>
      <c r="E31" s="176"/>
      <c r="F31" s="176"/>
      <c r="G31" s="176"/>
      <c r="H31" s="176"/>
      <c r="I31" s="184">
        <v>23811</v>
      </c>
      <c r="J31" s="181">
        <v>0</v>
      </c>
      <c r="K31" s="176"/>
    </row>
    <row r="32" spans="1:11">
      <c r="A32" s="177">
        <v>22</v>
      </c>
      <c r="B32" s="176" t="s">
        <v>421</v>
      </c>
      <c r="C32" s="176"/>
      <c r="D32" s="176"/>
      <c r="E32" s="176"/>
      <c r="F32" s="176"/>
      <c r="G32" s="176"/>
      <c r="H32" s="176"/>
      <c r="I32" s="185"/>
      <c r="J32" s="186">
        <v>1655142</v>
      </c>
      <c r="K32" s="176"/>
    </row>
    <row r="33" spans="1:11" ht="15.75">
      <c r="A33" s="177">
        <v>23</v>
      </c>
      <c r="B33" s="176"/>
      <c r="C33" s="176" t="s">
        <v>322</v>
      </c>
      <c r="D33" s="176"/>
      <c r="E33" s="176"/>
      <c r="F33" s="176"/>
      <c r="G33" s="176"/>
      <c r="H33" s="176"/>
      <c r="I33" s="183">
        <f>SUM(I12:I31)</f>
        <v>230178</v>
      </c>
      <c r="J33" s="187">
        <f>SUM(J12:J32)</f>
        <v>1655142</v>
      </c>
      <c r="K33" s="176"/>
    </row>
    <row r="34" spans="1:11">
      <c r="A34" s="177"/>
      <c r="B34" s="176"/>
      <c r="C34" s="176"/>
      <c r="D34" s="176"/>
      <c r="E34" s="176"/>
      <c r="F34" s="176"/>
      <c r="G34" s="176"/>
      <c r="H34" s="176"/>
      <c r="I34" s="188"/>
      <c r="J34" s="189"/>
      <c r="K34" s="176"/>
    </row>
    <row r="35" spans="1:11" ht="15.75">
      <c r="A35" s="177">
        <v>24</v>
      </c>
      <c r="B35" s="176" t="s">
        <v>323</v>
      </c>
      <c r="C35" s="176"/>
      <c r="D35" s="176"/>
      <c r="E35" s="176"/>
      <c r="F35" s="176"/>
      <c r="G35" s="176"/>
      <c r="H35" s="176"/>
      <c r="I35" s="183"/>
      <c r="J35" s="189"/>
      <c r="K35" s="190">
        <f>J33</f>
        <v>1655142</v>
      </c>
    </row>
    <row r="36" spans="1:11" ht="15.75">
      <c r="A36" s="176"/>
      <c r="B36" s="179"/>
      <c r="C36" s="176" t="s">
        <v>324</v>
      </c>
      <c r="D36" s="176"/>
      <c r="E36" s="176"/>
      <c r="F36" s="176"/>
      <c r="G36" s="176"/>
      <c r="H36" s="176"/>
      <c r="I36" s="176"/>
      <c r="J36" s="176"/>
      <c r="K36" s="176"/>
    </row>
    <row r="37" spans="1:11" ht="16.5" thickBot="1">
      <c r="A37" s="177">
        <v>25</v>
      </c>
      <c r="B37" s="176" t="s">
        <v>325</v>
      </c>
      <c r="C37" s="176"/>
      <c r="D37" s="176"/>
      <c r="E37" s="176"/>
      <c r="F37" s="176"/>
      <c r="G37" s="176"/>
      <c r="H37" s="176"/>
      <c r="I37" s="176"/>
      <c r="J37" s="191"/>
      <c r="K37" s="192">
        <f>K7-K35</f>
        <v>35076069</v>
      </c>
    </row>
    <row r="38" spans="1:11" ht="15.75" thickTop="1">
      <c r="A38" s="176"/>
      <c r="B38" s="176"/>
      <c r="C38" s="176" t="s">
        <v>326</v>
      </c>
      <c r="D38" s="176"/>
      <c r="E38" s="176"/>
      <c r="F38" s="176"/>
      <c r="G38" s="176"/>
      <c r="H38" s="176"/>
      <c r="I38" s="176"/>
      <c r="J38" s="176"/>
      <c r="K38" s="176"/>
    </row>
  </sheetData>
  <sheetProtection password="E4A3" sheet="1" objects="1" scenarios="1"/>
  <pageMargins left="0.7" right="0.7" top="0.75" bottom="0.75" header="0.3" footer="0.3"/>
  <pageSetup scale="7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
  <sheetViews>
    <sheetView zoomScale="80" zoomScaleNormal="80" workbookViewId="0">
      <selection activeCell="C6" sqref="C6:N6"/>
    </sheetView>
  </sheetViews>
  <sheetFormatPr defaultRowHeight="15"/>
  <cols>
    <col min="2" max="2" width="4.77734375" customWidth="1"/>
    <col min="3" max="3" width="10.21875" customWidth="1"/>
    <col min="4" max="4" width="9.88671875" customWidth="1"/>
    <col min="5" max="5" width="10" bestFit="1" customWidth="1"/>
    <col min="6" max="6" width="11" bestFit="1" customWidth="1"/>
    <col min="7" max="8" width="10" bestFit="1" customWidth="1"/>
    <col min="9" max="9" width="11" bestFit="1" customWidth="1"/>
    <col min="10" max="13" width="10" bestFit="1" customWidth="1"/>
    <col min="14" max="14" width="9" bestFit="1" customWidth="1"/>
    <col min="15" max="15" width="4.77734375" customWidth="1"/>
    <col min="16" max="16" width="11.109375" customWidth="1"/>
    <col min="17" max="17" width="9.77734375" customWidth="1"/>
  </cols>
  <sheetData>
    <row r="1" spans="1:18" ht="15.75">
      <c r="A1" s="173" t="s">
        <v>295</v>
      </c>
    </row>
    <row r="2" spans="1:18" ht="15.75">
      <c r="A2" s="173" t="s">
        <v>327</v>
      </c>
    </row>
    <row r="3" spans="1:18" ht="15.75">
      <c r="A3" s="173" t="s">
        <v>679</v>
      </c>
    </row>
    <row r="6" spans="1:18">
      <c r="A6" s="172"/>
      <c r="B6" s="172"/>
      <c r="C6" s="195">
        <v>41640</v>
      </c>
      <c r="D6" s="195">
        <v>41671</v>
      </c>
      <c r="E6" s="195">
        <v>41699</v>
      </c>
      <c r="F6" s="195">
        <v>41730</v>
      </c>
      <c r="G6" s="195">
        <v>41760</v>
      </c>
      <c r="H6" s="195">
        <v>41791</v>
      </c>
      <c r="I6" s="195">
        <v>41821</v>
      </c>
      <c r="J6" s="195">
        <v>41852</v>
      </c>
      <c r="K6" s="195">
        <v>41883</v>
      </c>
      <c r="L6" s="195">
        <v>41913</v>
      </c>
      <c r="M6" s="195">
        <v>41944</v>
      </c>
      <c r="N6" s="195">
        <v>41974</v>
      </c>
      <c r="O6" s="172"/>
      <c r="P6" s="196" t="s">
        <v>9</v>
      </c>
      <c r="Q6" s="196"/>
      <c r="R6" s="172"/>
    </row>
    <row r="7" spans="1:18">
      <c r="A7" s="172"/>
      <c r="B7" s="172"/>
      <c r="C7" s="193"/>
      <c r="D7" s="193"/>
      <c r="E7" s="193"/>
      <c r="F7" s="193"/>
      <c r="G7" s="193"/>
      <c r="H7" s="193"/>
      <c r="I7" s="193"/>
      <c r="J7" s="193"/>
      <c r="K7" s="193"/>
      <c r="L7" s="193"/>
      <c r="M7" s="193"/>
      <c r="N7" s="193"/>
      <c r="O7" s="172"/>
      <c r="P7" s="172"/>
      <c r="Q7" s="172"/>
      <c r="R7" s="172"/>
    </row>
    <row r="8" spans="1:18">
      <c r="A8" s="172">
        <v>454042</v>
      </c>
      <c r="B8" s="172"/>
      <c r="C8" s="323">
        <v>2507.375</v>
      </c>
      <c r="D8" s="323">
        <v>2507.375</v>
      </c>
      <c r="E8" s="323">
        <v>2507.375</v>
      </c>
      <c r="F8" s="323">
        <v>179507.375</v>
      </c>
      <c r="G8" s="323">
        <v>2507.375</v>
      </c>
      <c r="H8" s="323">
        <v>2507.375</v>
      </c>
      <c r="I8" s="323">
        <v>2507.375</v>
      </c>
      <c r="J8" s="323">
        <v>2507.375</v>
      </c>
      <c r="K8" s="323">
        <v>2507.375</v>
      </c>
      <c r="L8" s="323">
        <v>2507.375</v>
      </c>
      <c r="M8" s="323">
        <v>2507.375</v>
      </c>
      <c r="N8" s="323">
        <v>2507.375</v>
      </c>
      <c r="O8" s="172"/>
      <c r="P8" s="323">
        <f>SUM(C8:O8)</f>
        <v>207088.5</v>
      </c>
      <c r="Q8" s="172"/>
      <c r="R8" s="172"/>
    </row>
    <row r="9" spans="1:18">
      <c r="A9" s="172"/>
      <c r="B9" s="172"/>
      <c r="C9" s="194"/>
      <c r="D9" s="194"/>
      <c r="E9" s="194"/>
      <c r="F9" s="194"/>
      <c r="G9" s="194"/>
      <c r="H9" s="194"/>
      <c r="I9" s="194"/>
      <c r="J9" s="194"/>
      <c r="K9" s="194"/>
      <c r="L9" s="194"/>
      <c r="M9" s="194"/>
      <c r="N9" s="194"/>
      <c r="O9" s="172"/>
      <c r="P9" s="194"/>
      <c r="Q9" s="172"/>
      <c r="R9" s="172"/>
    </row>
    <row r="10" spans="1:18">
      <c r="A10" s="172">
        <v>454011</v>
      </c>
      <c r="B10" s="172"/>
      <c r="C10" s="324">
        <v>1250</v>
      </c>
      <c r="D10" s="324">
        <v>1250</v>
      </c>
      <c r="E10" s="324">
        <v>1250</v>
      </c>
      <c r="F10" s="324">
        <v>1250</v>
      </c>
      <c r="G10" s="324">
        <v>1250</v>
      </c>
      <c r="H10" s="324">
        <v>1250</v>
      </c>
      <c r="I10" s="324">
        <v>1250</v>
      </c>
      <c r="J10" s="324">
        <v>1250</v>
      </c>
      <c r="K10" s="324">
        <v>1250</v>
      </c>
      <c r="L10" s="324">
        <v>1250</v>
      </c>
      <c r="M10" s="324">
        <v>1250</v>
      </c>
      <c r="N10" s="324">
        <v>1250</v>
      </c>
      <c r="O10" s="324"/>
      <c r="P10" s="324">
        <f t="shared" ref="P10" si="0">SUM(C10:O10)</f>
        <v>15000</v>
      </c>
      <c r="Q10" s="172"/>
      <c r="R10" s="172"/>
    </row>
    <row r="11" spans="1:18">
      <c r="A11" s="172"/>
      <c r="B11" s="172"/>
      <c r="C11" s="194"/>
      <c r="D11" s="194"/>
      <c r="E11" s="194"/>
      <c r="F11" s="194"/>
      <c r="G11" s="194"/>
      <c r="H11" s="194"/>
      <c r="I11" s="194"/>
      <c r="J11" s="194"/>
      <c r="K11" s="194"/>
      <c r="L11" s="194"/>
      <c r="M11" s="194"/>
      <c r="N11" s="194"/>
      <c r="O11" s="172"/>
      <c r="P11" s="172"/>
      <c r="Q11" s="172"/>
      <c r="R11" s="172"/>
    </row>
    <row r="12" spans="1:18" ht="15.75" thickBot="1">
      <c r="A12" s="196" t="s">
        <v>9</v>
      </c>
      <c r="B12" s="172"/>
      <c r="C12" s="325">
        <f>SUM(C8:C11)</f>
        <v>3757.375</v>
      </c>
      <c r="D12" s="325">
        <f t="shared" ref="D12:N12" si="1">SUM(D8:D11)</f>
        <v>3757.375</v>
      </c>
      <c r="E12" s="325">
        <f t="shared" si="1"/>
        <v>3757.375</v>
      </c>
      <c r="F12" s="325">
        <f t="shared" si="1"/>
        <v>180757.375</v>
      </c>
      <c r="G12" s="325">
        <f t="shared" si="1"/>
        <v>3757.375</v>
      </c>
      <c r="H12" s="325">
        <f t="shared" si="1"/>
        <v>3757.375</v>
      </c>
      <c r="I12" s="325">
        <f t="shared" si="1"/>
        <v>3757.375</v>
      </c>
      <c r="J12" s="325">
        <f t="shared" si="1"/>
        <v>3757.375</v>
      </c>
      <c r="K12" s="325">
        <f t="shared" si="1"/>
        <v>3757.375</v>
      </c>
      <c r="L12" s="325">
        <f t="shared" si="1"/>
        <v>3757.375</v>
      </c>
      <c r="M12" s="325">
        <f t="shared" si="1"/>
        <v>3757.375</v>
      </c>
      <c r="N12" s="325">
        <f t="shared" si="1"/>
        <v>3757.375</v>
      </c>
      <c r="O12" s="324"/>
      <c r="P12" s="325">
        <f>SUM(C12:O12)</f>
        <v>222088.5</v>
      </c>
      <c r="Q12" s="172"/>
      <c r="R12" s="172"/>
    </row>
    <row r="13" spans="1:18" ht="15.75" thickTop="1"/>
  </sheetData>
  <sheetProtection password="E4A3" sheet="1" objects="1" scenarios="1"/>
  <pageMargins left="0.7" right="0.7" top="0.75" bottom="0.75" header="0.3" footer="0.3"/>
  <pageSetup scale="6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90" zoomScaleNormal="90" workbookViewId="0">
      <selection activeCell="E23" sqref="E23"/>
    </sheetView>
  </sheetViews>
  <sheetFormatPr defaultRowHeight="15"/>
  <cols>
    <col min="1" max="1" width="6.77734375" customWidth="1"/>
    <col min="2" max="2" width="12.77734375" customWidth="1"/>
    <col min="3" max="3" width="13.6640625" customWidth="1"/>
    <col min="4" max="4" width="10.77734375" customWidth="1"/>
    <col min="5" max="5" width="11.21875" customWidth="1"/>
    <col min="6" max="7" width="11.33203125" customWidth="1"/>
    <col min="8" max="8" width="13.21875" customWidth="1"/>
    <col min="9" max="9" width="12.77734375" customWidth="1"/>
    <col min="10" max="10" width="12.33203125" bestFit="1" customWidth="1"/>
  </cols>
  <sheetData>
    <row r="1" spans="1:10" ht="15.75">
      <c r="A1" s="197" t="s">
        <v>295</v>
      </c>
    </row>
    <row r="2" spans="1:10" ht="15.75">
      <c r="A2" s="197" t="s">
        <v>518</v>
      </c>
    </row>
    <row r="3" spans="1:10" ht="15.75">
      <c r="A3" s="197" t="s">
        <v>598</v>
      </c>
    </row>
    <row r="5" spans="1:10">
      <c r="C5" s="208" t="s">
        <v>432</v>
      </c>
      <c r="D5" s="208" t="s">
        <v>433</v>
      </c>
      <c r="E5" s="208" t="s">
        <v>438</v>
      </c>
      <c r="F5" s="208" t="s">
        <v>434</v>
      </c>
      <c r="G5" s="208" t="s">
        <v>435</v>
      </c>
      <c r="H5" s="208" t="s">
        <v>436</v>
      </c>
      <c r="I5" s="208" t="s">
        <v>519</v>
      </c>
      <c r="J5" s="208" t="s">
        <v>520</v>
      </c>
    </row>
    <row r="6" spans="1:10">
      <c r="C6" s="208"/>
      <c r="D6" s="208"/>
      <c r="E6" s="208"/>
    </row>
    <row r="7" spans="1:10" ht="15.75">
      <c r="A7" s="228"/>
      <c r="B7" s="255"/>
      <c r="C7" s="299"/>
      <c r="D7" s="289"/>
      <c r="E7" s="289"/>
      <c r="F7" s="289"/>
      <c r="G7" s="289" t="s">
        <v>508</v>
      </c>
      <c r="H7" s="289" t="s">
        <v>511</v>
      </c>
      <c r="I7" s="289" t="s">
        <v>511</v>
      </c>
      <c r="J7" s="264"/>
    </row>
    <row r="8" spans="1:10" ht="15.75">
      <c r="A8" s="231"/>
      <c r="B8" s="143"/>
      <c r="C8" s="158"/>
      <c r="D8" s="227" t="s">
        <v>508</v>
      </c>
      <c r="E8" s="227" t="s">
        <v>508</v>
      </c>
      <c r="F8" s="227" t="s">
        <v>511</v>
      </c>
      <c r="G8" s="227" t="s">
        <v>509</v>
      </c>
      <c r="H8" s="227" t="s">
        <v>512</v>
      </c>
      <c r="I8" s="227" t="s">
        <v>515</v>
      </c>
      <c r="J8" s="153"/>
    </row>
    <row r="9" spans="1:10" ht="15.75">
      <c r="A9" s="253" t="s">
        <v>4</v>
      </c>
      <c r="B9" s="251"/>
      <c r="C9" s="227" t="s">
        <v>504</v>
      </c>
      <c r="D9" s="227" t="s">
        <v>517</v>
      </c>
      <c r="E9" s="227" t="s">
        <v>299</v>
      </c>
      <c r="F9" s="297" t="s">
        <v>506</v>
      </c>
      <c r="G9" s="297" t="s">
        <v>510</v>
      </c>
      <c r="H9" s="297" t="s">
        <v>513</v>
      </c>
      <c r="I9" s="297" t="s">
        <v>516</v>
      </c>
      <c r="J9" s="153"/>
    </row>
    <row r="10" spans="1:10" ht="15.75">
      <c r="A10" s="210" t="s">
        <v>6</v>
      </c>
      <c r="B10" s="245" t="s">
        <v>503</v>
      </c>
      <c r="C10" s="215" t="s">
        <v>505</v>
      </c>
      <c r="D10" s="215" t="s">
        <v>507</v>
      </c>
      <c r="E10" s="215" t="s">
        <v>151</v>
      </c>
      <c r="F10" s="300" t="s">
        <v>507</v>
      </c>
      <c r="G10" s="300" t="s">
        <v>506</v>
      </c>
      <c r="H10" s="300" t="s">
        <v>514</v>
      </c>
      <c r="I10" s="300" t="s">
        <v>507</v>
      </c>
      <c r="J10" s="301" t="s">
        <v>518</v>
      </c>
    </row>
    <row r="11" spans="1:10">
      <c r="A11" s="291">
        <v>1</v>
      </c>
      <c r="B11" s="240">
        <v>41640</v>
      </c>
      <c r="C11" s="293">
        <v>3559000</v>
      </c>
      <c r="D11" s="293">
        <v>0</v>
      </c>
      <c r="E11" s="293">
        <v>76776</v>
      </c>
      <c r="F11" s="302">
        <v>0</v>
      </c>
      <c r="G11" s="302">
        <v>0</v>
      </c>
      <c r="H11" s="302">
        <v>0</v>
      </c>
      <c r="I11" s="302">
        <v>0</v>
      </c>
      <c r="J11" s="294">
        <f>C11+D11+E11-F11+G11-H11-I11</f>
        <v>3635776</v>
      </c>
    </row>
    <row r="12" spans="1:10">
      <c r="A12" s="292">
        <v>2</v>
      </c>
      <c r="B12" s="241">
        <v>41671</v>
      </c>
      <c r="C12" s="295">
        <v>3435000</v>
      </c>
      <c r="D12" s="295">
        <v>0</v>
      </c>
      <c r="E12" s="295">
        <v>68448</v>
      </c>
      <c r="F12" s="298">
        <v>0</v>
      </c>
      <c r="G12" s="298">
        <v>0</v>
      </c>
      <c r="H12" s="298">
        <v>0</v>
      </c>
      <c r="I12" s="298">
        <v>0</v>
      </c>
      <c r="J12" s="296">
        <f t="shared" ref="J12:J22" si="0">C12+D12+E12-F12+G12-H12-I12</f>
        <v>3503448</v>
      </c>
    </row>
    <row r="13" spans="1:10">
      <c r="A13" s="292">
        <v>3</v>
      </c>
      <c r="B13" s="241">
        <v>41699</v>
      </c>
      <c r="C13" s="295">
        <v>3225000</v>
      </c>
      <c r="D13" s="295">
        <v>0</v>
      </c>
      <c r="E13" s="295">
        <v>65952</v>
      </c>
      <c r="F13" s="298">
        <v>0</v>
      </c>
      <c r="G13" s="298">
        <v>0</v>
      </c>
      <c r="H13" s="298">
        <v>0</v>
      </c>
      <c r="I13" s="298">
        <v>0</v>
      </c>
      <c r="J13" s="296">
        <f t="shared" si="0"/>
        <v>3290952</v>
      </c>
    </row>
    <row r="14" spans="1:10">
      <c r="A14" s="292">
        <v>4</v>
      </c>
      <c r="B14" s="241">
        <v>41730</v>
      </c>
      <c r="C14" s="295">
        <v>3121000</v>
      </c>
      <c r="D14" s="295">
        <v>0</v>
      </c>
      <c r="E14" s="295">
        <v>61881</v>
      </c>
      <c r="F14" s="298">
        <v>0</v>
      </c>
      <c r="G14" s="298">
        <v>0</v>
      </c>
      <c r="H14" s="298">
        <v>0</v>
      </c>
      <c r="I14" s="298">
        <v>0</v>
      </c>
      <c r="J14" s="296">
        <f t="shared" si="0"/>
        <v>3182881</v>
      </c>
    </row>
    <row r="15" spans="1:10">
      <c r="A15" s="292">
        <v>5</v>
      </c>
      <c r="B15" s="241">
        <v>41760</v>
      </c>
      <c r="C15" s="295">
        <v>3634000</v>
      </c>
      <c r="D15" s="295">
        <v>0</v>
      </c>
      <c r="E15" s="295">
        <v>75456</v>
      </c>
      <c r="F15" s="298">
        <v>0</v>
      </c>
      <c r="G15" s="298">
        <v>0</v>
      </c>
      <c r="H15" s="298">
        <v>0</v>
      </c>
      <c r="I15" s="298">
        <v>0</v>
      </c>
      <c r="J15" s="296">
        <f t="shared" si="0"/>
        <v>3709456</v>
      </c>
    </row>
    <row r="16" spans="1:10">
      <c r="A16" s="292">
        <v>6</v>
      </c>
      <c r="B16" s="241">
        <v>41791</v>
      </c>
      <c r="C16" s="295">
        <v>4356000</v>
      </c>
      <c r="D16" s="295">
        <v>0</v>
      </c>
      <c r="E16" s="295">
        <v>104880</v>
      </c>
      <c r="F16" s="298">
        <v>0</v>
      </c>
      <c r="G16" s="298">
        <v>0</v>
      </c>
      <c r="H16" s="298">
        <v>0</v>
      </c>
      <c r="I16" s="298">
        <v>0</v>
      </c>
      <c r="J16" s="296">
        <f t="shared" si="0"/>
        <v>4460880</v>
      </c>
    </row>
    <row r="17" spans="1:10">
      <c r="A17" s="292">
        <v>7</v>
      </c>
      <c r="B17" s="241">
        <v>41821</v>
      </c>
      <c r="C17" s="295">
        <v>4780000</v>
      </c>
      <c r="D17" s="295">
        <v>0</v>
      </c>
      <c r="E17" s="295">
        <v>119876</v>
      </c>
      <c r="F17" s="298">
        <v>0</v>
      </c>
      <c r="G17" s="298">
        <v>0</v>
      </c>
      <c r="H17" s="298">
        <v>0</v>
      </c>
      <c r="I17" s="298">
        <v>0</v>
      </c>
      <c r="J17" s="296">
        <f t="shared" si="0"/>
        <v>4899876</v>
      </c>
    </row>
    <row r="18" spans="1:10">
      <c r="A18" s="292">
        <v>8</v>
      </c>
      <c r="B18" s="241">
        <v>41852</v>
      </c>
      <c r="C18" s="295">
        <v>4669000</v>
      </c>
      <c r="D18" s="295">
        <v>0</v>
      </c>
      <c r="E18" s="295">
        <v>109946</v>
      </c>
      <c r="F18" s="298">
        <v>0</v>
      </c>
      <c r="G18" s="298">
        <v>0</v>
      </c>
      <c r="H18" s="298">
        <v>0</v>
      </c>
      <c r="I18" s="298">
        <v>0</v>
      </c>
      <c r="J18" s="296">
        <f t="shared" si="0"/>
        <v>4778946</v>
      </c>
    </row>
    <row r="19" spans="1:10">
      <c r="A19" s="292">
        <v>9</v>
      </c>
      <c r="B19" s="241">
        <v>41883</v>
      </c>
      <c r="C19" s="295">
        <v>4178000</v>
      </c>
      <c r="D19" s="295">
        <v>0</v>
      </c>
      <c r="E19" s="295">
        <v>109586</v>
      </c>
      <c r="F19" s="298">
        <v>0</v>
      </c>
      <c r="G19" s="298">
        <v>0</v>
      </c>
      <c r="H19" s="298">
        <v>0</v>
      </c>
      <c r="I19" s="298">
        <v>0</v>
      </c>
      <c r="J19" s="296">
        <f t="shared" si="0"/>
        <v>4287586</v>
      </c>
    </row>
    <row r="20" spans="1:10">
      <c r="A20" s="292">
        <v>10</v>
      </c>
      <c r="B20" s="241">
        <v>41913</v>
      </c>
      <c r="C20" s="295">
        <v>3307000</v>
      </c>
      <c r="D20" s="295">
        <v>0</v>
      </c>
      <c r="E20" s="295">
        <v>63091</v>
      </c>
      <c r="F20" s="298">
        <v>0</v>
      </c>
      <c r="G20" s="298">
        <v>0</v>
      </c>
      <c r="H20" s="298">
        <v>0</v>
      </c>
      <c r="I20" s="298">
        <v>0</v>
      </c>
      <c r="J20" s="296">
        <f t="shared" si="0"/>
        <v>3370091</v>
      </c>
    </row>
    <row r="21" spans="1:10">
      <c r="A21" s="292">
        <v>11</v>
      </c>
      <c r="B21" s="241">
        <v>41944</v>
      </c>
      <c r="C21" s="295">
        <v>3312000</v>
      </c>
      <c r="D21" s="295">
        <v>0</v>
      </c>
      <c r="E21" s="295">
        <v>69884</v>
      </c>
      <c r="F21" s="298">
        <v>0</v>
      </c>
      <c r="G21" s="298">
        <v>0</v>
      </c>
      <c r="H21" s="298">
        <v>0</v>
      </c>
      <c r="I21" s="298">
        <v>0</v>
      </c>
      <c r="J21" s="296">
        <f t="shared" si="0"/>
        <v>3381884</v>
      </c>
    </row>
    <row r="22" spans="1:10">
      <c r="A22" s="292">
        <v>12</v>
      </c>
      <c r="B22" s="241">
        <v>41974</v>
      </c>
      <c r="C22" s="303">
        <v>3525000</v>
      </c>
      <c r="D22" s="303">
        <v>0</v>
      </c>
      <c r="E22" s="303">
        <v>75127</v>
      </c>
      <c r="F22" s="304">
        <v>0</v>
      </c>
      <c r="G22" s="304">
        <v>0</v>
      </c>
      <c r="H22" s="304">
        <v>0</v>
      </c>
      <c r="I22" s="304">
        <v>0</v>
      </c>
      <c r="J22" s="305">
        <f t="shared" si="0"/>
        <v>3600127</v>
      </c>
    </row>
    <row r="23" spans="1:10">
      <c r="A23" s="292">
        <v>13</v>
      </c>
      <c r="B23" s="143"/>
      <c r="C23" s="158"/>
      <c r="D23" s="158"/>
      <c r="E23" s="158"/>
      <c r="F23" s="158"/>
      <c r="G23" s="158"/>
      <c r="H23" s="158"/>
      <c r="I23" s="158"/>
      <c r="J23" s="153"/>
    </row>
    <row r="24" spans="1:10" ht="16.5" thickBot="1">
      <c r="A24" s="292">
        <v>14</v>
      </c>
      <c r="B24" s="251" t="s">
        <v>328</v>
      </c>
      <c r="C24" s="306">
        <f>AVERAGE(C11:C22)</f>
        <v>3758416.6666666665</v>
      </c>
      <c r="D24" s="306">
        <f t="shared" ref="D24:J24" si="1">AVERAGE(D11:D22)</f>
        <v>0</v>
      </c>
      <c r="E24" s="306">
        <f t="shared" si="1"/>
        <v>83408.583333333328</v>
      </c>
      <c r="F24" s="306">
        <f t="shared" si="1"/>
        <v>0</v>
      </c>
      <c r="G24" s="306">
        <f t="shared" si="1"/>
        <v>0</v>
      </c>
      <c r="H24" s="306">
        <f t="shared" si="1"/>
        <v>0</v>
      </c>
      <c r="I24" s="306">
        <f t="shared" si="1"/>
        <v>0</v>
      </c>
      <c r="J24" s="307">
        <f t="shared" si="1"/>
        <v>3841825.25</v>
      </c>
    </row>
    <row r="25" spans="1:10" ht="15.75" thickTop="1">
      <c r="A25" s="219"/>
      <c r="B25" s="225"/>
      <c r="C25" s="198"/>
      <c r="D25" s="198"/>
      <c r="E25" s="198"/>
      <c r="F25" s="198"/>
      <c r="G25" s="198"/>
      <c r="H25" s="198"/>
      <c r="I25" s="198"/>
      <c r="J25" s="226"/>
    </row>
  </sheetData>
  <sheetProtection password="E4A3" sheet="1" objects="1" scenarios="1"/>
  <pageMargins left="0.7" right="0.7" top="0.75" bottom="0.75" header="0.3" footer="0.3"/>
  <pageSetup scale="8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5"/>
  <sheetViews>
    <sheetView zoomScale="80" zoomScaleNormal="80" workbookViewId="0">
      <selection activeCell="M25" sqref="M25"/>
    </sheetView>
  </sheetViews>
  <sheetFormatPr defaultRowHeight="15"/>
  <cols>
    <col min="1" max="1" width="3.6640625" customWidth="1"/>
    <col min="2" max="2" width="25.44140625" customWidth="1"/>
    <col min="3" max="3" width="12.109375" customWidth="1"/>
    <col min="4" max="4" width="14" customWidth="1"/>
    <col min="5" max="5" width="14.33203125" customWidth="1"/>
    <col min="6" max="6" width="14.88671875" customWidth="1"/>
    <col min="7" max="9" width="14.5546875" customWidth="1"/>
    <col min="10" max="10" width="1" customWidth="1"/>
    <col min="11" max="11" width="13.6640625" customWidth="1"/>
    <col min="12" max="12" width="1.44140625" customWidth="1"/>
    <col min="13" max="13" width="15" customWidth="1"/>
    <col min="14" max="14" width="20.44140625" bestFit="1" customWidth="1"/>
    <col min="15" max="15" width="2.77734375" customWidth="1"/>
    <col min="16" max="16" width="9.77734375" customWidth="1"/>
  </cols>
  <sheetData>
    <row r="1" spans="1:16" s="144" customFormat="1" ht="20.25">
      <c r="A1" s="335" t="s">
        <v>295</v>
      </c>
      <c r="B1" s="336"/>
      <c r="C1" s="337"/>
      <c r="D1" s="336"/>
      <c r="E1" s="338" t="s">
        <v>602</v>
      </c>
      <c r="F1" s="339"/>
      <c r="G1" s="337"/>
      <c r="H1" s="337"/>
      <c r="I1" s="337"/>
      <c r="J1" s="340"/>
      <c r="K1" s="337"/>
      <c r="L1" s="340"/>
      <c r="M1" s="341"/>
      <c r="N1" s="341"/>
      <c r="O1" s="337"/>
      <c r="P1" s="337"/>
    </row>
    <row r="2" spans="1:16" s="144" customFormat="1" ht="15.75">
      <c r="A2" s="340"/>
      <c r="B2" s="336"/>
      <c r="C2" s="336"/>
      <c r="D2" s="336"/>
      <c r="E2" s="336"/>
      <c r="F2" s="339"/>
      <c r="G2" s="340"/>
      <c r="H2" s="340"/>
      <c r="I2" s="340"/>
      <c r="J2" s="340"/>
      <c r="K2" s="340"/>
      <c r="L2" s="340"/>
      <c r="M2" s="342"/>
      <c r="N2" s="343" t="s">
        <v>329</v>
      </c>
      <c r="O2" s="337"/>
      <c r="P2" s="337" t="s">
        <v>585</v>
      </c>
    </row>
    <row r="3" spans="1:16" s="144" customFormat="1" ht="16.5" thickBot="1">
      <c r="A3" s="344"/>
      <c r="B3" s="336"/>
      <c r="C3" s="336"/>
      <c r="D3" s="345" t="s">
        <v>330</v>
      </c>
      <c r="E3" s="346"/>
      <c r="F3" s="346"/>
      <c r="G3" s="346"/>
      <c r="H3" s="346"/>
      <c r="I3" s="346"/>
      <c r="J3" s="346"/>
      <c r="K3" s="346"/>
      <c r="L3" s="340"/>
      <c r="M3" s="342" t="s">
        <v>331</v>
      </c>
      <c r="N3" s="342" t="s">
        <v>332</v>
      </c>
      <c r="O3" s="337"/>
      <c r="P3" s="337"/>
    </row>
    <row r="4" spans="1:16" s="144" customFormat="1" ht="15.75">
      <c r="A4" s="347" t="s">
        <v>333</v>
      </c>
      <c r="B4" s="348"/>
      <c r="C4" s="349" t="s">
        <v>334</v>
      </c>
      <c r="D4" s="350" t="s">
        <v>335</v>
      </c>
      <c r="E4" s="351" t="s">
        <v>336</v>
      </c>
      <c r="F4" s="350" t="s">
        <v>603</v>
      </c>
      <c r="G4" s="350" t="s">
        <v>337</v>
      </c>
      <c r="H4" s="350" t="s">
        <v>604</v>
      </c>
      <c r="I4" s="350" t="s">
        <v>605</v>
      </c>
      <c r="J4" s="350"/>
      <c r="K4" s="350" t="s">
        <v>338</v>
      </c>
      <c r="L4" s="340"/>
      <c r="M4" s="352" t="s">
        <v>339</v>
      </c>
      <c r="N4" s="344" t="s">
        <v>340</v>
      </c>
      <c r="O4" s="337"/>
      <c r="P4" s="337"/>
    </row>
    <row r="5" spans="1:16" s="144" customFormat="1" ht="15.75">
      <c r="A5" s="339"/>
      <c r="B5" s="339"/>
      <c r="C5" s="353" t="s">
        <v>341</v>
      </c>
      <c r="D5" s="350" t="s">
        <v>342</v>
      </c>
      <c r="E5" s="350" t="s">
        <v>342</v>
      </c>
      <c r="F5" s="350" t="s">
        <v>342</v>
      </c>
      <c r="G5" s="350" t="s">
        <v>342</v>
      </c>
      <c r="H5" s="350" t="s">
        <v>342</v>
      </c>
      <c r="I5" s="350" t="s">
        <v>342</v>
      </c>
      <c r="J5" s="350"/>
      <c r="K5" s="350" t="s">
        <v>343</v>
      </c>
      <c r="L5" s="340"/>
      <c r="M5" s="342" t="s">
        <v>344</v>
      </c>
      <c r="N5" s="354" t="s">
        <v>345</v>
      </c>
      <c r="O5" s="337"/>
      <c r="P5" s="337"/>
    </row>
    <row r="6" spans="1:16" s="144" customFormat="1" ht="15.75">
      <c r="A6" s="339"/>
      <c r="B6" s="339"/>
      <c r="C6" s="353"/>
      <c r="D6" s="355">
        <v>0.56921900000000003</v>
      </c>
      <c r="E6" s="355">
        <v>0.27199099999999998</v>
      </c>
      <c r="F6" s="355">
        <v>1.9000000000000001E-4</v>
      </c>
      <c r="G6" s="355">
        <v>2.4399999999999999E-3</v>
      </c>
      <c r="H6" s="355">
        <v>1.4215E-2</v>
      </c>
      <c r="I6" s="355">
        <v>1.068E-2</v>
      </c>
      <c r="J6" s="356"/>
      <c r="K6" s="357">
        <f>SUM(D6:J6)</f>
        <v>0.86873500000000003</v>
      </c>
      <c r="L6" s="340"/>
      <c r="M6" s="342"/>
      <c r="N6" s="336"/>
      <c r="O6" s="358"/>
      <c r="P6" s="337"/>
    </row>
    <row r="7" spans="1:16" s="144" customFormat="1" ht="15.75">
      <c r="A7" s="339"/>
      <c r="B7" s="339"/>
      <c r="C7" s="353"/>
      <c r="D7" s="355" t="s">
        <v>606</v>
      </c>
      <c r="E7" s="359" t="s">
        <v>607</v>
      </c>
      <c r="F7" s="359" t="s">
        <v>607</v>
      </c>
      <c r="G7" s="359" t="s">
        <v>607</v>
      </c>
      <c r="H7" s="359" t="s">
        <v>607</v>
      </c>
      <c r="I7" s="359" t="s">
        <v>606</v>
      </c>
      <c r="J7" s="356"/>
      <c r="K7" s="360"/>
      <c r="L7" s="340"/>
      <c r="M7" s="342"/>
      <c r="N7" s="336"/>
      <c r="O7" s="337"/>
      <c r="P7" s="337"/>
    </row>
    <row r="8" spans="1:16" s="144" customFormat="1">
      <c r="A8" s="337"/>
      <c r="B8" s="337"/>
      <c r="C8" s="337" t="s">
        <v>346</v>
      </c>
      <c r="D8" s="337"/>
      <c r="E8" s="337"/>
      <c r="F8" s="337"/>
      <c r="G8" s="337"/>
      <c r="H8" s="337"/>
      <c r="I8" s="337"/>
      <c r="J8" s="337"/>
      <c r="K8" s="337"/>
      <c r="L8" s="340"/>
      <c r="M8" s="337"/>
      <c r="N8" s="336"/>
      <c r="O8" s="337"/>
      <c r="P8" s="337"/>
    </row>
    <row r="9" spans="1:16" s="144" customFormat="1" ht="15.75">
      <c r="A9" s="361" t="s">
        <v>347</v>
      </c>
      <c r="B9" s="337"/>
      <c r="C9" s="196"/>
      <c r="D9" s="337"/>
      <c r="E9" s="337"/>
      <c r="F9" s="337"/>
      <c r="G9" s="337"/>
      <c r="H9" s="337"/>
      <c r="I9" s="337"/>
      <c r="J9" s="337"/>
      <c r="K9" s="337"/>
      <c r="L9" s="340"/>
      <c r="M9" s="337"/>
      <c r="N9" s="336"/>
      <c r="O9" s="337"/>
      <c r="P9" s="337"/>
    </row>
    <row r="10" spans="1:16" s="144" customFormat="1">
      <c r="A10" s="337" t="s">
        <v>348</v>
      </c>
      <c r="B10" s="337"/>
      <c r="C10" s="337"/>
      <c r="D10" s="362"/>
      <c r="E10" s="362"/>
      <c r="F10" s="362"/>
      <c r="G10" s="362"/>
      <c r="H10" s="362"/>
      <c r="I10" s="362"/>
      <c r="J10" s="362"/>
      <c r="K10" s="362"/>
      <c r="L10" s="340"/>
      <c r="M10" s="337"/>
      <c r="N10" s="337"/>
      <c r="O10" s="337"/>
      <c r="P10" s="337"/>
    </row>
    <row r="11" spans="1:16" s="144" customFormat="1">
      <c r="A11" s="337"/>
      <c r="B11" s="337" t="s">
        <v>349</v>
      </c>
      <c r="C11" s="363">
        <v>100000000</v>
      </c>
      <c r="D11" s="364">
        <f>$C$11*D6</f>
        <v>56921900</v>
      </c>
      <c r="E11" s="364">
        <f t="shared" ref="E11:H11" si="0">$C$11*E6</f>
        <v>27199100</v>
      </c>
      <c r="F11" s="364">
        <f t="shared" si="0"/>
        <v>19000</v>
      </c>
      <c r="G11" s="364">
        <f t="shared" si="0"/>
        <v>244000</v>
      </c>
      <c r="H11" s="364">
        <f t="shared" si="0"/>
        <v>1421500</v>
      </c>
      <c r="I11" s="364">
        <f>$C$11*I6</f>
        <v>1068000</v>
      </c>
      <c r="J11" s="364"/>
      <c r="K11" s="364">
        <f>SUM(D11:J11)</f>
        <v>86873500</v>
      </c>
      <c r="L11" s="337"/>
      <c r="M11" s="364">
        <v>100000000</v>
      </c>
      <c r="N11" s="337"/>
      <c r="O11" s="337"/>
      <c r="P11" s="337"/>
    </row>
    <row r="12" spans="1:16" s="144" customFormat="1">
      <c r="A12" s="337"/>
      <c r="B12" s="337" t="s">
        <v>350</v>
      </c>
      <c r="C12" s="337"/>
      <c r="D12" s="365">
        <v>5756147.1910112351</v>
      </c>
      <c r="E12" s="364" t="s">
        <v>2</v>
      </c>
      <c r="F12" s="364" t="s">
        <v>2</v>
      </c>
      <c r="G12" s="364" t="s">
        <v>2</v>
      </c>
      <c r="H12" s="364"/>
      <c r="I12" s="364"/>
      <c r="J12" s="364"/>
      <c r="K12" s="364">
        <f t="shared" ref="K12:K18" si="1">SUM(D12:J12)</f>
        <v>5756147.1910112351</v>
      </c>
      <c r="L12" s="337"/>
      <c r="M12" s="364">
        <v>5552544.936051988</v>
      </c>
      <c r="N12" s="366"/>
      <c r="O12" s="337"/>
      <c r="P12" s="337"/>
    </row>
    <row r="13" spans="1:16" s="144" customFormat="1">
      <c r="A13" s="337"/>
      <c r="B13" s="337" t="s">
        <v>351</v>
      </c>
      <c r="C13" s="337"/>
      <c r="D13" s="364" t="s">
        <v>2</v>
      </c>
      <c r="E13" s="364">
        <v>2583914.5</v>
      </c>
      <c r="F13" s="364" t="s">
        <v>2</v>
      </c>
      <c r="G13" s="364" t="s">
        <v>2</v>
      </c>
      <c r="H13" s="364"/>
      <c r="I13" s="364"/>
      <c r="J13" s="364"/>
      <c r="K13" s="364">
        <f t="shared" si="1"/>
        <v>2583914.5</v>
      </c>
      <c r="L13" s="337"/>
      <c r="M13" s="364">
        <v>2434995.3284241958</v>
      </c>
      <c r="N13" s="337"/>
      <c r="O13" s="337"/>
      <c r="P13" s="337"/>
    </row>
    <row r="14" spans="1:16" s="144" customFormat="1">
      <c r="A14" s="337"/>
      <c r="B14" s="337" t="s">
        <v>608</v>
      </c>
      <c r="C14" s="337"/>
      <c r="D14" s="364" t="s">
        <v>2</v>
      </c>
      <c r="E14" s="364" t="s">
        <v>2</v>
      </c>
      <c r="F14" s="364">
        <v>1187.5</v>
      </c>
      <c r="G14" s="364" t="s">
        <v>2</v>
      </c>
      <c r="H14" s="364"/>
      <c r="I14" s="364"/>
      <c r="J14" s="364"/>
      <c r="K14" s="364">
        <f t="shared" si="1"/>
        <v>1187.5</v>
      </c>
      <c r="L14" s="337"/>
      <c r="M14" s="364">
        <v>1187.5</v>
      </c>
      <c r="N14" s="337"/>
      <c r="O14" s="337"/>
      <c r="P14" s="337"/>
    </row>
    <row r="15" spans="1:16" s="144" customFormat="1">
      <c r="A15" s="337"/>
      <c r="B15" s="337" t="s">
        <v>352</v>
      </c>
      <c r="C15" s="337"/>
      <c r="D15" s="367" t="s">
        <v>2</v>
      </c>
      <c r="E15" s="367" t="s">
        <v>2</v>
      </c>
      <c r="F15" s="367" t="s">
        <v>2</v>
      </c>
      <c r="G15" s="367">
        <v>17675.911325480014</v>
      </c>
      <c r="H15" s="367"/>
      <c r="I15" s="367"/>
      <c r="J15" s="367"/>
      <c r="K15" s="364">
        <f t="shared" si="1"/>
        <v>17675.911325480014</v>
      </c>
      <c r="L15" s="337"/>
      <c r="M15" s="367">
        <v>17494.096898449003</v>
      </c>
      <c r="N15" s="337"/>
      <c r="O15" s="337"/>
      <c r="P15" s="337"/>
    </row>
    <row r="16" spans="1:16" s="144" customFormat="1">
      <c r="A16" s="337"/>
      <c r="B16" s="337" t="s">
        <v>609</v>
      </c>
      <c r="C16" s="337"/>
      <c r="D16" s="367"/>
      <c r="E16" s="367"/>
      <c r="F16" s="367"/>
      <c r="G16" s="367"/>
      <c r="H16" s="367">
        <v>85290</v>
      </c>
      <c r="I16" s="367"/>
      <c r="J16" s="367"/>
      <c r="K16" s="364">
        <f t="shared" si="1"/>
        <v>85290</v>
      </c>
      <c r="L16" s="337"/>
      <c r="M16" s="367">
        <v>85289.999999999985</v>
      </c>
      <c r="N16" s="337"/>
      <c r="O16" s="337"/>
      <c r="P16" s="337"/>
    </row>
    <row r="17" spans="1:16" s="144" customFormat="1">
      <c r="A17" s="337"/>
      <c r="B17" s="337" t="s">
        <v>610</v>
      </c>
      <c r="C17" s="337"/>
      <c r="D17" s="367"/>
      <c r="E17" s="367"/>
      <c r="F17" s="367"/>
      <c r="G17" s="367"/>
      <c r="H17" s="367"/>
      <c r="I17" s="367">
        <v>106800</v>
      </c>
      <c r="J17" s="367"/>
      <c r="K17" s="368">
        <f t="shared" si="1"/>
        <v>106800</v>
      </c>
      <c r="L17" s="337"/>
      <c r="M17" s="367">
        <v>106799.99999999999</v>
      </c>
      <c r="N17" s="337"/>
      <c r="O17" s="337"/>
      <c r="P17" s="337"/>
    </row>
    <row r="18" spans="1:16" s="144" customFormat="1">
      <c r="A18" s="337" t="s">
        <v>353</v>
      </c>
      <c r="B18" s="337"/>
      <c r="C18" s="337"/>
      <c r="D18" s="369">
        <f>D11-D12</f>
        <v>51165752.808988765</v>
      </c>
      <c r="E18" s="369">
        <f>E11-E13</f>
        <v>24615185.5</v>
      </c>
      <c r="F18" s="369">
        <f>F11-F14</f>
        <v>17812.5</v>
      </c>
      <c r="G18" s="369">
        <f>G11-G15</f>
        <v>226324.08867452</v>
      </c>
      <c r="H18" s="369">
        <f>H11-H16</f>
        <v>1336210</v>
      </c>
      <c r="I18" s="369">
        <f>I11-I17</f>
        <v>961200</v>
      </c>
      <c r="J18" s="364"/>
      <c r="K18" s="367">
        <f t="shared" si="1"/>
        <v>78322484.89766328</v>
      </c>
      <c r="L18" s="337"/>
      <c r="M18" s="369">
        <f>M11-M12-M13-M14-M15-M16-M17</f>
        <v>91801688.138625354</v>
      </c>
      <c r="N18" s="337"/>
      <c r="O18" s="337"/>
      <c r="P18" s="337"/>
    </row>
    <row r="19" spans="1:16" s="144" customFormat="1" ht="15.75">
      <c r="A19" s="337" t="s">
        <v>354</v>
      </c>
      <c r="B19" s="337"/>
      <c r="C19" s="337"/>
      <c r="D19" s="370">
        <v>0.35</v>
      </c>
      <c r="E19" s="370">
        <v>0.35</v>
      </c>
      <c r="F19" s="370">
        <v>0.35</v>
      </c>
      <c r="G19" s="370">
        <v>0.35</v>
      </c>
      <c r="H19" s="370">
        <v>0.35</v>
      </c>
      <c r="I19" s="370">
        <v>0.35</v>
      </c>
      <c r="J19" s="371"/>
      <c r="K19" s="337"/>
      <c r="L19" s="337"/>
      <c r="M19" s="370">
        <v>0.35</v>
      </c>
      <c r="N19" s="337"/>
      <c r="O19" s="337"/>
      <c r="P19" s="337"/>
    </row>
    <row r="20" spans="1:16" s="144" customFormat="1" ht="15.75" thickBot="1">
      <c r="A20" s="337" t="s">
        <v>355</v>
      </c>
      <c r="B20" s="337"/>
      <c r="C20" s="337"/>
      <c r="D20" s="372">
        <f t="shared" ref="D20:I20" si="2">D18*D19</f>
        <v>17908013.483146068</v>
      </c>
      <c r="E20" s="372">
        <f t="shared" si="2"/>
        <v>8615314.9249999989</v>
      </c>
      <c r="F20" s="372">
        <f t="shared" si="2"/>
        <v>6234.375</v>
      </c>
      <c r="G20" s="372">
        <f t="shared" si="2"/>
        <v>79213.431036081995</v>
      </c>
      <c r="H20" s="372">
        <f t="shared" si="2"/>
        <v>467673.49999999994</v>
      </c>
      <c r="I20" s="372">
        <f t="shared" si="2"/>
        <v>336420</v>
      </c>
      <c r="J20" s="367"/>
      <c r="K20" s="364">
        <f>SUM(D20:J20)</f>
        <v>27412869.71418215</v>
      </c>
      <c r="L20" s="337"/>
      <c r="M20" s="372">
        <f>M18*M19</f>
        <v>32130590.848518871</v>
      </c>
      <c r="N20" s="337"/>
      <c r="O20" s="337"/>
      <c r="P20" s="337"/>
    </row>
    <row r="21" spans="1:16" s="144" customFormat="1" ht="16.5" thickTop="1">
      <c r="A21" s="337"/>
      <c r="B21" s="337"/>
      <c r="C21" s="337"/>
      <c r="D21" s="373">
        <f t="shared" ref="D21:I21" si="3">D20/D11</f>
        <v>0.3146067415730337</v>
      </c>
      <c r="E21" s="373">
        <f t="shared" si="3"/>
        <v>0.31674999999999998</v>
      </c>
      <c r="F21" s="373">
        <f t="shared" si="3"/>
        <v>0.328125</v>
      </c>
      <c r="G21" s="373">
        <f t="shared" si="3"/>
        <v>0.32464520916427048</v>
      </c>
      <c r="H21" s="373">
        <f t="shared" si="3"/>
        <v>0.32899999999999996</v>
      </c>
      <c r="I21" s="373">
        <f t="shared" si="3"/>
        <v>0.315</v>
      </c>
      <c r="J21" s="373"/>
      <c r="K21" s="373">
        <f>K20/K11</f>
        <v>0.31554927238090036</v>
      </c>
      <c r="L21" s="337"/>
      <c r="M21" s="396">
        <v>0.3213059084851887</v>
      </c>
      <c r="N21" s="374">
        <v>0.35</v>
      </c>
      <c r="O21" s="337"/>
      <c r="P21" s="375">
        <f>M21</f>
        <v>0.3213059084851887</v>
      </c>
    </row>
    <row r="22" spans="1:16" s="144" customFormat="1" ht="15.75">
      <c r="A22" s="361" t="s">
        <v>356</v>
      </c>
      <c r="B22" s="337"/>
      <c r="C22" s="337"/>
      <c r="D22" s="337"/>
      <c r="E22" s="337"/>
      <c r="F22" s="337"/>
      <c r="G22" s="337"/>
      <c r="H22" s="337"/>
      <c r="I22" s="337"/>
      <c r="J22" s="337"/>
      <c r="K22" s="337"/>
      <c r="L22" s="337"/>
      <c r="M22" s="337"/>
      <c r="N22" s="337"/>
      <c r="O22" s="337"/>
      <c r="P22" s="337"/>
    </row>
    <row r="23" spans="1:16" s="144" customFormat="1">
      <c r="A23" s="337" t="s">
        <v>353</v>
      </c>
      <c r="B23" s="337"/>
      <c r="C23" s="337"/>
      <c r="D23" s="364">
        <f>D18</f>
        <v>51165752.808988765</v>
      </c>
      <c r="E23" s="367"/>
      <c r="F23" s="367"/>
      <c r="G23" s="367"/>
      <c r="H23" s="367"/>
      <c r="I23" s="367"/>
      <c r="J23" s="367"/>
      <c r="K23" s="337"/>
      <c r="L23" s="337"/>
      <c r="M23" s="364">
        <f>M18</f>
        <v>91801688.138625354</v>
      </c>
      <c r="N23" s="337"/>
      <c r="O23" s="337"/>
      <c r="P23" s="337"/>
    </row>
    <row r="24" spans="1:16" s="144" customFormat="1">
      <c r="A24" s="337"/>
      <c r="B24" s="337" t="s">
        <v>357</v>
      </c>
      <c r="C24" s="337"/>
      <c r="D24" s="364">
        <f>D12</f>
        <v>5756147.1910112351</v>
      </c>
      <c r="E24" s="367"/>
      <c r="F24" s="367"/>
      <c r="G24" s="367"/>
      <c r="H24" s="367"/>
      <c r="I24" s="367"/>
      <c r="J24" s="367"/>
      <c r="K24" s="337"/>
      <c r="L24" s="337"/>
      <c r="M24" s="364">
        <f>M12</f>
        <v>5552544.936051988</v>
      </c>
      <c r="N24" s="337"/>
      <c r="O24" s="337"/>
      <c r="P24" s="337"/>
    </row>
    <row r="25" spans="1:16" s="144" customFormat="1">
      <c r="A25" s="337"/>
      <c r="B25" s="337" t="s">
        <v>358</v>
      </c>
      <c r="C25" s="337"/>
      <c r="D25" s="376">
        <f>D20*0.5</f>
        <v>8954006.7415730339</v>
      </c>
      <c r="E25" s="367"/>
      <c r="F25" s="367"/>
      <c r="G25" s="367"/>
      <c r="H25" s="367"/>
      <c r="I25" s="367"/>
      <c r="J25" s="367"/>
      <c r="K25" s="337"/>
      <c r="L25" s="337"/>
      <c r="M25" s="376">
        <f>M20*0.5</f>
        <v>16065295.424259435</v>
      </c>
      <c r="N25" s="337"/>
      <c r="O25" s="337"/>
      <c r="P25" s="337"/>
    </row>
    <row r="26" spans="1:16" s="144" customFormat="1">
      <c r="A26" s="337" t="s">
        <v>359</v>
      </c>
      <c r="B26" s="337"/>
      <c r="C26" s="337"/>
      <c r="D26" s="364">
        <f>D23+D24-D25</f>
        <v>47967893.258426964</v>
      </c>
      <c r="E26" s="367"/>
      <c r="F26" s="367"/>
      <c r="G26" s="367"/>
      <c r="H26" s="367"/>
      <c r="I26" s="367"/>
      <c r="J26" s="367"/>
      <c r="K26" s="337"/>
      <c r="L26" s="337"/>
      <c r="M26" s="364">
        <f>M23+M24-M25</f>
        <v>81288937.650417909</v>
      </c>
      <c r="N26" s="337"/>
      <c r="O26" s="337"/>
      <c r="P26" s="337"/>
    </row>
    <row r="27" spans="1:16" s="144" customFormat="1">
      <c r="A27" s="377" t="s">
        <v>360</v>
      </c>
      <c r="B27" s="377"/>
      <c r="C27" s="377"/>
      <c r="D27" s="378">
        <v>1</v>
      </c>
      <c r="E27" s="379"/>
      <c r="F27" s="379"/>
      <c r="G27" s="379"/>
      <c r="H27" s="379"/>
      <c r="I27" s="379"/>
      <c r="J27" s="379"/>
      <c r="K27" s="377"/>
      <c r="L27" s="377"/>
      <c r="M27" s="380">
        <f>D6</f>
        <v>0.56921900000000003</v>
      </c>
      <c r="N27" s="377"/>
      <c r="O27" s="377"/>
      <c r="P27" s="377"/>
    </row>
    <row r="28" spans="1:16" s="144" customFormat="1">
      <c r="A28" s="337" t="s">
        <v>361</v>
      </c>
      <c r="B28" s="337"/>
      <c r="C28" s="337"/>
      <c r="D28" s="364">
        <f>D26*D27</f>
        <v>47967893.258426964</v>
      </c>
      <c r="E28" s="367"/>
      <c r="F28" s="367"/>
      <c r="G28" s="367"/>
      <c r="H28" s="367"/>
      <c r="I28" s="367"/>
      <c r="J28" s="367"/>
      <c r="K28" s="337"/>
      <c r="L28" s="337"/>
      <c r="M28" s="365">
        <f>M26*M27</f>
        <v>46271207.800433233</v>
      </c>
      <c r="N28" s="337"/>
      <c r="O28" s="337"/>
      <c r="P28" s="337"/>
    </row>
    <row r="29" spans="1:16" s="144" customFormat="1" ht="15.75">
      <c r="A29" s="337" t="s">
        <v>362</v>
      </c>
      <c r="B29" s="337"/>
      <c r="C29" s="337"/>
      <c r="D29" s="370">
        <v>0.12</v>
      </c>
      <c r="E29" s="381"/>
      <c r="F29" s="381"/>
      <c r="G29" s="381"/>
      <c r="H29" s="381"/>
      <c r="I29" s="381"/>
      <c r="J29" s="381"/>
      <c r="K29" s="337"/>
      <c r="L29" s="337"/>
      <c r="M29" s="370">
        <f>D29</f>
        <v>0.12</v>
      </c>
      <c r="N29" s="337"/>
      <c r="O29" s="337"/>
      <c r="P29" s="337"/>
    </row>
    <row r="30" spans="1:16" s="144" customFormat="1" ht="15.75" thickBot="1">
      <c r="A30" s="337" t="s">
        <v>363</v>
      </c>
      <c r="B30" s="337"/>
      <c r="C30" s="337"/>
      <c r="D30" s="372">
        <f>D28*D29</f>
        <v>5756147.1910112351</v>
      </c>
      <c r="E30" s="367"/>
      <c r="F30" s="367"/>
      <c r="G30" s="367"/>
      <c r="H30" s="367"/>
      <c r="I30" s="367"/>
      <c r="J30" s="367"/>
      <c r="K30" s="364">
        <f>D30</f>
        <v>5756147.1910112351</v>
      </c>
      <c r="L30" s="337"/>
      <c r="M30" s="372">
        <f>M28*M29</f>
        <v>5552544.936051988</v>
      </c>
      <c r="N30" s="337"/>
      <c r="O30" s="337"/>
      <c r="P30" s="337"/>
    </row>
    <row r="31" spans="1:16" s="144" customFormat="1" ht="16.5" thickTop="1">
      <c r="A31" s="337"/>
      <c r="B31" s="337"/>
      <c r="C31" s="337"/>
      <c r="D31" s="373">
        <f>D30/D11</f>
        <v>0.10112359550561796</v>
      </c>
      <c r="E31" s="373"/>
      <c r="F31" s="373"/>
      <c r="G31" s="373"/>
      <c r="H31" s="373"/>
      <c r="I31" s="373"/>
      <c r="J31" s="373"/>
      <c r="K31" s="382">
        <f>K30/K11</f>
        <v>6.6258953432418805E-2</v>
      </c>
      <c r="L31" s="337"/>
      <c r="M31" s="373">
        <f>M30/M11</f>
        <v>5.5525449360519882E-2</v>
      </c>
      <c r="N31" s="382">
        <f>M31*(N83/M83)</f>
        <v>3.6091542084337881E-2</v>
      </c>
      <c r="O31" s="337"/>
      <c r="P31" s="375">
        <f>M31+M58</f>
        <v>5.5700390329504371E-2</v>
      </c>
    </row>
    <row r="32" spans="1:16" s="144" customFormat="1" ht="15.75">
      <c r="A32" s="361" t="s">
        <v>364</v>
      </c>
      <c r="B32" s="337"/>
      <c r="C32" s="337"/>
      <c r="D32" s="337"/>
      <c r="E32" s="383" t="s">
        <v>365</v>
      </c>
      <c r="F32" s="383"/>
      <c r="G32" s="384"/>
      <c r="H32" s="384"/>
      <c r="I32" s="384"/>
      <c r="J32" s="337"/>
      <c r="K32" s="337"/>
      <c r="L32" s="337"/>
      <c r="M32" s="337"/>
      <c r="N32" s="337"/>
      <c r="O32" s="337"/>
      <c r="P32" s="337"/>
    </row>
    <row r="33" spans="1:16" s="144" customFormat="1">
      <c r="A33" s="337" t="s">
        <v>353</v>
      </c>
      <c r="B33" s="337"/>
      <c r="C33" s="337"/>
      <c r="D33" s="367"/>
      <c r="E33" s="364">
        <f>E18</f>
        <v>24615185.5</v>
      </c>
      <c r="F33" s="367"/>
      <c r="G33" s="367"/>
      <c r="H33" s="367"/>
      <c r="I33" s="367"/>
      <c r="J33" s="367"/>
      <c r="K33" s="337"/>
      <c r="L33" s="337"/>
      <c r="M33" s="364">
        <f>M18</f>
        <v>91801688.138625354</v>
      </c>
      <c r="N33" s="337"/>
      <c r="O33" s="337"/>
      <c r="P33" s="337"/>
    </row>
    <row r="34" spans="1:16" s="144" customFormat="1">
      <c r="A34" s="337"/>
      <c r="B34" s="337" t="s">
        <v>366</v>
      </c>
      <c r="C34" s="337"/>
      <c r="D34" s="367"/>
      <c r="E34" s="376">
        <f>E13</f>
        <v>2583914.5</v>
      </c>
      <c r="F34" s="367"/>
      <c r="G34" s="367"/>
      <c r="H34" s="367"/>
      <c r="I34" s="367"/>
      <c r="J34" s="367"/>
      <c r="K34" s="337"/>
      <c r="L34" s="337"/>
      <c r="M34" s="376">
        <f>M13</f>
        <v>2434995.3284241958</v>
      </c>
      <c r="N34" s="337"/>
      <c r="O34" s="337"/>
      <c r="P34" s="337"/>
    </row>
    <row r="35" spans="1:16" s="144" customFormat="1">
      <c r="A35" s="337" t="s">
        <v>367</v>
      </c>
      <c r="B35" s="337"/>
      <c r="C35" s="337"/>
      <c r="D35" s="367"/>
      <c r="E35" s="364">
        <f>E33+E34</f>
        <v>27199100</v>
      </c>
      <c r="F35" s="367"/>
      <c r="G35" s="367"/>
      <c r="H35" s="367"/>
      <c r="I35" s="367"/>
      <c r="J35" s="367"/>
      <c r="K35" s="337"/>
      <c r="L35" s="337"/>
      <c r="M35" s="364">
        <f>M33+M34</f>
        <v>94236683.467049554</v>
      </c>
      <c r="N35" s="337"/>
      <c r="O35" s="337"/>
      <c r="P35" s="337"/>
    </row>
    <row r="36" spans="1:16" s="144" customFormat="1">
      <c r="A36" s="377" t="s">
        <v>368</v>
      </c>
      <c r="B36" s="377"/>
      <c r="C36" s="377"/>
      <c r="D36" s="379"/>
      <c r="E36" s="378">
        <v>1</v>
      </c>
      <c r="F36" s="379"/>
      <c r="G36" s="379"/>
      <c r="H36" s="379"/>
      <c r="I36" s="379"/>
      <c r="J36" s="379"/>
      <c r="K36" s="377"/>
      <c r="L36" s="377"/>
      <c r="M36" s="380">
        <f>E6</f>
        <v>0.27199099999999998</v>
      </c>
      <c r="N36" s="377"/>
      <c r="O36" s="377"/>
      <c r="P36" s="377"/>
    </row>
    <row r="37" spans="1:16" s="144" customFormat="1">
      <c r="A37" s="337" t="s">
        <v>369</v>
      </c>
      <c r="B37" s="337"/>
      <c r="C37" s="337"/>
      <c r="D37" s="367"/>
      <c r="E37" s="364">
        <f>E35*E36</f>
        <v>27199100</v>
      </c>
      <c r="F37" s="367"/>
      <c r="G37" s="367"/>
      <c r="H37" s="367"/>
      <c r="I37" s="367"/>
      <c r="J37" s="367"/>
      <c r="K37" s="337"/>
      <c r="L37" s="337"/>
      <c r="M37" s="364">
        <f>M35*M36</f>
        <v>25631529.772886273</v>
      </c>
      <c r="N37" s="337"/>
      <c r="O37" s="337"/>
      <c r="P37" s="337"/>
    </row>
    <row r="38" spans="1:16" s="144" customFormat="1" ht="15.75">
      <c r="A38" s="337" t="s">
        <v>370</v>
      </c>
      <c r="B38" s="337"/>
      <c r="C38" s="337"/>
      <c r="D38" s="381"/>
      <c r="E38" s="370">
        <v>9.5000000000000001E-2</v>
      </c>
      <c r="F38" s="381"/>
      <c r="G38" s="381"/>
      <c r="H38" s="381"/>
      <c r="I38" s="381"/>
      <c r="J38" s="381"/>
      <c r="K38" s="337"/>
      <c r="L38" s="337"/>
      <c r="M38" s="370">
        <f>E38</f>
        <v>9.5000000000000001E-2</v>
      </c>
      <c r="N38" s="337"/>
      <c r="O38" s="337"/>
      <c r="P38" s="337"/>
    </row>
    <row r="39" spans="1:16" s="144" customFormat="1" ht="15.75" thickBot="1">
      <c r="A39" s="337" t="s">
        <v>371</v>
      </c>
      <c r="B39" s="337"/>
      <c r="C39" s="337"/>
      <c r="D39" s="367"/>
      <c r="E39" s="372">
        <f>E37*E38</f>
        <v>2583914.5</v>
      </c>
      <c r="F39" s="367"/>
      <c r="G39" s="367"/>
      <c r="H39" s="367"/>
      <c r="I39" s="367"/>
      <c r="J39" s="367"/>
      <c r="K39" s="364">
        <f>E39</f>
        <v>2583914.5</v>
      </c>
      <c r="L39" s="337"/>
      <c r="M39" s="372">
        <f>M37*M38</f>
        <v>2434995.3284241958</v>
      </c>
      <c r="N39" s="337"/>
      <c r="O39" s="337"/>
      <c r="P39" s="337"/>
    </row>
    <row r="40" spans="1:16" s="144" customFormat="1" ht="16.5" thickTop="1">
      <c r="A40" s="337"/>
      <c r="B40" s="337"/>
      <c r="C40" s="337"/>
      <c r="D40" s="373"/>
      <c r="E40" s="373">
        <f>E39/E11</f>
        <v>9.5000000000000001E-2</v>
      </c>
      <c r="F40" s="373"/>
      <c r="G40" s="373"/>
      <c r="H40" s="373"/>
      <c r="I40" s="373"/>
      <c r="J40" s="373"/>
      <c r="K40" s="382">
        <f>K39/K11</f>
        <v>2.9743414274778845E-2</v>
      </c>
      <c r="L40" s="337"/>
      <c r="M40" s="373">
        <f>M39/M11</f>
        <v>2.4349953284241957E-2</v>
      </c>
      <c r="N40" s="382">
        <f>M40*(N83/M83)</f>
        <v>1.5827469634757254E-2</v>
      </c>
      <c r="O40" s="337"/>
      <c r="P40" s="375">
        <f>M40</f>
        <v>2.4349953284241957E-2</v>
      </c>
    </row>
    <row r="41" spans="1:16" s="144" customFormat="1" ht="15.75">
      <c r="A41" s="361" t="s">
        <v>611</v>
      </c>
      <c r="B41" s="337"/>
      <c r="C41" s="337"/>
      <c r="D41" s="364"/>
      <c r="E41" s="364"/>
      <c r="F41" s="364"/>
      <c r="G41" s="364"/>
      <c r="H41" s="364"/>
      <c r="I41" s="364"/>
      <c r="J41" s="364"/>
      <c r="K41" s="337"/>
      <c r="L41" s="337"/>
      <c r="M41" s="364"/>
      <c r="N41" s="337"/>
      <c r="O41" s="337"/>
      <c r="P41" s="337"/>
    </row>
    <row r="42" spans="1:16" s="144" customFormat="1">
      <c r="A42" s="337" t="s">
        <v>353</v>
      </c>
      <c r="B42" s="337"/>
      <c r="C42" s="337"/>
      <c r="D42" s="367"/>
      <c r="E42" s="367"/>
      <c r="F42" s="364">
        <f>F18</f>
        <v>17812.5</v>
      </c>
      <c r="G42" s="367"/>
      <c r="H42" s="367"/>
      <c r="I42" s="367"/>
      <c r="J42" s="367"/>
      <c r="K42" s="337"/>
      <c r="L42" s="337"/>
      <c r="M42" s="364">
        <f>M18</f>
        <v>91801688.138625354</v>
      </c>
      <c r="N42" s="337"/>
      <c r="O42" s="337"/>
      <c r="P42" s="337"/>
    </row>
    <row r="43" spans="1:16" s="144" customFormat="1">
      <c r="A43" s="337"/>
      <c r="B43" s="337" t="s">
        <v>612</v>
      </c>
      <c r="C43" s="337"/>
      <c r="D43" s="385"/>
      <c r="E43" s="385"/>
      <c r="F43" s="376">
        <f>F14</f>
        <v>1187.5</v>
      </c>
      <c r="G43" s="385"/>
      <c r="H43" s="385"/>
      <c r="I43" s="385"/>
      <c r="J43" s="385"/>
      <c r="K43" s="337"/>
      <c r="L43" s="337"/>
      <c r="M43" s="376">
        <f>SUM(M12:M17)</f>
        <v>8198311.8613746325</v>
      </c>
      <c r="N43" s="337"/>
      <c r="O43" s="337"/>
      <c r="P43" s="337"/>
    </row>
    <row r="44" spans="1:16" s="144" customFormat="1">
      <c r="A44" s="337" t="s">
        <v>613</v>
      </c>
      <c r="B44" s="337"/>
      <c r="C44" s="337"/>
      <c r="D44" s="367"/>
      <c r="E44" s="367"/>
      <c r="F44" s="364">
        <f>F42+F43</f>
        <v>19000</v>
      </c>
      <c r="G44" s="367"/>
      <c r="H44" s="367"/>
      <c r="I44" s="367"/>
      <c r="J44" s="367"/>
      <c r="K44" s="337"/>
      <c r="L44" s="337"/>
      <c r="M44" s="364">
        <f>M42+M43</f>
        <v>99999999.999999985</v>
      </c>
      <c r="N44" s="337"/>
      <c r="O44" s="337"/>
      <c r="P44" s="337"/>
    </row>
    <row r="45" spans="1:16" s="144" customFormat="1">
      <c r="A45" s="377" t="s">
        <v>614</v>
      </c>
      <c r="B45" s="377"/>
      <c r="C45" s="377"/>
      <c r="D45" s="379"/>
      <c r="E45" s="379"/>
      <c r="F45" s="378">
        <v>1</v>
      </c>
      <c r="G45" s="379"/>
      <c r="H45" s="379"/>
      <c r="I45" s="379"/>
      <c r="J45" s="379"/>
      <c r="K45" s="377"/>
      <c r="L45" s="377"/>
      <c r="M45" s="380">
        <f>F6</f>
        <v>1.9000000000000001E-4</v>
      </c>
      <c r="N45" s="377"/>
      <c r="O45" s="377"/>
      <c r="P45" s="377"/>
    </row>
    <row r="46" spans="1:16" s="144" customFormat="1">
      <c r="A46" s="337" t="s">
        <v>615</v>
      </c>
      <c r="B46" s="337"/>
      <c r="C46" s="337"/>
      <c r="D46" s="367"/>
      <c r="E46" s="367"/>
      <c r="F46" s="364">
        <f>F44*F45</f>
        <v>19000</v>
      </c>
      <c r="G46" s="367"/>
      <c r="H46" s="367"/>
      <c r="I46" s="367"/>
      <c r="J46" s="367"/>
      <c r="K46" s="337"/>
      <c r="L46" s="337"/>
      <c r="M46" s="364">
        <f>M44*M45</f>
        <v>19000</v>
      </c>
      <c r="N46" s="337"/>
      <c r="O46" s="337"/>
      <c r="P46" s="337"/>
    </row>
    <row r="47" spans="1:16" s="144" customFormat="1" ht="15.75">
      <c r="A47" s="337" t="s">
        <v>616</v>
      </c>
      <c r="B47" s="337"/>
      <c r="C47" s="337"/>
      <c r="D47" s="381"/>
      <c r="E47" s="381"/>
      <c r="F47" s="370">
        <v>6.25E-2</v>
      </c>
      <c r="G47" s="381"/>
      <c r="H47" s="381"/>
      <c r="I47" s="381"/>
      <c r="J47" s="381"/>
      <c r="K47" s="337"/>
      <c r="L47" s="337"/>
      <c r="M47" s="370">
        <f>F47</f>
        <v>6.25E-2</v>
      </c>
      <c r="N47" s="337"/>
      <c r="O47" s="337"/>
      <c r="P47" s="337"/>
    </row>
    <row r="48" spans="1:16" s="144" customFormat="1" ht="15.75" thickBot="1">
      <c r="A48" s="337" t="s">
        <v>617</v>
      </c>
      <c r="B48" s="337"/>
      <c r="C48" s="337"/>
      <c r="D48" s="385"/>
      <c r="E48" s="385"/>
      <c r="F48" s="372">
        <f>F46*F47</f>
        <v>1187.5</v>
      </c>
      <c r="G48" s="385"/>
      <c r="H48" s="385"/>
      <c r="I48" s="385"/>
      <c r="J48" s="385"/>
      <c r="K48" s="364">
        <f>F48</f>
        <v>1187.5</v>
      </c>
      <c r="L48" s="337"/>
      <c r="M48" s="372">
        <f>M46*M47</f>
        <v>1187.5</v>
      </c>
      <c r="N48" s="337"/>
      <c r="O48" s="337"/>
      <c r="P48" s="337"/>
    </row>
    <row r="49" spans="1:16" s="144" customFormat="1" ht="16.5" thickTop="1">
      <c r="A49" s="337"/>
      <c r="B49" s="337"/>
      <c r="C49" s="337"/>
      <c r="D49" s="373"/>
      <c r="E49" s="373"/>
      <c r="F49" s="373">
        <f>F48/F11</f>
        <v>6.25E-2</v>
      </c>
      <c r="G49" s="373"/>
      <c r="H49" s="373"/>
      <c r="I49" s="373"/>
      <c r="J49" s="373"/>
      <c r="K49" s="382">
        <f>K48/K11</f>
        <v>1.3669300764905293E-5</v>
      </c>
      <c r="L49" s="337"/>
      <c r="M49" s="373">
        <f>M48/M11</f>
        <v>1.1875000000000001E-5</v>
      </c>
      <c r="N49" s="382">
        <f>M49*(N83/M83)</f>
        <v>7.7187499999999911E-6</v>
      </c>
      <c r="O49" s="337"/>
      <c r="P49" s="375">
        <f>M49</f>
        <v>1.1875000000000001E-5</v>
      </c>
    </row>
    <row r="50" spans="1:16" s="144" customFormat="1" ht="15.75">
      <c r="A50" s="361" t="s">
        <v>372</v>
      </c>
      <c r="B50" s="337"/>
      <c r="C50" s="337"/>
      <c r="D50" s="337"/>
      <c r="E50" s="337"/>
      <c r="F50" s="337"/>
      <c r="G50" s="337"/>
      <c r="H50" s="337"/>
      <c r="I50" s="337"/>
      <c r="J50" s="337"/>
      <c r="K50" s="337"/>
      <c r="L50" s="337"/>
      <c r="M50" s="337"/>
      <c r="N50" s="337"/>
      <c r="O50" s="337"/>
      <c r="P50" s="337"/>
    </row>
    <row r="51" spans="1:16" s="144" customFormat="1">
      <c r="A51" s="337" t="s">
        <v>353</v>
      </c>
      <c r="B51" s="337"/>
      <c r="C51" s="337"/>
      <c r="D51" s="367"/>
      <c r="E51" s="367"/>
      <c r="F51" s="367"/>
      <c r="G51" s="364">
        <f>G18</f>
        <v>226324.08867452</v>
      </c>
      <c r="H51" s="364"/>
      <c r="I51" s="364"/>
      <c r="J51" s="364"/>
      <c r="K51" s="337"/>
      <c r="L51" s="337"/>
      <c r="M51" s="364">
        <f>M18</f>
        <v>91801688.138625354</v>
      </c>
      <c r="N51" s="337"/>
      <c r="O51" s="337"/>
      <c r="P51" s="337"/>
    </row>
    <row r="52" spans="1:16" s="144" customFormat="1">
      <c r="A52" s="337"/>
      <c r="B52" s="337" t="s">
        <v>618</v>
      </c>
      <c r="C52" s="337"/>
      <c r="D52" s="386"/>
      <c r="E52" s="386"/>
      <c r="F52" s="386"/>
      <c r="G52" s="387" t="s">
        <v>373</v>
      </c>
      <c r="H52" s="386"/>
      <c r="I52" s="386"/>
      <c r="J52" s="386"/>
      <c r="K52" s="337"/>
      <c r="L52" s="337"/>
      <c r="M52" s="387" t="s">
        <v>373</v>
      </c>
      <c r="N52" s="337"/>
      <c r="O52" s="337"/>
      <c r="P52" s="337"/>
    </row>
    <row r="53" spans="1:16" s="144" customFormat="1">
      <c r="A53" s="337" t="s">
        <v>374</v>
      </c>
      <c r="B53" s="337"/>
      <c r="C53" s="337"/>
      <c r="D53" s="367"/>
      <c r="E53" s="367"/>
      <c r="F53" s="367"/>
      <c r="G53" s="364">
        <f>G51</f>
        <v>226324.08867452</v>
      </c>
      <c r="H53" s="364"/>
      <c r="I53" s="364"/>
      <c r="J53" s="364"/>
      <c r="K53" s="337"/>
      <c r="L53" s="337"/>
      <c r="M53" s="364">
        <f>M51</f>
        <v>91801688.138625354</v>
      </c>
      <c r="N53" s="337"/>
      <c r="O53" s="337"/>
      <c r="P53" s="337"/>
    </row>
    <row r="54" spans="1:16" s="144" customFormat="1">
      <c r="A54" s="377" t="s">
        <v>375</v>
      </c>
      <c r="B54" s="377"/>
      <c r="C54" s="377"/>
      <c r="D54" s="379"/>
      <c r="E54" s="379"/>
      <c r="F54" s="379"/>
      <c r="G54" s="378">
        <v>1</v>
      </c>
      <c r="H54" s="379"/>
      <c r="I54" s="379"/>
      <c r="J54" s="379"/>
      <c r="K54" s="377"/>
      <c r="L54" s="377"/>
      <c r="M54" s="380">
        <f>G6</f>
        <v>2.4399999999999999E-3</v>
      </c>
      <c r="N54" s="377"/>
      <c r="O54" s="377"/>
      <c r="P54" s="377"/>
    </row>
    <row r="55" spans="1:16" s="144" customFormat="1">
      <c r="A55" s="337" t="s">
        <v>376</v>
      </c>
      <c r="B55" s="337"/>
      <c r="C55" s="337"/>
      <c r="D55" s="367"/>
      <c r="E55" s="367"/>
      <c r="F55" s="367"/>
      <c r="G55" s="364">
        <f>G53*G54</f>
        <v>226324.08867452</v>
      </c>
      <c r="H55" s="364"/>
      <c r="I55" s="364"/>
      <c r="J55" s="364"/>
      <c r="K55" s="337"/>
      <c r="L55" s="337"/>
      <c r="M55" s="364">
        <f>M53*M54</f>
        <v>223996.11905824585</v>
      </c>
      <c r="N55" s="337"/>
      <c r="O55" s="337"/>
      <c r="P55" s="337"/>
    </row>
    <row r="56" spans="1:16" s="144" customFormat="1" ht="15.75">
      <c r="A56" s="337" t="s">
        <v>377</v>
      </c>
      <c r="B56" s="337"/>
      <c r="C56" s="337"/>
      <c r="D56" s="381"/>
      <c r="E56" s="381"/>
      <c r="F56" s="381"/>
      <c r="G56" s="370">
        <v>7.8100000000000003E-2</v>
      </c>
      <c r="H56" s="371"/>
      <c r="I56" s="371"/>
      <c r="J56" s="371"/>
      <c r="K56" s="388"/>
      <c r="L56" s="388"/>
      <c r="M56" s="370">
        <f>G56</f>
        <v>7.8100000000000003E-2</v>
      </c>
      <c r="N56" s="337"/>
      <c r="O56" s="337"/>
      <c r="P56" s="337"/>
    </row>
    <row r="57" spans="1:16" s="144" customFormat="1" ht="15.75" thickBot="1">
      <c r="A57" s="337" t="s">
        <v>378</v>
      </c>
      <c r="B57" s="337"/>
      <c r="C57" s="337"/>
      <c r="D57" s="367"/>
      <c r="E57" s="367"/>
      <c r="F57" s="367"/>
      <c r="G57" s="372">
        <f>G55*G56</f>
        <v>17675.911325480014</v>
      </c>
      <c r="H57" s="367"/>
      <c r="I57" s="367"/>
      <c r="J57" s="367"/>
      <c r="K57" s="364">
        <f>G57</f>
        <v>17675.911325480014</v>
      </c>
      <c r="L57" s="337"/>
      <c r="M57" s="372">
        <f>M55*M56</f>
        <v>17494.096898449003</v>
      </c>
      <c r="N57" s="337"/>
      <c r="O57" s="337"/>
      <c r="P57" s="337"/>
    </row>
    <row r="58" spans="1:16" s="144" customFormat="1" ht="16.5" thickTop="1">
      <c r="A58" s="389" t="s">
        <v>379</v>
      </c>
      <c r="B58" s="340"/>
      <c r="C58" s="337"/>
      <c r="D58" s="373"/>
      <c r="E58" s="373"/>
      <c r="F58" s="373"/>
      <c r="G58" s="373">
        <f>G57/G11</f>
        <v>7.2442259530655792E-2</v>
      </c>
      <c r="H58" s="373"/>
      <c r="I58" s="373"/>
      <c r="J58" s="373"/>
      <c r="K58" s="382">
        <f>K57/K11</f>
        <v>2.034672405909744E-4</v>
      </c>
      <c r="L58" s="337"/>
      <c r="M58" s="373">
        <f>M57/M11</f>
        <v>1.7494096898449003E-4</v>
      </c>
      <c r="N58" s="382">
        <f>M58*(N83/M83)</f>
        <v>1.1371162983991839E-4</v>
      </c>
      <c r="O58" s="337"/>
      <c r="P58" s="337" t="s">
        <v>586</v>
      </c>
    </row>
    <row r="59" spans="1:16" s="144" customFormat="1" ht="15.75">
      <c r="A59" s="389" t="s">
        <v>380</v>
      </c>
      <c r="B59" s="340"/>
      <c r="C59" s="337"/>
      <c r="D59" s="373"/>
      <c r="E59" s="373"/>
      <c r="F59" s="373"/>
      <c r="G59" s="373"/>
      <c r="H59" s="373"/>
      <c r="I59" s="373"/>
      <c r="J59" s="373"/>
      <c r="K59" s="382"/>
      <c r="L59" s="337"/>
      <c r="M59" s="373"/>
      <c r="N59" s="382"/>
      <c r="O59" s="337"/>
      <c r="P59" s="337"/>
    </row>
    <row r="60" spans="1:16" s="144" customFormat="1" ht="15.75">
      <c r="A60" s="337"/>
      <c r="B60" s="337"/>
      <c r="C60" s="337"/>
      <c r="D60" s="373"/>
      <c r="E60" s="373"/>
      <c r="F60" s="373"/>
      <c r="G60" s="373"/>
      <c r="H60" s="373"/>
      <c r="I60" s="373"/>
      <c r="J60" s="373"/>
      <c r="K60" s="382"/>
      <c r="L60" s="337"/>
      <c r="M60" s="375"/>
      <c r="N60" s="375"/>
      <c r="O60" s="337"/>
      <c r="P60" s="337"/>
    </row>
    <row r="61" spans="1:16" s="144" customFormat="1" ht="15.75">
      <c r="A61" s="361" t="s">
        <v>619</v>
      </c>
      <c r="B61" s="337"/>
      <c r="C61" s="337"/>
      <c r="D61" s="373"/>
      <c r="E61" s="373"/>
      <c r="F61" s="373"/>
      <c r="G61" s="373"/>
      <c r="H61" s="373"/>
      <c r="I61" s="373"/>
      <c r="J61" s="373"/>
      <c r="K61" s="382"/>
      <c r="L61" s="337"/>
      <c r="M61" s="375"/>
      <c r="N61" s="375"/>
      <c r="O61" s="337"/>
      <c r="P61" s="337"/>
    </row>
    <row r="62" spans="1:16" s="144" customFormat="1" ht="15.75">
      <c r="A62" s="337" t="s">
        <v>353</v>
      </c>
      <c r="B62" s="337"/>
      <c r="C62" s="337"/>
      <c r="D62" s="373"/>
      <c r="E62" s="373"/>
      <c r="F62" s="373"/>
      <c r="G62" s="373"/>
      <c r="H62" s="364">
        <f>H18</f>
        <v>1336210</v>
      </c>
      <c r="I62" s="373"/>
      <c r="J62" s="373"/>
      <c r="K62" s="382"/>
      <c r="L62" s="337"/>
      <c r="M62" s="364">
        <f>M18</f>
        <v>91801688.138625354</v>
      </c>
      <c r="N62" s="375"/>
      <c r="O62" s="337"/>
      <c r="P62" s="337"/>
    </row>
    <row r="63" spans="1:16" s="144" customFormat="1" ht="15.75">
      <c r="A63" s="337"/>
      <c r="B63" s="337" t="s">
        <v>620</v>
      </c>
      <c r="C63" s="337"/>
      <c r="D63" s="373"/>
      <c r="E63" s="373"/>
      <c r="F63" s="373"/>
      <c r="G63" s="373"/>
      <c r="H63" s="390">
        <f>H16</f>
        <v>85290</v>
      </c>
      <c r="I63" s="373"/>
      <c r="J63" s="373"/>
      <c r="K63" s="382"/>
      <c r="L63" s="337"/>
      <c r="M63" s="376">
        <f>SUM(M12:M17)</f>
        <v>8198311.8613746325</v>
      </c>
      <c r="N63" s="375"/>
      <c r="O63" s="337"/>
      <c r="P63" s="337"/>
    </row>
    <row r="64" spans="1:16" s="144" customFormat="1" ht="15.75">
      <c r="A64" s="337" t="s">
        <v>621</v>
      </c>
      <c r="B64" s="337"/>
      <c r="C64" s="337"/>
      <c r="D64" s="373"/>
      <c r="E64" s="373"/>
      <c r="F64" s="373"/>
      <c r="G64" s="373"/>
      <c r="H64" s="364">
        <f>H62+H63</f>
        <v>1421500</v>
      </c>
      <c r="I64" s="373"/>
      <c r="J64" s="373"/>
      <c r="K64" s="382"/>
      <c r="L64" s="337"/>
      <c r="M64" s="364">
        <f>M62+M63</f>
        <v>99999999.999999985</v>
      </c>
      <c r="N64" s="375"/>
      <c r="O64" s="337"/>
      <c r="P64" s="337"/>
    </row>
    <row r="65" spans="1:16" ht="15.75">
      <c r="A65" s="377" t="s">
        <v>622</v>
      </c>
      <c r="B65" s="377"/>
      <c r="C65" s="337"/>
      <c r="D65" s="373"/>
      <c r="E65" s="373"/>
      <c r="F65" s="373"/>
      <c r="G65" s="373"/>
      <c r="H65" s="378">
        <v>1</v>
      </c>
      <c r="I65" s="373"/>
      <c r="J65" s="373"/>
      <c r="K65" s="382"/>
      <c r="L65" s="337"/>
      <c r="M65" s="380">
        <f>H6</f>
        <v>1.4215E-2</v>
      </c>
      <c r="N65" s="375"/>
      <c r="O65" s="337"/>
      <c r="P65" s="337"/>
    </row>
    <row r="66" spans="1:16" ht="15.75">
      <c r="A66" s="337" t="s">
        <v>623</v>
      </c>
      <c r="B66" s="337"/>
      <c r="C66" s="337"/>
      <c r="D66" s="373"/>
      <c r="E66" s="373"/>
      <c r="F66" s="373"/>
      <c r="G66" s="373"/>
      <c r="H66" s="364">
        <f>H64*H65</f>
        <v>1421500</v>
      </c>
      <c r="I66" s="373"/>
      <c r="J66" s="373"/>
      <c r="K66" s="382"/>
      <c r="L66" s="337"/>
      <c r="M66" s="364">
        <f>M64*M65</f>
        <v>1421499.9999999998</v>
      </c>
      <c r="N66" s="375"/>
      <c r="O66" s="337"/>
      <c r="P66" s="337"/>
    </row>
    <row r="67" spans="1:16" ht="15.75">
      <c r="A67" s="337" t="s">
        <v>624</v>
      </c>
      <c r="B67" s="337"/>
      <c r="C67" s="337"/>
      <c r="D67" s="373"/>
      <c r="E67" s="373"/>
      <c r="F67" s="373"/>
      <c r="G67" s="373"/>
      <c r="H67" s="370">
        <v>0.06</v>
      </c>
      <c r="I67" s="373"/>
      <c r="J67" s="373"/>
      <c r="K67" s="382"/>
      <c r="L67" s="337"/>
      <c r="M67" s="370">
        <f>H67</f>
        <v>0.06</v>
      </c>
      <c r="N67" s="375"/>
      <c r="O67" s="337"/>
      <c r="P67" s="337"/>
    </row>
    <row r="68" spans="1:16" ht="16.5" thickBot="1">
      <c r="A68" s="337" t="s">
        <v>625</v>
      </c>
      <c r="B68" s="337"/>
      <c r="C68" s="337"/>
      <c r="D68" s="373"/>
      <c r="E68" s="373"/>
      <c r="F68" s="373"/>
      <c r="G68" s="373"/>
      <c r="H68" s="372">
        <f>H66*H67</f>
        <v>85290</v>
      </c>
      <c r="I68" s="373"/>
      <c r="J68" s="373"/>
      <c r="K68" s="364">
        <f>H68</f>
        <v>85290</v>
      </c>
      <c r="L68" s="337"/>
      <c r="M68" s="372">
        <f>M66*M67</f>
        <v>85289.999999999985</v>
      </c>
      <c r="N68" s="375"/>
      <c r="O68" s="337"/>
      <c r="P68" s="337"/>
    </row>
    <row r="69" spans="1:16" ht="16.5" thickTop="1">
      <c r="A69" s="337"/>
      <c r="B69" s="337"/>
      <c r="C69" s="337"/>
      <c r="D69" s="373"/>
      <c r="E69" s="373"/>
      <c r="F69" s="373"/>
      <c r="G69" s="373"/>
      <c r="H69" s="373">
        <f>H68/H11</f>
        <v>0.06</v>
      </c>
      <c r="I69" s="373"/>
      <c r="J69" s="373"/>
      <c r="K69" s="382">
        <f>K68/K11</f>
        <v>9.8177234714843988E-4</v>
      </c>
      <c r="L69" s="337"/>
      <c r="M69" s="373">
        <f>M68/M11</f>
        <v>8.5289999999999986E-4</v>
      </c>
      <c r="N69" s="382">
        <f>M69*(N83/M83)</f>
        <v>5.5438499999999925E-4</v>
      </c>
      <c r="O69" s="337"/>
      <c r="P69" s="375">
        <f>M69</f>
        <v>8.5289999999999986E-4</v>
      </c>
    </row>
    <row r="70" spans="1:16" ht="15.75">
      <c r="A70" s="337"/>
      <c r="B70" s="337"/>
      <c r="C70" s="337"/>
      <c r="D70" s="373"/>
      <c r="E70" s="373"/>
      <c r="F70" s="373"/>
      <c r="G70" s="373"/>
      <c r="H70" s="373"/>
      <c r="I70" s="373"/>
      <c r="J70" s="373"/>
      <c r="K70" s="382"/>
      <c r="L70" s="337"/>
      <c r="M70" s="375"/>
      <c r="N70" s="375"/>
      <c r="O70" s="337"/>
      <c r="P70" s="337"/>
    </row>
    <row r="71" spans="1:16" ht="15.75">
      <c r="A71" s="361" t="s">
        <v>626</v>
      </c>
      <c r="B71" s="337"/>
      <c r="C71" s="337"/>
      <c r="D71" s="373"/>
      <c r="E71" s="373"/>
      <c r="F71" s="373"/>
      <c r="G71" s="373"/>
      <c r="H71" s="373"/>
      <c r="I71" s="373"/>
      <c r="J71" s="373"/>
      <c r="K71" s="382"/>
      <c r="L71" s="337"/>
      <c r="M71" s="375"/>
      <c r="N71" s="375"/>
      <c r="O71" s="337"/>
      <c r="P71" s="337"/>
    </row>
    <row r="72" spans="1:16" ht="15.75">
      <c r="A72" s="337" t="s">
        <v>353</v>
      </c>
      <c r="B72" s="337"/>
      <c r="C72" s="337"/>
      <c r="D72" s="373"/>
      <c r="E72" s="373"/>
      <c r="F72" s="373"/>
      <c r="G72" s="373"/>
      <c r="H72" s="373"/>
      <c r="I72" s="364">
        <f>I18</f>
        <v>961200</v>
      </c>
      <c r="J72" s="373"/>
      <c r="K72" s="382"/>
      <c r="L72" s="337"/>
      <c r="M72" s="364">
        <f>M18</f>
        <v>91801688.138625354</v>
      </c>
      <c r="N72" s="375"/>
      <c r="O72" s="337"/>
      <c r="P72" s="337"/>
    </row>
    <row r="73" spans="1:16" ht="15.75">
      <c r="A73" s="337"/>
      <c r="B73" s="337" t="s">
        <v>627</v>
      </c>
      <c r="C73" s="337"/>
      <c r="D73" s="373"/>
      <c r="E73" s="373"/>
      <c r="F73" s="373"/>
      <c r="G73" s="373"/>
      <c r="H73" s="373"/>
      <c r="I73" s="390">
        <f>I17</f>
        <v>106800</v>
      </c>
      <c r="J73" s="373"/>
      <c r="K73" s="382"/>
      <c r="L73" s="337"/>
      <c r="M73" s="376">
        <f>SUM(M12:M17)</f>
        <v>8198311.8613746325</v>
      </c>
      <c r="N73" s="375"/>
      <c r="O73" s="337"/>
      <c r="P73" s="337"/>
    </row>
    <row r="74" spans="1:16" ht="15.75">
      <c r="A74" s="337" t="s">
        <v>628</v>
      </c>
      <c r="B74" s="337"/>
      <c r="C74" s="337"/>
      <c r="D74" s="373"/>
      <c r="E74" s="373"/>
      <c r="F74" s="373"/>
      <c r="G74" s="373"/>
      <c r="H74" s="373"/>
      <c r="I74" s="364">
        <f>I72+I73</f>
        <v>1068000</v>
      </c>
      <c r="J74" s="373"/>
      <c r="K74" s="382"/>
      <c r="L74" s="337"/>
      <c r="M74" s="364">
        <f>M72+M73</f>
        <v>99999999.999999985</v>
      </c>
      <c r="N74" s="375"/>
      <c r="O74" s="337"/>
      <c r="P74" s="337"/>
    </row>
    <row r="75" spans="1:16" ht="15.75">
      <c r="A75" s="377" t="s">
        <v>629</v>
      </c>
      <c r="B75" s="377"/>
      <c r="C75" s="337"/>
      <c r="D75" s="373"/>
      <c r="E75" s="373"/>
      <c r="F75" s="373"/>
      <c r="G75" s="373"/>
      <c r="H75" s="373"/>
      <c r="I75" s="378">
        <v>1</v>
      </c>
      <c r="J75" s="373"/>
      <c r="K75" s="382"/>
      <c r="L75" s="337"/>
      <c r="M75" s="380">
        <f>I6</f>
        <v>1.068E-2</v>
      </c>
      <c r="N75" s="375"/>
      <c r="O75" s="337"/>
      <c r="P75" s="337"/>
    </row>
    <row r="76" spans="1:16" ht="15.75">
      <c r="A76" s="337" t="s">
        <v>630</v>
      </c>
      <c r="B76" s="337"/>
      <c r="C76" s="337"/>
      <c r="D76" s="373"/>
      <c r="E76" s="373"/>
      <c r="F76" s="373"/>
      <c r="G76" s="373"/>
      <c r="H76" s="373"/>
      <c r="I76" s="364">
        <f>I74*I75</f>
        <v>1068000</v>
      </c>
      <c r="J76" s="373"/>
      <c r="K76" s="382"/>
      <c r="L76" s="337"/>
      <c r="M76" s="364">
        <f>M74*M75</f>
        <v>1067999.9999999998</v>
      </c>
      <c r="N76" s="375"/>
      <c r="O76" s="337"/>
      <c r="P76" s="337"/>
    </row>
    <row r="77" spans="1:16" ht="15.75">
      <c r="A77" s="337" t="s">
        <v>631</v>
      </c>
      <c r="B77" s="337"/>
      <c r="C77" s="337"/>
      <c r="D77" s="373"/>
      <c r="E77" s="373"/>
      <c r="F77" s="373"/>
      <c r="G77" s="373"/>
      <c r="H77" s="373"/>
      <c r="I77" s="370">
        <v>0.1</v>
      </c>
      <c r="J77" s="373"/>
      <c r="K77" s="364"/>
      <c r="L77" s="337"/>
      <c r="M77" s="370">
        <f>I77</f>
        <v>0.1</v>
      </c>
      <c r="N77" s="375"/>
      <c r="O77" s="337"/>
      <c r="P77" s="337"/>
    </row>
    <row r="78" spans="1:16" ht="16.5" thickBot="1">
      <c r="A78" s="337" t="s">
        <v>632</v>
      </c>
      <c r="B78" s="337"/>
      <c r="C78" s="337"/>
      <c r="D78" s="373"/>
      <c r="E78" s="373"/>
      <c r="F78" s="373"/>
      <c r="G78" s="373"/>
      <c r="H78" s="373"/>
      <c r="I78" s="372">
        <f>I76*I77</f>
        <v>106800</v>
      </c>
      <c r="J78" s="373"/>
      <c r="K78" s="364">
        <f>I78</f>
        <v>106800</v>
      </c>
      <c r="L78" s="337"/>
      <c r="M78" s="372">
        <f>M76*M77</f>
        <v>106799.99999999999</v>
      </c>
      <c r="N78" s="375"/>
      <c r="O78" s="337"/>
      <c r="P78" s="337"/>
    </row>
    <row r="79" spans="1:16" ht="16.5" thickTop="1">
      <c r="A79" s="337"/>
      <c r="B79" s="337"/>
      <c r="C79" s="337"/>
      <c r="D79" s="373"/>
      <c r="E79" s="373"/>
      <c r="F79" s="373"/>
      <c r="G79" s="373"/>
      <c r="H79" s="373"/>
      <c r="I79" s="373">
        <f>I78/I11</f>
        <v>0.1</v>
      </c>
      <c r="J79" s="373"/>
      <c r="K79" s="382">
        <f>K78/K11</f>
        <v>1.2293737445826403E-3</v>
      </c>
      <c r="L79" s="337"/>
      <c r="M79" s="373">
        <f>M78/M11</f>
        <v>1.0679999999999999E-3</v>
      </c>
      <c r="N79" s="382">
        <f>M79*(N83/M83)</f>
        <v>6.941999999999992E-4</v>
      </c>
      <c r="O79" s="337"/>
      <c r="P79" s="375">
        <f>M79</f>
        <v>1.0679999999999999E-3</v>
      </c>
    </row>
    <row r="80" spans="1:16" ht="15.75">
      <c r="A80" s="337"/>
      <c r="B80" s="337"/>
      <c r="C80" s="337"/>
      <c r="D80" s="373"/>
      <c r="E80" s="373"/>
      <c r="F80" s="373"/>
      <c r="G80" s="373"/>
      <c r="H80" s="373"/>
      <c r="I80" s="373"/>
      <c r="J80" s="373"/>
      <c r="K80" s="382"/>
      <c r="L80" s="337"/>
      <c r="M80" s="375"/>
      <c r="N80" s="375"/>
      <c r="O80" s="337"/>
      <c r="P80" s="337"/>
    </row>
    <row r="81" spans="1:16" ht="15.75">
      <c r="A81" s="337"/>
      <c r="B81" s="337"/>
      <c r="C81" s="337"/>
      <c r="D81" s="373"/>
      <c r="E81" s="373"/>
      <c r="F81" s="373"/>
      <c r="G81" s="373"/>
      <c r="H81" s="373"/>
      <c r="I81" s="373"/>
      <c r="J81" s="373"/>
      <c r="K81" s="337"/>
      <c r="L81" s="337"/>
      <c r="M81" s="337"/>
      <c r="N81" s="373">
        <f>N21+N31+N40+N49+N58+N69+N79</f>
        <v>0.40328902709893499</v>
      </c>
      <c r="O81" s="337"/>
      <c r="P81" s="337"/>
    </row>
    <row r="82" spans="1:16" ht="21" thickBot="1">
      <c r="A82" s="337"/>
      <c r="B82" s="337" t="s">
        <v>381</v>
      </c>
      <c r="C82" s="337"/>
      <c r="D82" s="373">
        <f>D21+D31</f>
        <v>0.41573033707865165</v>
      </c>
      <c r="E82" s="373">
        <f>E21+E40</f>
        <v>0.41174999999999995</v>
      </c>
      <c r="F82" s="373">
        <f>F21+F49</f>
        <v>0.390625</v>
      </c>
      <c r="G82" s="373">
        <f>G21+G58</f>
        <v>0.39708746869492628</v>
      </c>
      <c r="H82" s="373">
        <f>H21+H69</f>
        <v>0.38899999999999996</v>
      </c>
      <c r="I82" s="373">
        <f>+I21+I79</f>
        <v>0.41500000000000004</v>
      </c>
      <c r="J82" s="373"/>
      <c r="K82" s="373">
        <f>K21+K31+K40+K49+K58+K69+K79</f>
        <v>0.41397992272118495</v>
      </c>
      <c r="L82" s="337"/>
      <c r="M82" s="391">
        <f>M21+M31+M40+M49+M58+M69+M79</f>
        <v>0.40328902709893505</v>
      </c>
      <c r="N82" s="373">
        <f>M82</f>
        <v>0.40328902709893505</v>
      </c>
      <c r="O82" s="337"/>
      <c r="P82" s="375">
        <f>P21+P31+P40</f>
        <v>0.401356252098935</v>
      </c>
    </row>
    <row r="83" spans="1:16" ht="15.75" thickTop="1">
      <c r="A83" s="337"/>
      <c r="B83" s="337"/>
      <c r="C83" s="337"/>
      <c r="D83" s="337"/>
      <c r="E83" s="337"/>
      <c r="F83" s="337"/>
      <c r="G83" s="337"/>
      <c r="H83" s="337"/>
      <c r="I83" s="337"/>
      <c r="J83" s="337"/>
      <c r="K83" s="337"/>
      <c r="L83" s="337"/>
      <c r="M83" s="395">
        <f>N82-M21</f>
        <v>8.1983118613746353E-2</v>
      </c>
      <c r="N83" s="392">
        <f>N82-N21</f>
        <v>5.3289027098935071E-2</v>
      </c>
      <c r="O83" s="337"/>
      <c r="P83" s="337"/>
    </row>
    <row r="84" spans="1:16" ht="16.5" thickBot="1">
      <c r="A84" s="337"/>
      <c r="B84" s="337" t="s">
        <v>382</v>
      </c>
      <c r="C84" s="337" t="s">
        <v>587</v>
      </c>
      <c r="D84" s="337"/>
      <c r="E84" s="337"/>
      <c r="F84" s="337"/>
      <c r="G84" s="337"/>
      <c r="H84" s="337"/>
      <c r="I84" s="337"/>
      <c r="J84" s="337"/>
      <c r="K84" s="337"/>
      <c r="L84" s="337"/>
      <c r="M84" s="393" t="s">
        <v>383</v>
      </c>
      <c r="N84" s="394"/>
      <c r="O84" s="337"/>
      <c r="P84" s="337"/>
    </row>
    <row r="85" spans="1:16">
      <c r="A85" s="337"/>
      <c r="B85" s="337"/>
      <c r="C85" s="337" t="s">
        <v>633</v>
      </c>
      <c r="D85" s="337"/>
      <c r="E85" s="337"/>
      <c r="F85" s="337"/>
      <c r="G85" s="337"/>
      <c r="H85" s="337"/>
      <c r="I85" s="337"/>
      <c r="J85" s="337"/>
      <c r="K85" s="337"/>
      <c r="L85" s="337"/>
      <c r="M85" s="337"/>
      <c r="N85" s="337"/>
      <c r="O85" s="337"/>
      <c r="P85" s="337"/>
    </row>
  </sheetData>
  <sheetProtection password="E4A3" sheet="1" objects="1" scenarios="1"/>
  <pageMargins left="0.2" right="0.2" top="0.25" bottom="0.25" header="0.25" footer="0.25"/>
  <pageSetup scale="7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C14" sqref="C14"/>
    </sheetView>
  </sheetViews>
  <sheetFormatPr defaultRowHeight="15"/>
  <cols>
    <col min="3" max="3" width="14.33203125" bestFit="1" customWidth="1"/>
  </cols>
  <sheetData>
    <row r="1" spans="1:10">
      <c r="A1" t="s">
        <v>295</v>
      </c>
    </row>
    <row r="2" spans="1:10">
      <c r="A2" t="s">
        <v>687</v>
      </c>
    </row>
    <row r="3" spans="1:10">
      <c r="A3" t="s">
        <v>688</v>
      </c>
    </row>
    <row r="4" spans="1:10">
      <c r="A4" s="432">
        <v>2014</v>
      </c>
    </row>
    <row r="8" spans="1:10" ht="15.75">
      <c r="A8" s="433">
        <v>1</v>
      </c>
      <c r="B8" s="431" t="s">
        <v>156</v>
      </c>
      <c r="C8" s="130">
        <f>tax!M19</f>
        <v>0.35</v>
      </c>
      <c r="D8" s="431"/>
      <c r="E8" s="431"/>
      <c r="F8" s="431"/>
      <c r="G8" s="431"/>
      <c r="H8" s="431"/>
      <c r="I8" s="431"/>
      <c r="J8" s="431"/>
    </row>
    <row r="9" spans="1:10" ht="15.75">
      <c r="A9" s="433">
        <v>2</v>
      </c>
      <c r="B9" s="431" t="s">
        <v>157</v>
      </c>
      <c r="C9" s="130">
        <f>tax!M83</f>
        <v>8.1983118613746353E-2</v>
      </c>
      <c r="D9" s="450" t="s">
        <v>158</v>
      </c>
      <c r="E9" s="450"/>
      <c r="F9" s="450"/>
      <c r="G9" s="450"/>
      <c r="H9" s="450"/>
      <c r="I9" s="450"/>
      <c r="J9" s="450"/>
    </row>
    <row r="10" spans="1:10" ht="15.75">
      <c r="A10" s="433"/>
      <c r="B10" s="431"/>
      <c r="C10" s="434"/>
      <c r="D10" s="431"/>
      <c r="E10" s="431"/>
      <c r="F10" s="431"/>
      <c r="G10" s="431"/>
      <c r="H10" s="431"/>
      <c r="I10" s="431"/>
      <c r="J10" s="431"/>
    </row>
    <row r="11" spans="1:10" ht="15.75">
      <c r="A11" s="433">
        <v>3</v>
      </c>
      <c r="B11" s="431"/>
      <c r="C11" s="435">
        <f>tax!M25</f>
        <v>16065295.424259435</v>
      </c>
      <c r="D11" s="436" t="s">
        <v>689</v>
      </c>
      <c r="E11" s="431"/>
      <c r="F11" s="431"/>
      <c r="G11" s="431"/>
      <c r="H11" s="431"/>
      <c r="I11" s="431"/>
      <c r="J11" s="431"/>
    </row>
    <row r="12" spans="1:10" ht="15.75">
      <c r="A12" s="433">
        <v>4</v>
      </c>
      <c r="B12" s="431"/>
      <c r="C12" s="435">
        <f>tax!M11</f>
        <v>100000000</v>
      </c>
      <c r="D12" s="436" t="s">
        <v>690</v>
      </c>
      <c r="E12" s="431"/>
      <c r="F12" s="431"/>
      <c r="G12" s="431"/>
      <c r="H12" s="431"/>
      <c r="I12" s="431"/>
      <c r="J12" s="431"/>
    </row>
    <row r="13" spans="1:10" ht="15.75">
      <c r="A13" s="433"/>
      <c r="B13" s="431"/>
      <c r="C13" s="435"/>
      <c r="D13" s="436"/>
      <c r="E13" s="431"/>
      <c r="F13" s="431"/>
      <c r="G13" s="431"/>
      <c r="H13" s="431"/>
      <c r="I13" s="431"/>
      <c r="J13" s="431"/>
    </row>
    <row r="14" spans="1:10" ht="15.75">
      <c r="A14" s="433">
        <v>5</v>
      </c>
      <c r="B14" s="431" t="s">
        <v>159</v>
      </c>
      <c r="C14" s="130">
        <f>C11/C12</f>
        <v>0.16065295424259435</v>
      </c>
      <c r="D14" s="450" t="s">
        <v>160</v>
      </c>
      <c r="E14" s="450"/>
      <c r="F14" s="450"/>
      <c r="G14" s="450"/>
      <c r="H14" s="450"/>
      <c r="I14" s="450"/>
      <c r="J14" s="450"/>
    </row>
    <row r="15" spans="1:10">
      <c r="B15" t="s">
        <v>691</v>
      </c>
    </row>
    <row r="19" spans="2:2">
      <c r="B19" t="s">
        <v>692</v>
      </c>
    </row>
  </sheetData>
  <sheetProtection password="E4A3" sheet="1" objects="1" scenarios="1"/>
  <mergeCells count="2">
    <mergeCell ref="D9:J9"/>
    <mergeCell ref="D14:J14"/>
  </mergeCells>
  <pageMargins left="0.7" right="0.7" top="0.75" bottom="0.75" header="0.3" footer="0.3"/>
  <pageSetup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opLeftCell="A13" workbookViewId="0">
      <selection activeCell="G33" sqref="G33"/>
    </sheetView>
  </sheetViews>
  <sheetFormatPr defaultRowHeight="15"/>
  <cols>
    <col min="1" max="1" width="5.33203125" style="411" customWidth="1"/>
    <col min="2" max="2" width="5.109375" style="411" customWidth="1"/>
    <col min="3" max="3" width="29.88671875" style="411" customWidth="1"/>
    <col min="4" max="4" width="8.5546875" style="411" customWidth="1"/>
    <col min="5" max="5" width="8.88671875" style="411"/>
    <col min="6" max="6" width="5.6640625" style="411" customWidth="1"/>
    <col min="7" max="7" width="11.88671875" style="411" bestFit="1" customWidth="1"/>
    <col min="8" max="16384" width="8.88671875" style="411"/>
  </cols>
  <sheetData>
    <row r="1" spans="1:7">
      <c r="A1" s="409" t="s">
        <v>295</v>
      </c>
      <c r="B1" s="410"/>
      <c r="C1" s="410"/>
      <c r="D1" s="410"/>
      <c r="E1" s="410"/>
      <c r="F1" s="410"/>
      <c r="G1" s="410"/>
    </row>
    <row r="2" spans="1:7">
      <c r="A2" s="409" t="s">
        <v>647</v>
      </c>
      <c r="B2" s="410"/>
      <c r="C2" s="410"/>
      <c r="D2" s="410"/>
      <c r="E2" s="410"/>
      <c r="F2" s="410"/>
      <c r="G2" s="410"/>
    </row>
    <row r="3" spans="1:7">
      <c r="A3" s="409" t="s">
        <v>648</v>
      </c>
      <c r="B3" s="410"/>
      <c r="C3" s="410"/>
      <c r="D3" s="410"/>
      <c r="E3" s="410"/>
      <c r="F3" s="410"/>
      <c r="G3" s="410"/>
    </row>
    <row r="4" spans="1:7">
      <c r="A4" s="410"/>
      <c r="B4" s="410"/>
      <c r="C4" s="410"/>
      <c r="D4" s="410"/>
      <c r="E4" s="410"/>
      <c r="F4" s="410"/>
      <c r="G4" s="410"/>
    </row>
    <row r="5" spans="1:7">
      <c r="A5" s="410"/>
      <c r="B5" s="410"/>
      <c r="C5" s="410"/>
      <c r="D5" s="410"/>
      <c r="E5" s="410"/>
      <c r="F5" s="410"/>
      <c r="G5" s="410"/>
    </row>
    <row r="6" spans="1:7">
      <c r="A6" s="410"/>
      <c r="B6" s="410"/>
      <c r="C6" s="410"/>
      <c r="D6" s="410"/>
      <c r="E6" s="410"/>
      <c r="F6" s="410"/>
      <c r="G6" s="410"/>
    </row>
    <row r="7" spans="1:7" ht="26.25">
      <c r="A7" s="412" t="s">
        <v>649</v>
      </c>
      <c r="B7" s="413" t="s">
        <v>650</v>
      </c>
      <c r="C7" s="410" t="s">
        <v>651</v>
      </c>
      <c r="D7" s="410"/>
      <c r="E7" s="410"/>
      <c r="F7" s="410"/>
      <c r="G7" s="410"/>
    </row>
    <row r="8" spans="1:7">
      <c r="A8" s="410"/>
      <c r="B8" s="413"/>
      <c r="C8" s="410"/>
      <c r="D8" s="410"/>
      <c r="E8" s="410"/>
      <c r="F8" s="410"/>
      <c r="G8" s="410"/>
    </row>
    <row r="9" spans="1:7">
      <c r="A9" s="414">
        <v>1</v>
      </c>
      <c r="B9" s="413"/>
      <c r="C9" s="410" t="s">
        <v>652</v>
      </c>
      <c r="D9" s="410"/>
      <c r="E9" s="410"/>
      <c r="F9" s="410"/>
      <c r="G9" s="415">
        <v>80763182</v>
      </c>
    </row>
    <row r="10" spans="1:7">
      <c r="A10" s="414">
        <v>2</v>
      </c>
      <c r="B10" s="413"/>
      <c r="C10" s="410" t="s">
        <v>653</v>
      </c>
      <c r="D10" s="410"/>
      <c r="E10" s="410"/>
      <c r="F10" s="410"/>
      <c r="G10" s="416">
        <v>72150636</v>
      </c>
    </row>
    <row r="11" spans="1:7">
      <c r="A11" s="414">
        <v>3</v>
      </c>
      <c r="B11" s="413"/>
      <c r="C11" s="410" t="s">
        <v>654</v>
      </c>
      <c r="D11" s="410"/>
      <c r="E11" s="410"/>
      <c r="F11" s="410"/>
      <c r="G11" s="417">
        <f>G9-G10</f>
        <v>8612546</v>
      </c>
    </row>
    <row r="12" spans="1:7">
      <c r="A12" s="414"/>
      <c r="B12" s="413"/>
      <c r="C12" s="410" t="s">
        <v>655</v>
      </c>
      <c r="D12" s="410"/>
      <c r="E12" s="410"/>
      <c r="F12" s="410"/>
      <c r="G12" s="410"/>
    </row>
    <row r="13" spans="1:7">
      <c r="A13" s="414"/>
      <c r="B13" s="413"/>
      <c r="C13" s="410"/>
      <c r="D13" s="410"/>
      <c r="E13" s="410"/>
      <c r="F13" s="410"/>
      <c r="G13" s="410"/>
    </row>
    <row r="14" spans="1:7">
      <c r="A14" s="414"/>
      <c r="B14" s="413" t="s">
        <v>656</v>
      </c>
      <c r="C14" s="410" t="s">
        <v>657</v>
      </c>
      <c r="D14" s="410"/>
      <c r="E14" s="410"/>
      <c r="F14" s="410"/>
      <c r="G14" s="410"/>
    </row>
    <row r="15" spans="1:7">
      <c r="A15" s="414"/>
      <c r="B15" s="413"/>
      <c r="C15" s="410"/>
      <c r="D15" s="410"/>
      <c r="E15" s="410"/>
      <c r="F15" s="410"/>
      <c r="G15" s="410"/>
    </row>
    <row r="16" spans="1:7">
      <c r="A16" s="414">
        <v>4</v>
      </c>
      <c r="B16" s="413"/>
      <c r="C16" s="410" t="s">
        <v>658</v>
      </c>
      <c r="D16" s="410"/>
      <c r="E16" s="410"/>
      <c r="F16" s="410"/>
      <c r="G16" s="418">
        <v>3714036.75</v>
      </c>
    </row>
    <row r="17" spans="1:10">
      <c r="A17" s="414">
        <v>5</v>
      </c>
      <c r="B17" s="413"/>
      <c r="C17" s="410" t="s">
        <v>659</v>
      </c>
      <c r="D17" s="410"/>
      <c r="E17" s="410"/>
      <c r="F17" s="410"/>
      <c r="G17" s="419">
        <v>3785939</v>
      </c>
    </row>
    <row r="18" spans="1:10" ht="15.75">
      <c r="A18" s="414">
        <v>6</v>
      </c>
      <c r="B18" s="413"/>
      <c r="C18" s="410" t="s">
        <v>660</v>
      </c>
      <c r="D18" s="410"/>
      <c r="E18" s="410"/>
      <c r="F18" s="410"/>
      <c r="G18" s="418">
        <f>G17-G16</f>
        <v>71902.25</v>
      </c>
      <c r="J18" s="420"/>
    </row>
    <row r="19" spans="1:10" ht="15.75">
      <c r="A19" s="414"/>
      <c r="B19" s="413"/>
      <c r="C19" s="410" t="s">
        <v>661</v>
      </c>
      <c r="D19" s="410"/>
      <c r="E19" s="410"/>
      <c r="F19" s="410"/>
      <c r="G19" s="418"/>
      <c r="J19" s="420"/>
    </row>
    <row r="20" spans="1:10" ht="15.75">
      <c r="A20" s="414">
        <v>7</v>
      </c>
      <c r="B20" s="413"/>
      <c r="C20" s="410" t="s">
        <v>662</v>
      </c>
      <c r="D20" s="410"/>
      <c r="E20" s="410"/>
      <c r="F20" s="410"/>
      <c r="G20" s="407">
        <v>19.057527287751309</v>
      </c>
      <c r="H20" s="421"/>
    </row>
    <row r="21" spans="1:10">
      <c r="A21" s="414">
        <v>8</v>
      </c>
      <c r="B21" s="413"/>
      <c r="C21" s="410" t="s">
        <v>663</v>
      </c>
      <c r="D21" s="410"/>
      <c r="E21" s="410"/>
      <c r="F21" s="410"/>
      <c r="G21" s="417">
        <f>G18*G20</f>
        <v>1370279.0914257166</v>
      </c>
    </row>
    <row r="22" spans="1:10">
      <c r="A22" s="414"/>
      <c r="B22" s="413"/>
      <c r="C22" s="410" t="s">
        <v>664</v>
      </c>
      <c r="D22" s="410"/>
      <c r="E22" s="410"/>
      <c r="F22" s="410"/>
      <c r="G22" s="410"/>
    </row>
    <row r="23" spans="1:10">
      <c r="A23" s="414"/>
      <c r="B23" s="413"/>
      <c r="C23" s="410"/>
      <c r="D23" s="410"/>
      <c r="E23" s="410"/>
      <c r="F23" s="410"/>
      <c r="G23" s="410"/>
    </row>
    <row r="24" spans="1:10">
      <c r="A24" s="414"/>
      <c r="B24" s="413" t="s">
        <v>665</v>
      </c>
      <c r="C24" s="410" t="s">
        <v>666</v>
      </c>
      <c r="D24" s="410"/>
      <c r="E24" s="410"/>
      <c r="F24" s="410"/>
      <c r="G24" s="410"/>
    </row>
    <row r="25" spans="1:10">
      <c r="A25" s="414"/>
      <c r="B25" s="413"/>
      <c r="C25" s="410"/>
      <c r="D25" s="410"/>
      <c r="E25" s="410"/>
      <c r="F25" s="410"/>
      <c r="G25" s="410"/>
    </row>
    <row r="26" spans="1:10">
      <c r="A26" s="414">
        <v>9</v>
      </c>
      <c r="B26" s="413"/>
      <c r="C26" s="410" t="s">
        <v>667</v>
      </c>
      <c r="D26" s="410"/>
      <c r="E26" s="410"/>
      <c r="F26" s="410"/>
      <c r="G26" s="417">
        <f>G11</f>
        <v>8612546</v>
      </c>
    </row>
    <row r="27" spans="1:10">
      <c r="A27" s="414">
        <v>10</v>
      </c>
      <c r="B27" s="413"/>
      <c r="C27" s="410" t="s">
        <v>668</v>
      </c>
      <c r="D27" s="410"/>
      <c r="E27" s="410"/>
      <c r="F27" s="410"/>
      <c r="G27" s="416">
        <f>G21</f>
        <v>1370279.0914257166</v>
      </c>
    </row>
    <row r="28" spans="1:10">
      <c r="A28" s="414">
        <v>11</v>
      </c>
      <c r="B28" s="413"/>
      <c r="C28" s="410" t="s">
        <v>669</v>
      </c>
      <c r="D28" s="410"/>
      <c r="E28" s="410"/>
      <c r="F28" s="410"/>
      <c r="G28" s="417">
        <f>G26+G27</f>
        <v>9982825.0914257169</v>
      </c>
    </row>
    <row r="29" spans="1:10">
      <c r="A29" s="414"/>
      <c r="B29" s="413"/>
      <c r="C29" s="410" t="s">
        <v>670</v>
      </c>
      <c r="D29" s="410"/>
      <c r="E29" s="410"/>
      <c r="F29" s="410"/>
      <c r="G29" s="418"/>
    </row>
    <row r="30" spans="1:10">
      <c r="A30" s="414"/>
      <c r="B30" s="413"/>
      <c r="C30" s="410"/>
      <c r="D30" s="410"/>
      <c r="E30" s="410"/>
      <c r="F30" s="410"/>
      <c r="G30" s="410"/>
    </row>
    <row r="31" spans="1:10">
      <c r="A31" s="414"/>
      <c r="B31" s="413"/>
      <c r="C31" s="422" t="s">
        <v>671</v>
      </c>
      <c r="D31" s="410"/>
      <c r="E31" s="410"/>
      <c r="F31" s="410"/>
      <c r="G31" s="410"/>
    </row>
    <row r="32" spans="1:10">
      <c r="A32" s="414">
        <v>12</v>
      </c>
      <c r="B32" s="413"/>
      <c r="C32" s="410" t="s">
        <v>672</v>
      </c>
      <c r="D32" s="410"/>
      <c r="E32" s="410"/>
      <c r="F32" s="410"/>
      <c r="G32" s="423">
        <f>'short term interest'!C25</f>
        <v>2.2027421052631573E-3</v>
      </c>
    </row>
    <row r="33" spans="1:7">
      <c r="A33" s="414">
        <v>13</v>
      </c>
      <c r="B33" s="413"/>
      <c r="C33" s="410" t="s">
        <v>673</v>
      </c>
      <c r="D33" s="410"/>
      <c r="E33" s="410"/>
      <c r="F33" s="410"/>
      <c r="G33" s="416">
        <f>G28*G32*24</f>
        <v>527750.13980066287</v>
      </c>
    </row>
    <row r="34" spans="1:7">
      <c r="A34" s="414"/>
      <c r="B34" s="413"/>
      <c r="C34" s="410" t="s">
        <v>674</v>
      </c>
      <c r="D34" s="410"/>
      <c r="E34" s="410"/>
      <c r="F34" s="410"/>
      <c r="G34" s="424"/>
    </row>
    <row r="35" spans="1:7" ht="15.75" thickBot="1">
      <c r="A35" s="414">
        <v>14</v>
      </c>
      <c r="B35" s="413"/>
      <c r="C35" s="410" t="s">
        <v>675</v>
      </c>
      <c r="D35" s="410"/>
      <c r="E35" s="410"/>
      <c r="F35" s="410"/>
      <c r="G35" s="425">
        <f>G28+G33</f>
        <v>10510575.231226379</v>
      </c>
    </row>
    <row r="36" spans="1:7" ht="15.75" thickTop="1">
      <c r="A36" s="410"/>
      <c r="B36" s="410"/>
      <c r="C36" s="410" t="s">
        <v>676</v>
      </c>
      <c r="D36" s="410"/>
      <c r="E36" s="410"/>
      <c r="F36" s="410"/>
      <c r="G36" s="410"/>
    </row>
  </sheetData>
  <sheetProtection password="E4A3" sheet="1" objects="1" scenarios="1"/>
  <pageMargins left="0.7" right="0.2"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C25" sqref="C25"/>
    </sheetView>
  </sheetViews>
  <sheetFormatPr defaultRowHeight="15"/>
  <cols>
    <col min="2" max="2" width="9.88671875" bestFit="1" customWidth="1"/>
    <col min="3" max="3" width="10.77734375" customWidth="1"/>
  </cols>
  <sheetData>
    <row r="1" spans="1:3">
      <c r="A1" s="426" t="s">
        <v>295</v>
      </c>
      <c r="B1" s="426"/>
      <c r="C1" s="426"/>
    </row>
    <row r="2" spans="1:3">
      <c r="A2" s="426" t="s">
        <v>677</v>
      </c>
      <c r="B2" s="426"/>
      <c r="C2" s="426"/>
    </row>
    <row r="3" spans="1:3">
      <c r="A3" s="426"/>
      <c r="B3" s="426"/>
      <c r="C3" s="426"/>
    </row>
    <row r="4" spans="1:3">
      <c r="A4" s="426"/>
      <c r="B4" s="426"/>
      <c r="C4" s="426"/>
    </row>
    <row r="5" spans="1:3">
      <c r="A5" s="426"/>
      <c r="B5" s="427">
        <v>40909</v>
      </c>
      <c r="C5" s="428">
        <v>2.6475000000000001E-3</v>
      </c>
    </row>
    <row r="6" spans="1:3">
      <c r="A6" s="426"/>
      <c r="B6" s="427">
        <v>40940</v>
      </c>
      <c r="C6" s="428">
        <v>2.4350000000000001E-3</v>
      </c>
    </row>
    <row r="7" spans="1:3">
      <c r="A7" s="426"/>
      <c r="B7" s="427">
        <v>40969</v>
      </c>
      <c r="C7" s="428">
        <v>2.4125000000000001E-3</v>
      </c>
    </row>
    <row r="8" spans="1:3">
      <c r="A8" s="426"/>
      <c r="B8" s="427">
        <v>41000</v>
      </c>
      <c r="C8" s="428">
        <v>2.3874999999999999E-3</v>
      </c>
    </row>
    <row r="9" spans="1:3">
      <c r="A9" s="426"/>
      <c r="B9" s="427">
        <v>41030</v>
      </c>
      <c r="C9" s="428">
        <v>2.3874999999999999E-3</v>
      </c>
    </row>
    <row r="10" spans="1:3">
      <c r="A10" s="426"/>
      <c r="B10" s="427">
        <v>41061</v>
      </c>
      <c r="C10" s="428">
        <v>2.4575E-3</v>
      </c>
    </row>
    <row r="11" spans="1:3">
      <c r="A11" s="426"/>
      <c r="B11" s="427">
        <v>41091</v>
      </c>
      <c r="C11" s="428">
        <v>2.457E-3</v>
      </c>
    </row>
    <row r="12" spans="1:3">
      <c r="A12" s="426"/>
      <c r="B12" s="427">
        <v>41122</v>
      </c>
      <c r="C12" s="428">
        <v>2.3050000000000002E-3</v>
      </c>
    </row>
    <row r="13" spans="1:3">
      <c r="A13" s="426"/>
      <c r="B13" s="427">
        <v>41153</v>
      </c>
      <c r="C13" s="428">
        <v>2.1424999999999999E-3</v>
      </c>
    </row>
    <row r="14" spans="1:3">
      <c r="A14" s="426"/>
      <c r="B14" s="427">
        <v>41183</v>
      </c>
      <c r="C14" s="428">
        <v>2.1199999999999999E-3</v>
      </c>
    </row>
    <row r="15" spans="1:3">
      <c r="A15" s="426"/>
      <c r="B15" s="427">
        <v>41214</v>
      </c>
      <c r="C15" s="428">
        <v>2.1450000000000002E-3</v>
      </c>
    </row>
    <row r="16" spans="1:3">
      <c r="A16" s="426"/>
      <c r="B16" s="427">
        <v>41244</v>
      </c>
      <c r="C16" s="428">
        <v>2.0869999999999999E-3</v>
      </c>
    </row>
    <row r="17" spans="1:3">
      <c r="A17" s="426"/>
      <c r="B17" s="427">
        <v>41275</v>
      </c>
      <c r="C17" s="428">
        <v>1.9970000000000001E-3</v>
      </c>
    </row>
    <row r="18" spans="1:3">
      <c r="A18" s="426"/>
      <c r="B18" s="427">
        <v>41306</v>
      </c>
      <c r="C18" s="428">
        <v>2.0370000000000002E-3</v>
      </c>
    </row>
    <row r="19" spans="1:3">
      <c r="A19" s="426"/>
      <c r="B19" s="427">
        <v>41334</v>
      </c>
      <c r="C19" s="428">
        <v>2.0370000000000002E-3</v>
      </c>
    </row>
    <row r="20" spans="1:3">
      <c r="A20" s="426"/>
      <c r="B20" s="427">
        <v>41365</v>
      </c>
      <c r="C20" s="428">
        <v>1.9819999999999998E-3</v>
      </c>
    </row>
    <row r="21" spans="1:3">
      <c r="A21" s="426"/>
      <c r="B21" s="427">
        <v>41395</v>
      </c>
      <c r="C21" s="428">
        <v>1.9428E-3</v>
      </c>
    </row>
    <row r="22" spans="1:3">
      <c r="A22" s="426"/>
      <c r="B22" s="427">
        <v>41426</v>
      </c>
      <c r="C22" s="428">
        <v>1.9465000000000001E-3</v>
      </c>
    </row>
    <row r="23" spans="1:3">
      <c r="A23" s="426"/>
      <c r="B23" s="427">
        <v>41456</v>
      </c>
      <c r="C23" s="428">
        <v>1.9258000000000001E-3</v>
      </c>
    </row>
    <row r="24" spans="1:3">
      <c r="A24" s="426"/>
      <c r="B24" s="429"/>
      <c r="C24" s="426"/>
    </row>
    <row r="25" spans="1:3">
      <c r="A25" s="426"/>
      <c r="B25" s="429" t="s">
        <v>678</v>
      </c>
      <c r="C25" s="428">
        <f>AVERAGE(C5:C23)</f>
        <v>2.2027421052631573E-3</v>
      </c>
    </row>
  </sheetData>
  <sheetProtection password="E4A3"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activeCell="G9" sqref="G9"/>
    </sheetView>
  </sheetViews>
  <sheetFormatPr defaultRowHeight="15"/>
  <cols>
    <col min="1" max="1" width="6.77734375" customWidth="1"/>
    <col min="2" max="2" width="12.33203125" customWidth="1"/>
    <col min="3" max="3" width="4.77734375" customWidth="1"/>
    <col min="4" max="4" width="15.88671875" bestFit="1" customWidth="1"/>
    <col min="5" max="7" width="15.88671875" customWidth="1"/>
    <col min="8" max="8" width="16.88671875" bestFit="1" customWidth="1"/>
  </cols>
  <sheetData>
    <row r="1" spans="1:8" ht="15.75">
      <c r="A1" s="197" t="s">
        <v>295</v>
      </c>
    </row>
    <row r="2" spans="1:8" ht="15.75">
      <c r="A2" s="197" t="s">
        <v>437</v>
      </c>
    </row>
    <row r="3" spans="1:8" ht="15.75">
      <c r="A3" s="197" t="s">
        <v>643</v>
      </c>
    </row>
    <row r="5" spans="1:8">
      <c r="B5" s="208" t="s">
        <v>432</v>
      </c>
      <c r="C5" s="208"/>
      <c r="D5" s="208" t="s">
        <v>433</v>
      </c>
      <c r="E5" s="208" t="s">
        <v>438</v>
      </c>
      <c r="F5" s="208" t="s">
        <v>434</v>
      </c>
      <c r="G5" s="208" t="s">
        <v>435</v>
      </c>
      <c r="H5" s="208" t="s">
        <v>436</v>
      </c>
    </row>
    <row r="7" spans="1:8" ht="15.75">
      <c r="A7" s="209" t="s">
        <v>4</v>
      </c>
      <c r="B7" s="211"/>
      <c r="C7" s="212"/>
      <c r="D7" s="212"/>
      <c r="E7" s="212"/>
      <c r="F7" s="212"/>
      <c r="G7" s="212" t="s">
        <v>429</v>
      </c>
      <c r="H7" s="213"/>
    </row>
    <row r="8" spans="1:8" ht="15.75">
      <c r="A8" s="210" t="s">
        <v>6</v>
      </c>
      <c r="B8" s="214" t="s">
        <v>426</v>
      </c>
      <c r="C8" s="215"/>
      <c r="D8" s="215" t="s">
        <v>427</v>
      </c>
      <c r="E8" s="215" t="s">
        <v>38</v>
      </c>
      <c r="F8" s="215" t="s">
        <v>428</v>
      </c>
      <c r="G8" s="215" t="s">
        <v>430</v>
      </c>
      <c r="H8" s="216" t="s">
        <v>9</v>
      </c>
    </row>
    <row r="9" spans="1:8">
      <c r="A9" s="217">
        <v>1</v>
      </c>
      <c r="B9" s="240">
        <v>41609</v>
      </c>
      <c r="C9" s="220"/>
      <c r="D9" s="221">
        <v>3015051960</v>
      </c>
      <c r="E9" s="221">
        <v>422652782</v>
      </c>
      <c r="F9" s="221">
        <v>1292772297</v>
      </c>
      <c r="G9" s="223">
        <v>309123844</v>
      </c>
      <c r="H9" s="222">
        <f>SUM(D9:G9)</f>
        <v>5039600883</v>
      </c>
    </row>
    <row r="10" spans="1:8">
      <c r="A10" s="218">
        <v>2</v>
      </c>
      <c r="B10" s="241">
        <v>41640</v>
      </c>
      <c r="C10" s="158"/>
      <c r="D10" s="223">
        <v>3040570692</v>
      </c>
      <c r="E10" s="223">
        <v>424006750</v>
      </c>
      <c r="F10" s="223">
        <v>1297697165</v>
      </c>
      <c r="G10" s="223">
        <v>309123844</v>
      </c>
      <c r="H10" s="224">
        <f t="shared" ref="H10:H21" si="0">SUM(D10:G10)</f>
        <v>5071398451</v>
      </c>
    </row>
    <row r="11" spans="1:8">
      <c r="A11" s="218">
        <v>3</v>
      </c>
      <c r="B11" s="241">
        <v>41671</v>
      </c>
      <c r="C11" s="158"/>
      <c r="D11" s="223">
        <v>3066205993</v>
      </c>
      <c r="E11" s="223">
        <v>425341708</v>
      </c>
      <c r="F11" s="223">
        <v>1302735254</v>
      </c>
      <c r="G11" s="223">
        <v>309123844</v>
      </c>
      <c r="H11" s="224">
        <f t="shared" si="0"/>
        <v>5103406799</v>
      </c>
    </row>
    <row r="12" spans="1:8">
      <c r="A12" s="218">
        <v>4</v>
      </c>
      <c r="B12" s="241">
        <v>41699</v>
      </c>
      <c r="C12" s="158"/>
      <c r="D12" s="223">
        <v>3088413105</v>
      </c>
      <c r="E12" s="223">
        <v>426699417</v>
      </c>
      <c r="F12" s="223">
        <v>1307577417</v>
      </c>
      <c r="G12" s="223">
        <v>309123844</v>
      </c>
      <c r="H12" s="224">
        <f t="shared" si="0"/>
        <v>5131813783</v>
      </c>
    </row>
    <row r="13" spans="1:8">
      <c r="A13" s="218">
        <v>5</v>
      </c>
      <c r="B13" s="241">
        <v>41730</v>
      </c>
      <c r="C13" s="158"/>
      <c r="D13" s="223">
        <v>3109907156</v>
      </c>
      <c r="E13" s="223">
        <v>427832993</v>
      </c>
      <c r="F13" s="223">
        <v>1312417545</v>
      </c>
      <c r="G13" s="223">
        <v>309123844</v>
      </c>
      <c r="H13" s="224">
        <f t="shared" si="0"/>
        <v>5159281538</v>
      </c>
    </row>
    <row r="14" spans="1:8">
      <c r="A14" s="218">
        <v>6</v>
      </c>
      <c r="B14" s="241">
        <v>41760</v>
      </c>
      <c r="C14" s="158"/>
      <c r="D14" s="223">
        <v>3130752426</v>
      </c>
      <c r="E14" s="223">
        <v>429185638</v>
      </c>
      <c r="F14" s="223">
        <v>1317206122</v>
      </c>
      <c r="G14" s="223">
        <v>309123844</v>
      </c>
      <c r="H14" s="224">
        <f t="shared" si="0"/>
        <v>5186268030</v>
      </c>
    </row>
    <row r="15" spans="1:8">
      <c r="A15" s="218">
        <v>7</v>
      </c>
      <c r="B15" s="241">
        <v>41791</v>
      </c>
      <c r="C15" s="158"/>
      <c r="D15" s="223">
        <v>3152969157</v>
      </c>
      <c r="E15" s="223">
        <v>430608950</v>
      </c>
      <c r="F15" s="223">
        <v>1322193755</v>
      </c>
      <c r="G15" s="223">
        <v>309123844</v>
      </c>
      <c r="H15" s="224">
        <f t="shared" si="0"/>
        <v>5214895706</v>
      </c>
    </row>
    <row r="16" spans="1:8">
      <c r="A16" s="218">
        <v>8</v>
      </c>
      <c r="B16" s="241">
        <v>41821</v>
      </c>
      <c r="C16" s="158"/>
      <c r="D16" s="223">
        <v>3175267498</v>
      </c>
      <c r="E16" s="223">
        <v>432054674</v>
      </c>
      <c r="F16" s="223">
        <v>1327100377</v>
      </c>
      <c r="G16" s="223">
        <v>309123844</v>
      </c>
      <c r="H16" s="224">
        <f t="shared" si="0"/>
        <v>5243546393</v>
      </c>
    </row>
    <row r="17" spans="1:8">
      <c r="A17" s="218">
        <v>9</v>
      </c>
      <c r="B17" s="241">
        <v>41852</v>
      </c>
      <c r="C17" s="158"/>
      <c r="D17" s="223">
        <v>3197533333</v>
      </c>
      <c r="E17" s="223">
        <v>433504560</v>
      </c>
      <c r="F17" s="223">
        <v>1331812568</v>
      </c>
      <c r="G17" s="223">
        <v>309123844</v>
      </c>
      <c r="H17" s="224">
        <f t="shared" si="0"/>
        <v>5271974305</v>
      </c>
    </row>
    <row r="18" spans="1:8">
      <c r="A18" s="218">
        <v>10</v>
      </c>
      <c r="B18" s="241">
        <v>41883</v>
      </c>
      <c r="C18" s="158"/>
      <c r="D18" s="223">
        <v>3220560101</v>
      </c>
      <c r="E18" s="223">
        <v>434950435</v>
      </c>
      <c r="F18" s="223">
        <v>1336919558</v>
      </c>
      <c r="G18" s="223">
        <v>309123844</v>
      </c>
      <c r="H18" s="224">
        <f t="shared" si="0"/>
        <v>5301553938</v>
      </c>
    </row>
    <row r="19" spans="1:8">
      <c r="A19" s="218">
        <v>11</v>
      </c>
      <c r="B19" s="241">
        <v>41913</v>
      </c>
      <c r="C19" s="158"/>
      <c r="D19" s="223">
        <v>3243700856</v>
      </c>
      <c r="E19" s="223">
        <v>436396733</v>
      </c>
      <c r="F19" s="223">
        <v>1342111674</v>
      </c>
      <c r="G19" s="223">
        <v>309123844</v>
      </c>
      <c r="H19" s="224">
        <f t="shared" si="0"/>
        <v>5331333107</v>
      </c>
    </row>
    <row r="20" spans="1:8">
      <c r="A20" s="218">
        <v>12</v>
      </c>
      <c r="B20" s="241">
        <v>41944</v>
      </c>
      <c r="C20" s="158"/>
      <c r="D20" s="223">
        <v>3268722399</v>
      </c>
      <c r="E20" s="223">
        <v>437809820</v>
      </c>
      <c r="F20" s="223">
        <v>1347355949</v>
      </c>
      <c r="G20" s="223">
        <v>309123844</v>
      </c>
      <c r="H20" s="224">
        <f t="shared" si="0"/>
        <v>5363012012</v>
      </c>
    </row>
    <row r="21" spans="1:8">
      <c r="A21" s="218">
        <v>13</v>
      </c>
      <c r="B21" s="241">
        <v>41974</v>
      </c>
      <c r="C21" s="158"/>
      <c r="D21" s="223">
        <v>3292073086</v>
      </c>
      <c r="E21" s="223">
        <v>439077019</v>
      </c>
      <c r="F21" s="223">
        <v>1340042038</v>
      </c>
      <c r="G21" s="223">
        <v>309123844</v>
      </c>
      <c r="H21" s="224">
        <f t="shared" si="0"/>
        <v>5380315987</v>
      </c>
    </row>
    <row r="22" spans="1:8">
      <c r="A22" s="218">
        <v>14</v>
      </c>
      <c r="B22" s="143"/>
      <c r="C22" s="158"/>
      <c r="D22" s="158"/>
      <c r="E22" s="158"/>
      <c r="F22" s="158"/>
      <c r="G22" s="158"/>
      <c r="H22" s="224"/>
    </row>
    <row r="23" spans="1:8" ht="15.75">
      <c r="A23" s="218">
        <v>15</v>
      </c>
      <c r="B23" s="143" t="s">
        <v>431</v>
      </c>
      <c r="C23" s="158"/>
      <c r="D23" s="275">
        <f>AVERAGE(D9:D21)</f>
        <v>3153979058.6153846</v>
      </c>
      <c r="E23" s="275">
        <f>AVERAGE(E9:E21)</f>
        <v>430778575.30769229</v>
      </c>
      <c r="F23" s="275">
        <f>AVERAGE(F9:F21)</f>
        <v>1321380132.2307692</v>
      </c>
      <c r="G23" s="275">
        <f t="shared" ref="G23:H23" si="1">AVERAGE(G9:G21)</f>
        <v>309123844</v>
      </c>
      <c r="H23" s="276">
        <f t="shared" si="1"/>
        <v>5215261610.1538458</v>
      </c>
    </row>
    <row r="24" spans="1:8">
      <c r="A24" s="219"/>
      <c r="B24" s="225"/>
      <c r="C24" s="198"/>
      <c r="D24" s="198"/>
      <c r="E24" s="198"/>
      <c r="F24" s="198"/>
      <c r="G24" s="198"/>
      <c r="H24" s="226"/>
    </row>
  </sheetData>
  <sheetProtection password="E4A3" sheet="1" objects="1" scenarios="1"/>
  <pageMargins left="0.7" right="0.7" top="0.75" bottom="0.75" header="0.3" footer="0.3"/>
  <pageSetup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D9" sqref="D9:D21"/>
    </sheetView>
  </sheetViews>
  <sheetFormatPr defaultRowHeight="15"/>
  <cols>
    <col min="1" max="1" width="6.77734375" customWidth="1"/>
    <col min="2" max="5" width="16.77734375" customWidth="1"/>
  </cols>
  <sheetData>
    <row r="1" spans="1:5" ht="15.75">
      <c r="A1" s="197" t="s">
        <v>295</v>
      </c>
    </row>
    <row r="2" spans="1:5" ht="15.75">
      <c r="A2" s="197" t="s">
        <v>497</v>
      </c>
    </row>
    <row r="3" spans="1:5" ht="15.75">
      <c r="A3" s="197" t="s">
        <v>643</v>
      </c>
    </row>
    <row r="5" spans="1:5">
      <c r="B5" s="208" t="s">
        <v>432</v>
      </c>
      <c r="C5" s="208" t="s">
        <v>433</v>
      </c>
      <c r="D5" s="208" t="s">
        <v>438</v>
      </c>
      <c r="E5" s="208" t="s">
        <v>434</v>
      </c>
    </row>
    <row r="7" spans="1:5" ht="15.75">
      <c r="A7" s="278" t="s">
        <v>4</v>
      </c>
      <c r="B7" s="243"/>
      <c r="C7" s="398" t="s">
        <v>680</v>
      </c>
      <c r="D7" s="398" t="s">
        <v>681</v>
      </c>
      <c r="E7" s="274"/>
    </row>
    <row r="8" spans="1:5" ht="15.75">
      <c r="A8" s="284" t="s">
        <v>6</v>
      </c>
      <c r="B8" s="245" t="s">
        <v>426</v>
      </c>
      <c r="C8" s="215" t="s">
        <v>682</v>
      </c>
      <c r="D8" s="215" t="s">
        <v>683</v>
      </c>
      <c r="E8" s="216" t="s">
        <v>9</v>
      </c>
    </row>
    <row r="9" spans="1:5">
      <c r="A9" s="229">
        <v>1</v>
      </c>
      <c r="B9" s="240">
        <v>41609</v>
      </c>
      <c r="C9" s="220">
        <v>0</v>
      </c>
      <c r="D9" s="220">
        <v>0</v>
      </c>
      <c r="E9" s="264">
        <f t="shared" ref="E9:E21" si="0">SUM(C9:D9)</f>
        <v>0</v>
      </c>
    </row>
    <row r="10" spans="1:5">
      <c r="A10" s="230">
        <v>2</v>
      </c>
      <c r="B10" s="241">
        <v>41640</v>
      </c>
      <c r="C10" s="158">
        <v>0</v>
      </c>
      <c r="D10" s="158">
        <v>0</v>
      </c>
      <c r="E10" s="153">
        <f t="shared" si="0"/>
        <v>0</v>
      </c>
    </row>
    <row r="11" spans="1:5">
      <c r="A11" s="230">
        <v>3</v>
      </c>
      <c r="B11" s="241">
        <v>41671</v>
      </c>
      <c r="C11" s="158">
        <v>15384654.360000001</v>
      </c>
      <c r="D11" s="158">
        <v>0</v>
      </c>
      <c r="E11" s="153">
        <f t="shared" si="0"/>
        <v>15384654.360000001</v>
      </c>
    </row>
    <row r="12" spans="1:5">
      <c r="A12" s="230">
        <v>4</v>
      </c>
      <c r="B12" s="241">
        <v>41699</v>
      </c>
      <c r="C12" s="158">
        <v>18078490.23</v>
      </c>
      <c r="D12" s="158">
        <v>0</v>
      </c>
      <c r="E12" s="153">
        <f t="shared" si="0"/>
        <v>18078490.23</v>
      </c>
    </row>
    <row r="13" spans="1:5">
      <c r="A13" s="230">
        <v>5</v>
      </c>
      <c r="B13" s="241">
        <v>41730</v>
      </c>
      <c r="C13" s="158">
        <v>24290201.510000002</v>
      </c>
      <c r="D13" s="158">
        <v>26521590.970000003</v>
      </c>
      <c r="E13" s="153">
        <f t="shared" si="0"/>
        <v>50811792.480000004</v>
      </c>
    </row>
    <row r="14" spans="1:5">
      <c r="A14" s="230">
        <v>6</v>
      </c>
      <c r="B14" s="241">
        <v>41760</v>
      </c>
      <c r="C14" s="158">
        <v>25650748.290000003</v>
      </c>
      <c r="D14" s="158">
        <v>29237913.480000004</v>
      </c>
      <c r="E14" s="153">
        <f t="shared" si="0"/>
        <v>54888661.770000011</v>
      </c>
    </row>
    <row r="15" spans="1:5">
      <c r="A15" s="230">
        <v>7</v>
      </c>
      <c r="B15" s="241">
        <v>41791</v>
      </c>
      <c r="C15" s="158">
        <v>27027002.020000003</v>
      </c>
      <c r="D15" s="158">
        <v>40540475.220000006</v>
      </c>
      <c r="E15" s="153">
        <f t="shared" si="0"/>
        <v>67567477.24000001</v>
      </c>
    </row>
    <row r="16" spans="1:5">
      <c r="A16" s="230">
        <v>8</v>
      </c>
      <c r="B16" s="241">
        <v>41821</v>
      </c>
      <c r="C16" s="158">
        <v>28254122.080000002</v>
      </c>
      <c r="D16" s="158">
        <v>52172174.030000001</v>
      </c>
      <c r="E16" s="153">
        <f t="shared" si="0"/>
        <v>80426296.109999999</v>
      </c>
    </row>
    <row r="17" spans="1:5">
      <c r="A17" s="230">
        <v>9</v>
      </c>
      <c r="B17" s="241">
        <v>41852</v>
      </c>
      <c r="C17" s="158">
        <v>29436182.190000001</v>
      </c>
      <c r="D17" s="158">
        <v>63313614.320000008</v>
      </c>
      <c r="E17" s="153">
        <f t="shared" si="0"/>
        <v>92749796.510000005</v>
      </c>
    </row>
    <row r="18" spans="1:5">
      <c r="A18" s="230">
        <v>10</v>
      </c>
      <c r="B18" s="241">
        <v>41883</v>
      </c>
      <c r="C18" s="158">
        <v>34727422.120000005</v>
      </c>
      <c r="D18" s="158">
        <v>83382618.550000012</v>
      </c>
      <c r="E18" s="153">
        <f t="shared" si="0"/>
        <v>118110040.67000002</v>
      </c>
    </row>
    <row r="19" spans="1:5">
      <c r="A19" s="230">
        <v>11</v>
      </c>
      <c r="B19" s="241">
        <v>41913</v>
      </c>
      <c r="C19" s="158">
        <v>46950826.650000006</v>
      </c>
      <c r="D19" s="158">
        <v>105352249.49000001</v>
      </c>
      <c r="E19" s="153">
        <f t="shared" si="0"/>
        <v>152303076.14000002</v>
      </c>
    </row>
    <row r="20" spans="1:5">
      <c r="A20" s="230">
        <v>12</v>
      </c>
      <c r="B20" s="241">
        <v>41944</v>
      </c>
      <c r="C20" s="158">
        <v>54802901.500000007</v>
      </c>
      <c r="D20" s="158">
        <v>112721984.63000001</v>
      </c>
      <c r="E20" s="153">
        <f t="shared" si="0"/>
        <v>167524886.13000003</v>
      </c>
    </row>
    <row r="21" spans="1:5">
      <c r="A21" s="230">
        <v>13</v>
      </c>
      <c r="B21" s="241">
        <v>41974</v>
      </c>
      <c r="C21" s="198">
        <v>64742014.300000004</v>
      </c>
      <c r="D21" s="198">
        <v>121097698.36000001</v>
      </c>
      <c r="E21" s="226">
        <f t="shared" si="0"/>
        <v>185839712.66000003</v>
      </c>
    </row>
    <row r="22" spans="1:5">
      <c r="A22" s="230">
        <v>14</v>
      </c>
      <c r="B22" s="143"/>
      <c r="C22" s="158"/>
      <c r="D22" s="158"/>
      <c r="E22" s="153"/>
    </row>
    <row r="23" spans="1:5" ht="15.75">
      <c r="A23" s="230">
        <v>15</v>
      </c>
      <c r="B23" s="251" t="s">
        <v>431</v>
      </c>
      <c r="C23" s="158">
        <f>AVERAGE(C9:C21)</f>
        <v>28411120.40384616</v>
      </c>
      <c r="D23" s="158">
        <f>AVERAGE(D9:D21)</f>
        <v>48795409.157692313</v>
      </c>
      <c r="E23" s="256">
        <f>AVERAGE(E9:E21)</f>
        <v>77206529.561538473</v>
      </c>
    </row>
    <row r="24" spans="1:5">
      <c r="A24" s="219"/>
      <c r="B24" s="225"/>
      <c r="C24" s="198"/>
      <c r="D24" s="198"/>
      <c r="E24" s="226"/>
    </row>
    <row r="26" spans="1:5">
      <c r="A26" s="430" t="s">
        <v>96</v>
      </c>
      <c r="B26" t="s">
        <v>685</v>
      </c>
    </row>
    <row r="27" spans="1:5">
      <c r="A27" s="430" t="s">
        <v>684</v>
      </c>
      <c r="B27" t="s">
        <v>686</v>
      </c>
    </row>
  </sheetData>
  <sheetProtection password="E4A3"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selection activeCell="F12" sqref="F12"/>
    </sheetView>
  </sheetViews>
  <sheetFormatPr defaultRowHeight="15"/>
  <cols>
    <col min="1" max="1" width="4.44140625" style="400" customWidth="1"/>
    <col min="2" max="2" width="32.44140625" style="400" customWidth="1"/>
    <col min="3" max="6" width="13" style="400" customWidth="1"/>
    <col min="7" max="7" width="2.77734375" style="400" customWidth="1"/>
    <col min="8" max="8" width="13" style="400" customWidth="1"/>
    <col min="9" max="16384" width="8.88671875" style="400"/>
  </cols>
  <sheetData>
    <row r="1" spans="1:8" ht="15.75">
      <c r="A1" s="399" t="s">
        <v>295</v>
      </c>
    </row>
    <row r="2" spans="1:8" ht="15.75">
      <c r="A2" s="399" t="s">
        <v>439</v>
      </c>
    </row>
    <row r="3" spans="1:8" ht="15.75">
      <c r="A3" s="399" t="s">
        <v>601</v>
      </c>
    </row>
    <row r="6" spans="1:8">
      <c r="C6" s="452" t="s">
        <v>634</v>
      </c>
      <c r="D6" s="452"/>
      <c r="E6" s="452"/>
      <c r="F6" s="452"/>
      <c r="H6" s="401" t="s">
        <v>9</v>
      </c>
    </row>
    <row r="7" spans="1:8">
      <c r="C7" s="401" t="s">
        <v>635</v>
      </c>
      <c r="D7" s="401" t="s">
        <v>635</v>
      </c>
      <c r="E7" s="401" t="s">
        <v>635</v>
      </c>
      <c r="F7" s="401" t="s">
        <v>635</v>
      </c>
      <c r="H7" s="401" t="s">
        <v>636</v>
      </c>
    </row>
    <row r="8" spans="1:8">
      <c r="C8" s="402">
        <v>281</v>
      </c>
      <c r="D8" s="402">
        <v>282</v>
      </c>
      <c r="E8" s="402">
        <v>283</v>
      </c>
      <c r="F8" s="402">
        <v>190</v>
      </c>
      <c r="H8" s="402" t="s">
        <v>637</v>
      </c>
    </row>
    <row r="10" spans="1:8">
      <c r="A10" s="401">
        <v>1</v>
      </c>
      <c r="B10" s="403" t="s">
        <v>641</v>
      </c>
      <c r="C10" s="404">
        <v>-39862973</v>
      </c>
      <c r="D10" s="404">
        <v>-1506944507</v>
      </c>
      <c r="E10" s="404">
        <v>-384780917</v>
      </c>
      <c r="F10" s="404">
        <v>184446813</v>
      </c>
      <c r="H10" s="404">
        <f>SUM(C10:F10)</f>
        <v>-1747141584</v>
      </c>
    </row>
    <row r="11" spans="1:8">
      <c r="A11" s="401">
        <v>2</v>
      </c>
      <c r="B11" s="403" t="s">
        <v>642</v>
      </c>
      <c r="C11" s="405">
        <v>-42117060</v>
      </c>
      <c r="D11" s="405">
        <v>-1592154046</v>
      </c>
      <c r="E11" s="405">
        <v>-406538702</v>
      </c>
      <c r="F11" s="405">
        <v>194876524</v>
      </c>
      <c r="H11" s="405">
        <f>SUM(C11:F11)</f>
        <v>-1845933284</v>
      </c>
    </row>
    <row r="12" spans="1:8">
      <c r="A12" s="401"/>
      <c r="C12" s="404"/>
      <c r="D12" s="404"/>
      <c r="E12" s="404"/>
      <c r="F12" s="404"/>
      <c r="H12" s="404"/>
    </row>
    <row r="13" spans="1:8">
      <c r="A13" s="401">
        <v>3</v>
      </c>
      <c r="B13" s="400" t="s">
        <v>638</v>
      </c>
      <c r="C13" s="404">
        <f>AVERAGE(C10:C11)</f>
        <v>-40990016.5</v>
      </c>
      <c r="D13" s="404">
        <f t="shared" ref="D13:F13" si="0">AVERAGE(D10:D11)</f>
        <v>-1549549276.5</v>
      </c>
      <c r="E13" s="404">
        <f t="shared" si="0"/>
        <v>-395659809.5</v>
      </c>
      <c r="F13" s="404">
        <f t="shared" si="0"/>
        <v>189661668.5</v>
      </c>
      <c r="H13" s="404">
        <f t="shared" ref="H13:H16" si="1">SUM(C13:F13)</f>
        <v>-1796537434</v>
      </c>
    </row>
    <row r="14" spans="1:8">
      <c r="A14" s="401">
        <v>4</v>
      </c>
      <c r="B14" s="400" t="s">
        <v>639</v>
      </c>
      <c r="C14" s="405">
        <v>0</v>
      </c>
      <c r="D14" s="405">
        <v>0</v>
      </c>
      <c r="E14" s="405">
        <f>(241517031+272963759)/2*(-1)</f>
        <v>-257240395</v>
      </c>
      <c r="F14" s="405">
        <f>(18419311+17502056)/2</f>
        <v>17960683.5</v>
      </c>
      <c r="H14" s="405">
        <f t="shared" si="1"/>
        <v>-239279711.5</v>
      </c>
    </row>
    <row r="15" spans="1:8">
      <c r="A15" s="401"/>
      <c r="H15" s="404"/>
    </row>
    <row r="16" spans="1:8" ht="15.75" thickBot="1">
      <c r="A16" s="401">
        <v>5</v>
      </c>
      <c r="B16" s="400" t="s">
        <v>640</v>
      </c>
      <c r="C16" s="406">
        <f>C13-C14</f>
        <v>-40990016.5</v>
      </c>
      <c r="D16" s="406">
        <f t="shared" ref="D16:F16" si="2">D13-D14</f>
        <v>-1549549276.5</v>
      </c>
      <c r="E16" s="406">
        <f t="shared" si="2"/>
        <v>-138419414.5</v>
      </c>
      <c r="F16" s="406">
        <f t="shared" si="2"/>
        <v>171700985</v>
      </c>
      <c r="H16" s="406">
        <f t="shared" si="1"/>
        <v>-1557257722.5</v>
      </c>
    </row>
    <row r="17" ht="15.75" thickTop="1"/>
  </sheetData>
  <sheetProtection password="E4A3" sheet="1" objects="1" scenarios="1"/>
  <mergeCells count="1">
    <mergeCell ref="C6:F6"/>
  </mergeCells>
  <pageMargins left="0.7" right="0.7" top="0.75" bottom="0.75" header="0.3" footer="0.3"/>
  <pageSetup scale="97"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zoomScale="90" zoomScaleNormal="90" workbookViewId="0">
      <selection activeCell="E18" sqref="E18"/>
    </sheetView>
  </sheetViews>
  <sheetFormatPr defaultRowHeight="15"/>
  <cols>
    <col min="1" max="1" width="5.77734375" customWidth="1"/>
    <col min="2" max="2" width="47.77734375" customWidth="1"/>
    <col min="3" max="6" width="15.77734375" customWidth="1"/>
  </cols>
  <sheetData>
    <row r="1" spans="1:6" ht="15.75">
      <c r="A1" s="197" t="s">
        <v>295</v>
      </c>
    </row>
    <row r="2" spans="1:6" ht="15.75">
      <c r="A2" s="197" t="s">
        <v>439</v>
      </c>
    </row>
    <row r="3" spans="1:6" ht="15.75">
      <c r="A3" s="197" t="s">
        <v>601</v>
      </c>
    </row>
    <row r="5" spans="1:6">
      <c r="B5" s="208" t="s">
        <v>432</v>
      </c>
      <c r="C5" s="208" t="s">
        <v>433</v>
      </c>
      <c r="D5" s="208" t="s">
        <v>438</v>
      </c>
      <c r="E5" s="208" t="s">
        <v>434</v>
      </c>
      <c r="F5" s="208" t="s">
        <v>435</v>
      </c>
    </row>
    <row r="7" spans="1:6" ht="15.75">
      <c r="A7" s="209" t="s">
        <v>4</v>
      </c>
      <c r="B7" s="259"/>
      <c r="C7" s="259"/>
      <c r="D7" s="259"/>
      <c r="E7" s="259"/>
      <c r="F7" s="260" t="s">
        <v>442</v>
      </c>
    </row>
    <row r="8" spans="1:6" ht="15.75">
      <c r="A8" s="210" t="s">
        <v>6</v>
      </c>
      <c r="B8" s="261" t="s">
        <v>440</v>
      </c>
      <c r="C8" s="262">
        <v>41639</v>
      </c>
      <c r="D8" s="263" t="s">
        <v>441</v>
      </c>
      <c r="E8" s="262">
        <v>42004</v>
      </c>
      <c r="F8" s="263" t="s">
        <v>443</v>
      </c>
    </row>
    <row r="9" spans="1:6">
      <c r="A9" s="229">
        <v>1</v>
      </c>
      <c r="B9" s="228" t="s">
        <v>444</v>
      </c>
      <c r="C9" s="232">
        <f>ROUND(C17*(-0.10557061616),0)</f>
        <v>184446813</v>
      </c>
      <c r="D9" s="232">
        <f>ROUND(D17*(-0.242868771),0)</f>
        <v>23993905</v>
      </c>
      <c r="E9" s="232">
        <f>ROUND(E17*(-0.10557061616),0)-1</f>
        <v>194876524</v>
      </c>
      <c r="F9" s="232">
        <f>(C9+E9)/2</f>
        <v>189661668.5</v>
      </c>
    </row>
    <row r="10" spans="1:6">
      <c r="A10" s="230"/>
      <c r="B10" s="231"/>
      <c r="C10" s="233"/>
      <c r="D10" s="233"/>
      <c r="E10" s="233"/>
      <c r="F10" s="233"/>
    </row>
    <row r="11" spans="1:6">
      <c r="A11" s="230">
        <v>2</v>
      </c>
      <c r="B11" s="231" t="s">
        <v>447</v>
      </c>
      <c r="C11" s="233">
        <f>ROUND(C17*0.0228161089,0)</f>
        <v>-39862973</v>
      </c>
      <c r="D11" s="233">
        <f t="shared" ref="D11" si="0">ROUND(D17*0.029571528,0)</f>
        <v>-2921481</v>
      </c>
      <c r="E11" s="233">
        <f>ROUND(E17*0.0228161089,0)</f>
        <v>-42117060</v>
      </c>
      <c r="F11" s="233">
        <f t="shared" ref="F11:F15" si="1">(C11+E11)/2</f>
        <v>-40990016.5</v>
      </c>
    </row>
    <row r="12" spans="1:6">
      <c r="A12" s="230"/>
      <c r="B12" s="231"/>
      <c r="C12" s="233"/>
      <c r="D12" s="233"/>
      <c r="E12" s="233"/>
      <c r="F12" s="233"/>
    </row>
    <row r="13" spans="1:6">
      <c r="A13" s="230">
        <v>3</v>
      </c>
      <c r="B13" s="231" t="s">
        <v>445</v>
      </c>
      <c r="C13" s="233">
        <f>ROUND(C17*0.86251997047,0)</f>
        <v>-1506944507</v>
      </c>
      <c r="D13" s="233">
        <f t="shared" ref="D13" si="2">ROUND(D17*1.157715138,0)</f>
        <v>-114374962</v>
      </c>
      <c r="E13" s="233">
        <f>ROUND(E17*0.86251997047,0)</f>
        <v>-1592156046</v>
      </c>
      <c r="F13" s="233">
        <f t="shared" si="1"/>
        <v>-1549550276.5</v>
      </c>
    </row>
    <row r="14" spans="1:6">
      <c r="A14" s="230"/>
      <c r="B14" s="231"/>
      <c r="C14" s="233"/>
      <c r="D14" s="233"/>
      <c r="E14" s="233"/>
      <c r="F14" s="233"/>
    </row>
    <row r="15" spans="1:6">
      <c r="A15" s="230">
        <v>4</v>
      </c>
      <c r="B15" s="231" t="s">
        <v>468</v>
      </c>
      <c r="C15" s="233">
        <f>ROUND(C17*0.22023453678,0)</f>
        <v>-384780917</v>
      </c>
      <c r="D15" s="233">
        <f t="shared" ref="D15" si="3">ROUND(D17*0.055582104,0)</f>
        <v>-5491162</v>
      </c>
      <c r="E15" s="233">
        <f>ROUND(E17*0.22023453678,0)</f>
        <v>-406538702</v>
      </c>
      <c r="F15" s="233">
        <f t="shared" si="1"/>
        <v>-395659809.5</v>
      </c>
    </row>
    <row r="16" spans="1:6">
      <c r="A16" s="230"/>
      <c r="B16" s="231"/>
      <c r="C16" s="234"/>
      <c r="D16" s="234"/>
      <c r="E16" s="234"/>
      <c r="F16" s="234"/>
    </row>
    <row r="17" spans="1:6">
      <c r="A17" s="230">
        <v>5</v>
      </c>
      <c r="B17" s="231" t="s">
        <v>446</v>
      </c>
      <c r="C17" s="232">
        <v>-1747141583</v>
      </c>
      <c r="D17" s="232">
        <f>E17-C17</f>
        <v>-98793700</v>
      </c>
      <c r="E17" s="232">
        <v>-1845935283</v>
      </c>
      <c r="F17" s="232">
        <f>(C17+E17)/2</f>
        <v>-1796538433</v>
      </c>
    </row>
    <row r="18" spans="1:6">
      <c r="A18" s="219"/>
      <c r="B18" s="219"/>
      <c r="C18" s="219"/>
      <c r="D18" s="219"/>
      <c r="E18" s="219"/>
      <c r="F18" s="219"/>
    </row>
  </sheetData>
  <sheetProtection password="E4A3" sheet="1" objects="1" scenarios="1"/>
  <pageMargins left="0.7" right="0.7" top="0.75" bottom="0.75" header="0.3" footer="0.3"/>
  <pageSetup scale="8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B10" sqref="B10:B21"/>
    </sheetView>
  </sheetViews>
  <sheetFormatPr defaultRowHeight="15"/>
  <cols>
    <col min="1" max="1" width="6.77734375" customWidth="1"/>
    <col min="2" max="5" width="16.77734375" customWidth="1"/>
  </cols>
  <sheetData>
    <row r="1" spans="1:5">
      <c r="A1" t="s">
        <v>295</v>
      </c>
    </row>
    <row r="2" spans="1:5">
      <c r="A2" t="s">
        <v>502</v>
      </c>
    </row>
    <row r="3" spans="1:5">
      <c r="A3" t="s">
        <v>643</v>
      </c>
    </row>
    <row r="5" spans="1:5">
      <c r="B5" s="208" t="s">
        <v>432</v>
      </c>
      <c r="C5" s="208" t="s">
        <v>433</v>
      </c>
      <c r="D5" s="208" t="s">
        <v>438</v>
      </c>
      <c r="E5" s="208" t="s">
        <v>434</v>
      </c>
    </row>
    <row r="7" spans="1:5" ht="15.75">
      <c r="A7" s="278" t="s">
        <v>4</v>
      </c>
      <c r="B7" s="243"/>
      <c r="C7" s="273" t="s">
        <v>498</v>
      </c>
      <c r="D7" s="273" t="s">
        <v>499</v>
      </c>
      <c r="E7" s="274"/>
    </row>
    <row r="8" spans="1:5" ht="15.75">
      <c r="A8" s="284" t="s">
        <v>6</v>
      </c>
      <c r="B8" s="245" t="s">
        <v>426</v>
      </c>
      <c r="C8" s="215" t="s">
        <v>500</v>
      </c>
      <c r="D8" s="215" t="s">
        <v>501</v>
      </c>
      <c r="E8" s="216" t="s">
        <v>9</v>
      </c>
    </row>
    <row r="9" spans="1:5">
      <c r="A9" s="229">
        <v>1</v>
      </c>
      <c r="B9" s="240">
        <v>41609</v>
      </c>
      <c r="C9" s="220">
        <v>0</v>
      </c>
      <c r="D9" s="220">
        <v>0</v>
      </c>
      <c r="E9" s="264">
        <f>SUM(C9:D9)</f>
        <v>0</v>
      </c>
    </row>
    <row r="10" spans="1:5">
      <c r="A10" s="230">
        <v>2</v>
      </c>
      <c r="B10" s="241">
        <v>41640</v>
      </c>
      <c r="C10" s="158">
        <v>0</v>
      </c>
      <c r="D10" s="158">
        <v>0</v>
      </c>
      <c r="E10" s="153">
        <f t="shared" ref="E10:E21" si="0">SUM(C10:D10)</f>
        <v>0</v>
      </c>
    </row>
    <row r="11" spans="1:5">
      <c r="A11" s="230">
        <v>3</v>
      </c>
      <c r="B11" s="241">
        <v>41671</v>
      </c>
      <c r="C11" s="158">
        <v>0</v>
      </c>
      <c r="D11" s="158">
        <v>0</v>
      </c>
      <c r="E11" s="153">
        <f t="shared" si="0"/>
        <v>0</v>
      </c>
    </row>
    <row r="12" spans="1:5">
      <c r="A12" s="230">
        <v>4</v>
      </c>
      <c r="B12" s="241">
        <v>41699</v>
      </c>
      <c r="C12" s="158">
        <v>0</v>
      </c>
      <c r="D12" s="158">
        <v>0</v>
      </c>
      <c r="E12" s="153">
        <f t="shared" si="0"/>
        <v>0</v>
      </c>
    </row>
    <row r="13" spans="1:5">
      <c r="A13" s="230">
        <v>5</v>
      </c>
      <c r="B13" s="241">
        <v>41730</v>
      </c>
      <c r="C13" s="158">
        <v>0</v>
      </c>
      <c r="D13" s="158">
        <v>0</v>
      </c>
      <c r="E13" s="153">
        <f t="shared" si="0"/>
        <v>0</v>
      </c>
    </row>
    <row r="14" spans="1:5">
      <c r="A14" s="230">
        <v>6</v>
      </c>
      <c r="B14" s="241">
        <v>41760</v>
      </c>
      <c r="C14" s="158">
        <v>0</v>
      </c>
      <c r="D14" s="158">
        <v>0</v>
      </c>
      <c r="E14" s="153">
        <f t="shared" si="0"/>
        <v>0</v>
      </c>
    </row>
    <row r="15" spans="1:5">
      <c r="A15" s="230">
        <v>7</v>
      </c>
      <c r="B15" s="241">
        <v>41791</v>
      </c>
      <c r="C15" s="158">
        <v>0</v>
      </c>
      <c r="D15" s="158">
        <v>0</v>
      </c>
      <c r="E15" s="153">
        <f t="shared" si="0"/>
        <v>0</v>
      </c>
    </row>
    <row r="16" spans="1:5">
      <c r="A16" s="230">
        <v>8</v>
      </c>
      <c r="B16" s="241">
        <v>41821</v>
      </c>
      <c r="C16" s="158">
        <v>0</v>
      </c>
      <c r="D16" s="158">
        <v>0</v>
      </c>
      <c r="E16" s="153">
        <f t="shared" si="0"/>
        <v>0</v>
      </c>
    </row>
    <row r="17" spans="1:5">
      <c r="A17" s="230">
        <v>9</v>
      </c>
      <c r="B17" s="241">
        <v>41852</v>
      </c>
      <c r="C17" s="158">
        <v>0</v>
      </c>
      <c r="D17" s="158">
        <v>0</v>
      </c>
      <c r="E17" s="153">
        <f t="shared" si="0"/>
        <v>0</v>
      </c>
    </row>
    <row r="18" spans="1:5">
      <c r="A18" s="230">
        <v>10</v>
      </c>
      <c r="B18" s="241">
        <v>41883</v>
      </c>
      <c r="C18" s="158">
        <v>0</v>
      </c>
      <c r="D18" s="158">
        <v>0</v>
      </c>
      <c r="E18" s="153">
        <f t="shared" si="0"/>
        <v>0</v>
      </c>
    </row>
    <row r="19" spans="1:5">
      <c r="A19" s="230">
        <v>11</v>
      </c>
      <c r="B19" s="241">
        <v>41913</v>
      </c>
      <c r="C19" s="158">
        <v>0</v>
      </c>
      <c r="D19" s="158">
        <v>0</v>
      </c>
      <c r="E19" s="153">
        <f t="shared" si="0"/>
        <v>0</v>
      </c>
    </row>
    <row r="20" spans="1:5">
      <c r="A20" s="230">
        <v>12</v>
      </c>
      <c r="B20" s="241">
        <v>41944</v>
      </c>
      <c r="C20" s="158">
        <v>0</v>
      </c>
      <c r="D20" s="158">
        <v>0</v>
      </c>
      <c r="E20" s="153">
        <f t="shared" si="0"/>
        <v>0</v>
      </c>
    </row>
    <row r="21" spans="1:5">
      <c r="A21" s="230">
        <v>13</v>
      </c>
      <c r="B21" s="241">
        <v>41974</v>
      </c>
      <c r="C21" s="198">
        <v>0</v>
      </c>
      <c r="D21" s="198">
        <v>0</v>
      </c>
      <c r="E21" s="226">
        <f t="shared" si="0"/>
        <v>0</v>
      </c>
    </row>
    <row r="22" spans="1:5">
      <c r="A22" s="230">
        <v>14</v>
      </c>
      <c r="B22" s="143"/>
      <c r="C22" s="158"/>
      <c r="D22" s="158"/>
      <c r="E22" s="153"/>
    </row>
    <row r="23" spans="1:5" ht="15.75">
      <c r="A23" s="230">
        <v>15</v>
      </c>
      <c r="B23" s="251" t="s">
        <v>431</v>
      </c>
      <c r="C23" s="158">
        <f>AVERAGE(C9:C21)</f>
        <v>0</v>
      </c>
      <c r="D23" s="158">
        <f>AVERAGE(D9:D21)</f>
        <v>0</v>
      </c>
      <c r="E23" s="256">
        <f>AVERAGE(E9:E21)</f>
        <v>0</v>
      </c>
    </row>
    <row r="24" spans="1:5">
      <c r="A24" s="219"/>
      <c r="B24" s="225"/>
      <c r="C24" s="198"/>
      <c r="D24" s="198"/>
      <c r="E24" s="226"/>
    </row>
  </sheetData>
  <sheetProtection password="E4A3"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topLeftCell="A4" workbookViewId="0">
      <selection activeCell="E22" sqref="E22"/>
    </sheetView>
  </sheetViews>
  <sheetFormatPr defaultRowHeight="15"/>
  <cols>
    <col min="1" max="1" width="6.77734375" customWidth="1"/>
    <col min="2" max="2" width="16.44140625" customWidth="1"/>
    <col min="3" max="3" width="16" bestFit="1" customWidth="1"/>
    <col min="4" max="4" width="12.44140625" bestFit="1" customWidth="1"/>
    <col min="5" max="5" width="13.5546875" bestFit="1" customWidth="1"/>
    <col min="6" max="6" width="14.5546875" bestFit="1" customWidth="1"/>
  </cols>
  <sheetData>
    <row r="1" spans="1:6" ht="15.75">
      <c r="A1" s="197" t="s">
        <v>295</v>
      </c>
    </row>
    <row r="2" spans="1:6" ht="15.75">
      <c r="A2" s="197" t="s">
        <v>450</v>
      </c>
    </row>
    <row r="3" spans="1:6" ht="15.75">
      <c r="A3" s="197" t="s">
        <v>643</v>
      </c>
    </row>
    <row r="5" spans="1:6">
      <c r="B5" s="208" t="s">
        <v>432</v>
      </c>
      <c r="C5" s="208" t="s">
        <v>433</v>
      </c>
      <c r="D5" s="208" t="s">
        <v>438</v>
      </c>
      <c r="E5" s="208" t="s">
        <v>434</v>
      </c>
      <c r="F5" s="208" t="s">
        <v>435</v>
      </c>
    </row>
    <row r="7" spans="1:6" ht="15.75">
      <c r="A7" s="209" t="s">
        <v>4</v>
      </c>
      <c r="B7" s="243"/>
      <c r="C7" s="453" t="s">
        <v>452</v>
      </c>
      <c r="D7" s="453"/>
      <c r="E7" s="453"/>
      <c r="F7" s="454"/>
    </row>
    <row r="8" spans="1:6" ht="15.75">
      <c r="A8" s="210" t="s">
        <v>6</v>
      </c>
      <c r="B8" s="245" t="s">
        <v>426</v>
      </c>
      <c r="C8" s="215" t="s">
        <v>427</v>
      </c>
      <c r="D8" s="215" t="s">
        <v>38</v>
      </c>
      <c r="E8" s="215" t="s">
        <v>428</v>
      </c>
      <c r="F8" s="216" t="s">
        <v>451</v>
      </c>
    </row>
    <row r="9" spans="1:6">
      <c r="A9" s="229">
        <v>1</v>
      </c>
      <c r="B9" s="240">
        <v>41609</v>
      </c>
      <c r="C9" s="246">
        <v>180196691</v>
      </c>
      <c r="D9" s="246">
        <v>5499642</v>
      </c>
      <c r="E9" s="246">
        <v>21036829</v>
      </c>
      <c r="F9" s="247">
        <f>SUM(C9:E9)</f>
        <v>206733162</v>
      </c>
    </row>
    <row r="10" spans="1:6">
      <c r="A10" s="230">
        <v>2</v>
      </c>
      <c r="B10" s="241">
        <v>41640</v>
      </c>
      <c r="C10" s="248">
        <v>180196691</v>
      </c>
      <c r="D10" s="248">
        <v>7245708</v>
      </c>
      <c r="E10" s="248">
        <v>19412148</v>
      </c>
      <c r="F10" s="249">
        <f t="shared" ref="F10:F21" si="0">SUM(C10:E10)</f>
        <v>206854547</v>
      </c>
    </row>
    <row r="11" spans="1:6">
      <c r="A11" s="230">
        <v>3</v>
      </c>
      <c r="B11" s="241">
        <v>41671</v>
      </c>
      <c r="C11" s="248">
        <v>178436803</v>
      </c>
      <c r="D11" s="248">
        <v>7245708</v>
      </c>
      <c r="E11" s="248">
        <v>19412148</v>
      </c>
      <c r="F11" s="249">
        <f t="shared" si="0"/>
        <v>205094659</v>
      </c>
    </row>
    <row r="12" spans="1:6">
      <c r="A12" s="230">
        <v>4</v>
      </c>
      <c r="B12" s="241">
        <v>41699</v>
      </c>
      <c r="C12" s="248">
        <v>176870561</v>
      </c>
      <c r="D12" s="248">
        <v>7245708</v>
      </c>
      <c r="E12" s="248">
        <v>19412148</v>
      </c>
      <c r="F12" s="249">
        <f t="shared" si="0"/>
        <v>203528417</v>
      </c>
    </row>
    <row r="13" spans="1:6">
      <c r="A13" s="230">
        <v>5</v>
      </c>
      <c r="B13" s="241">
        <v>41730</v>
      </c>
      <c r="C13" s="248">
        <v>175137933</v>
      </c>
      <c r="D13" s="248">
        <v>7245708</v>
      </c>
      <c r="E13" s="248">
        <v>19412148</v>
      </c>
      <c r="F13" s="249">
        <f t="shared" si="0"/>
        <v>201795789</v>
      </c>
    </row>
    <row r="14" spans="1:6">
      <c r="A14" s="230">
        <v>6</v>
      </c>
      <c r="B14" s="241">
        <v>41760</v>
      </c>
      <c r="C14" s="248">
        <v>173482171</v>
      </c>
      <c r="D14" s="248">
        <v>7245708</v>
      </c>
      <c r="E14" s="248">
        <v>19412148</v>
      </c>
      <c r="F14" s="249">
        <f t="shared" si="0"/>
        <v>200140027</v>
      </c>
    </row>
    <row r="15" spans="1:6">
      <c r="A15" s="230">
        <v>7</v>
      </c>
      <c r="B15" s="241">
        <v>41791</v>
      </c>
      <c r="C15" s="248">
        <v>171885683</v>
      </c>
      <c r="D15" s="248">
        <v>7245708</v>
      </c>
      <c r="E15" s="248">
        <v>19412148</v>
      </c>
      <c r="F15" s="249">
        <f t="shared" si="0"/>
        <v>198543539</v>
      </c>
    </row>
    <row r="16" spans="1:6">
      <c r="A16" s="230">
        <v>8</v>
      </c>
      <c r="B16" s="241">
        <v>41821</v>
      </c>
      <c r="C16" s="248">
        <v>170054391</v>
      </c>
      <c r="D16" s="248">
        <v>7245708</v>
      </c>
      <c r="E16" s="248">
        <v>19412148</v>
      </c>
      <c r="F16" s="249">
        <f t="shared" si="0"/>
        <v>196712247</v>
      </c>
    </row>
    <row r="17" spans="1:6">
      <c r="A17" s="230">
        <v>9</v>
      </c>
      <c r="B17" s="241">
        <v>41852</v>
      </c>
      <c r="C17" s="248">
        <v>168320853</v>
      </c>
      <c r="D17" s="248">
        <v>7245708</v>
      </c>
      <c r="E17" s="248">
        <v>19412148</v>
      </c>
      <c r="F17" s="249">
        <f t="shared" si="0"/>
        <v>194978709</v>
      </c>
    </row>
    <row r="18" spans="1:6">
      <c r="A18" s="230">
        <v>10</v>
      </c>
      <c r="B18" s="241">
        <v>41883</v>
      </c>
      <c r="C18" s="248">
        <v>166585010</v>
      </c>
      <c r="D18" s="248">
        <v>7245708</v>
      </c>
      <c r="E18" s="248">
        <v>19412148</v>
      </c>
      <c r="F18" s="249">
        <f t="shared" si="0"/>
        <v>193242866</v>
      </c>
    </row>
    <row r="19" spans="1:6">
      <c r="A19" s="230">
        <v>11</v>
      </c>
      <c r="B19" s="241">
        <v>41913</v>
      </c>
      <c r="C19" s="248">
        <v>164886832</v>
      </c>
      <c r="D19" s="248">
        <v>7245708</v>
      </c>
      <c r="E19" s="248">
        <v>19412148</v>
      </c>
      <c r="F19" s="249">
        <f t="shared" si="0"/>
        <v>191544688</v>
      </c>
    </row>
    <row r="20" spans="1:6">
      <c r="A20" s="230">
        <v>12</v>
      </c>
      <c r="B20" s="241">
        <v>41944</v>
      </c>
      <c r="C20" s="248">
        <v>163182880</v>
      </c>
      <c r="D20" s="248">
        <v>7245708</v>
      </c>
      <c r="E20" s="248">
        <v>19412148</v>
      </c>
      <c r="F20" s="249">
        <f t="shared" si="0"/>
        <v>189840736</v>
      </c>
    </row>
    <row r="21" spans="1:6" ht="15.75" thickBot="1">
      <c r="A21" s="230">
        <v>13</v>
      </c>
      <c r="B21" s="241">
        <v>41974</v>
      </c>
      <c r="C21" s="242">
        <v>161499740</v>
      </c>
      <c r="D21" s="242">
        <v>7245708</v>
      </c>
      <c r="E21" s="242">
        <v>19412148</v>
      </c>
      <c r="F21" s="250">
        <f t="shared" si="0"/>
        <v>188157596</v>
      </c>
    </row>
    <row r="22" spans="1:6">
      <c r="A22" s="230">
        <v>14</v>
      </c>
      <c r="B22" s="143"/>
      <c r="C22" s="158"/>
      <c r="D22" s="158"/>
      <c r="E22" s="158"/>
      <c r="F22" s="153"/>
    </row>
    <row r="23" spans="1:6" ht="15.75">
      <c r="A23" s="230">
        <v>15</v>
      </c>
      <c r="B23" s="251" t="s">
        <v>9</v>
      </c>
      <c r="C23" s="248">
        <f>SUM(C9:C22)</f>
        <v>2230736239</v>
      </c>
      <c r="D23" s="248">
        <f t="shared" ref="D23:F23" si="1">SUM(D9:D22)</f>
        <v>92448138</v>
      </c>
      <c r="E23" s="248">
        <f t="shared" si="1"/>
        <v>253982605</v>
      </c>
      <c r="F23" s="249">
        <f t="shared" si="1"/>
        <v>2577166982</v>
      </c>
    </row>
    <row r="24" spans="1:6" ht="15.75">
      <c r="A24" s="230">
        <v>16</v>
      </c>
      <c r="B24" s="251" t="s">
        <v>431</v>
      </c>
      <c r="C24" s="248">
        <f>AVERAGE(C9:C21)</f>
        <v>171595095.30769232</v>
      </c>
      <c r="D24" s="252">
        <f t="shared" ref="D24:F24" si="2">AVERAGE(D9:D21)</f>
        <v>7111395.230769231</v>
      </c>
      <c r="E24" s="248">
        <f t="shared" si="2"/>
        <v>19537123.46153846</v>
      </c>
      <c r="F24" s="249">
        <f t="shared" si="2"/>
        <v>198243614</v>
      </c>
    </row>
    <row r="25" spans="1:6">
      <c r="A25" s="219"/>
      <c r="B25" s="225"/>
      <c r="C25" s="198"/>
      <c r="D25" s="198"/>
      <c r="E25" s="198"/>
      <c r="F25" s="226"/>
    </row>
  </sheetData>
  <sheetProtection password="E4A3" sheet="1" objects="1" scenarios="1"/>
  <mergeCells count="1">
    <mergeCell ref="C7:F7"/>
  </mergeCells>
  <pageMargins left="0.7" right="0.7" top="0.75" bottom="0.75" header="0.3" footer="0.3"/>
  <pageSetup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A2" workbookViewId="0">
      <selection activeCell="D23" sqref="D23"/>
    </sheetView>
  </sheetViews>
  <sheetFormatPr defaultRowHeight="15"/>
  <cols>
    <col min="1" max="1" width="6.77734375" customWidth="1"/>
    <col min="2" max="2" width="16.44140625" customWidth="1"/>
    <col min="3" max="3" width="16" bestFit="1" customWidth="1"/>
    <col min="4" max="4" width="16.44140625" customWidth="1"/>
  </cols>
  <sheetData>
    <row r="1" spans="1:4" ht="15.75">
      <c r="A1" s="197" t="s">
        <v>295</v>
      </c>
    </row>
    <row r="2" spans="1:4" ht="15.75">
      <c r="A2" s="197" t="s">
        <v>453</v>
      </c>
    </row>
    <row r="3" spans="1:4" ht="15.75">
      <c r="A3" s="197" t="s">
        <v>643</v>
      </c>
    </row>
    <row r="5" spans="1:4">
      <c r="B5" s="208" t="s">
        <v>432</v>
      </c>
      <c r="C5" s="208" t="s">
        <v>433</v>
      </c>
      <c r="D5" s="208" t="s">
        <v>438</v>
      </c>
    </row>
    <row r="7" spans="1:4" ht="15.75">
      <c r="A7" s="228"/>
      <c r="B7" s="255"/>
      <c r="C7" s="220"/>
      <c r="D7" s="213" t="s">
        <v>455</v>
      </c>
    </row>
    <row r="8" spans="1:4" ht="15.75">
      <c r="A8" s="253" t="s">
        <v>4</v>
      </c>
      <c r="B8" s="251"/>
      <c r="C8" s="254"/>
      <c r="D8" s="256" t="s">
        <v>456</v>
      </c>
    </row>
    <row r="9" spans="1:4" ht="15.75">
      <c r="A9" s="210" t="s">
        <v>6</v>
      </c>
      <c r="B9" s="245" t="s">
        <v>426</v>
      </c>
      <c r="C9" s="215" t="s">
        <v>454</v>
      </c>
      <c r="D9" s="216" t="s">
        <v>457</v>
      </c>
    </row>
    <row r="10" spans="1:4">
      <c r="A10" s="229">
        <v>1</v>
      </c>
      <c r="B10" s="240">
        <v>41609</v>
      </c>
      <c r="C10" s="246">
        <v>0</v>
      </c>
      <c r="D10" s="247">
        <v>18077987</v>
      </c>
    </row>
    <row r="11" spans="1:4">
      <c r="A11" s="230">
        <v>2</v>
      </c>
      <c r="B11" s="241">
        <v>41640</v>
      </c>
      <c r="C11" s="248">
        <f>D11-D10</f>
        <v>7167799</v>
      </c>
      <c r="D11" s="249">
        <v>25245786</v>
      </c>
    </row>
    <row r="12" spans="1:4">
      <c r="A12" s="230">
        <v>3</v>
      </c>
      <c r="B12" s="241">
        <v>41671</v>
      </c>
      <c r="C12" s="248">
        <f t="shared" ref="C12:C22" si="0">D12-D11</f>
        <v>-1150054</v>
      </c>
      <c r="D12" s="249">
        <v>24095732</v>
      </c>
    </row>
    <row r="13" spans="1:4">
      <c r="A13" s="230">
        <v>4</v>
      </c>
      <c r="B13" s="241">
        <v>41699</v>
      </c>
      <c r="C13" s="248">
        <f t="shared" si="0"/>
        <v>-616133</v>
      </c>
      <c r="D13" s="249">
        <v>23479599</v>
      </c>
    </row>
    <row r="14" spans="1:4">
      <c r="A14" s="230">
        <v>5</v>
      </c>
      <c r="B14" s="241">
        <v>41730</v>
      </c>
      <c r="C14" s="248">
        <f t="shared" si="0"/>
        <v>129792</v>
      </c>
      <c r="D14" s="249">
        <v>23609391</v>
      </c>
    </row>
    <row r="15" spans="1:4">
      <c r="A15" s="230">
        <v>6</v>
      </c>
      <c r="B15" s="241">
        <v>41760</v>
      </c>
      <c r="C15" s="248">
        <f t="shared" si="0"/>
        <v>-1179715</v>
      </c>
      <c r="D15" s="249">
        <v>22429676</v>
      </c>
    </row>
    <row r="16" spans="1:4">
      <c r="A16" s="230">
        <v>7</v>
      </c>
      <c r="B16" s="241">
        <v>41791</v>
      </c>
      <c r="C16" s="248">
        <f t="shared" si="0"/>
        <v>-1107940</v>
      </c>
      <c r="D16" s="249">
        <v>21321736</v>
      </c>
    </row>
    <row r="17" spans="1:4">
      <c r="A17" s="230">
        <v>8</v>
      </c>
      <c r="B17" s="241">
        <v>41821</v>
      </c>
      <c r="C17" s="248">
        <f t="shared" si="0"/>
        <v>-1179264</v>
      </c>
      <c r="D17" s="249">
        <v>20142472</v>
      </c>
    </row>
    <row r="18" spans="1:4">
      <c r="A18" s="230">
        <v>9</v>
      </c>
      <c r="B18" s="241">
        <v>41852</v>
      </c>
      <c r="C18" s="248">
        <f t="shared" si="0"/>
        <v>-1179264</v>
      </c>
      <c r="D18" s="249">
        <v>18963208</v>
      </c>
    </row>
    <row r="19" spans="1:4">
      <c r="A19" s="230">
        <v>10</v>
      </c>
      <c r="B19" s="241">
        <v>41883</v>
      </c>
      <c r="C19" s="248">
        <f t="shared" si="0"/>
        <v>-838373</v>
      </c>
      <c r="D19" s="249">
        <v>18124835</v>
      </c>
    </row>
    <row r="20" spans="1:4">
      <c r="A20" s="230">
        <v>11</v>
      </c>
      <c r="B20" s="241">
        <v>41913</v>
      </c>
      <c r="C20" s="248">
        <f t="shared" si="0"/>
        <v>2645363</v>
      </c>
      <c r="D20" s="249">
        <v>20770198</v>
      </c>
    </row>
    <row r="21" spans="1:4">
      <c r="A21" s="230">
        <v>12</v>
      </c>
      <c r="B21" s="241">
        <v>41944</v>
      </c>
      <c r="C21" s="248">
        <f t="shared" si="0"/>
        <v>-1157631</v>
      </c>
      <c r="D21" s="249">
        <v>19612567</v>
      </c>
    </row>
    <row r="22" spans="1:4">
      <c r="A22" s="230">
        <v>13</v>
      </c>
      <c r="B22" s="241">
        <v>41974</v>
      </c>
      <c r="C22" s="248">
        <f t="shared" si="0"/>
        <v>-1692892</v>
      </c>
      <c r="D22" s="249">
        <v>17919675</v>
      </c>
    </row>
    <row r="23" spans="1:4" ht="15.75" thickBot="1">
      <c r="A23" s="230">
        <v>14</v>
      </c>
      <c r="B23" s="143"/>
      <c r="C23" s="158"/>
      <c r="D23" s="257"/>
    </row>
    <row r="24" spans="1:4" ht="15.75">
      <c r="A24" s="230">
        <v>15</v>
      </c>
      <c r="B24" s="251" t="s">
        <v>9</v>
      </c>
      <c r="C24" s="248"/>
      <c r="D24" s="249">
        <f t="shared" ref="D24" si="1">SUM(D10:D23)</f>
        <v>273792862</v>
      </c>
    </row>
    <row r="25" spans="1:4" ht="15.75">
      <c r="A25" s="230">
        <v>16</v>
      </c>
      <c r="B25" s="251" t="s">
        <v>431</v>
      </c>
      <c r="C25" s="248"/>
      <c r="D25" s="258">
        <f>AVERAGE(D10:D22)</f>
        <v>21060989.384615384</v>
      </c>
    </row>
    <row r="26" spans="1:4">
      <c r="A26" s="219"/>
      <c r="B26" s="225"/>
      <c r="C26" s="198"/>
      <c r="D26" s="226"/>
    </row>
  </sheetData>
  <sheetProtection password="E4A3"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vt:i4>
      </vt:variant>
    </vt:vector>
  </HeadingPairs>
  <TitlesOfParts>
    <vt:vector size="31" baseType="lpstr">
      <vt:lpstr>Nonlevelized-IOU</vt:lpstr>
      <vt:lpstr>Plant Balance</vt:lpstr>
      <vt:lpstr>Accum Depr</vt:lpstr>
      <vt:lpstr>CWIP</vt:lpstr>
      <vt:lpstr>ADIT less FAS 109</vt:lpstr>
      <vt:lpstr>ADIT</vt:lpstr>
      <vt:lpstr>AFUDC on CWIP</vt:lpstr>
      <vt:lpstr>Inv Bal</vt:lpstr>
      <vt:lpstr>Prepay</vt:lpstr>
      <vt:lpstr>O&amp;M</vt:lpstr>
      <vt:lpstr>A&amp;G</vt:lpstr>
      <vt:lpstr>Depreciation</vt:lpstr>
      <vt:lpstr>Other Tax</vt:lpstr>
      <vt:lpstr>Amort Inves Tax Credit</vt:lpstr>
      <vt:lpstr>Acct 561</vt:lpstr>
      <vt:lpstr>Acct 565</vt:lpstr>
      <vt:lpstr>FERC Exp &amp; EPRI</vt:lpstr>
      <vt:lpstr>Labor Ratios</vt:lpstr>
      <vt:lpstr>Pref Stock</vt:lpstr>
      <vt:lpstr>Common Equity</vt:lpstr>
      <vt:lpstr>Acct 216.1</vt:lpstr>
      <vt:lpstr>Cost of Debt</vt:lpstr>
      <vt:lpstr>trans for others</vt:lpstr>
      <vt:lpstr>454 rents</vt:lpstr>
      <vt:lpstr>Divisor</vt:lpstr>
      <vt:lpstr>tax</vt:lpstr>
      <vt:lpstr>footnote k tax</vt:lpstr>
      <vt:lpstr>2012 Attach O True-Up</vt:lpstr>
      <vt:lpstr>short term interest</vt:lpstr>
      <vt:lpstr>'Nonlevelized-IOU'!Print_Area</vt:lpstr>
      <vt:lpstr>tax!Print_Area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Newberry, David L</dc:creator>
  <cp:lastModifiedBy>t52348</cp:lastModifiedBy>
  <cp:lastPrinted>2013-12-19T17:34:22Z</cp:lastPrinted>
  <dcterms:created xsi:type="dcterms:W3CDTF">2008-03-20T17:17:47Z</dcterms:created>
  <dcterms:modified xsi:type="dcterms:W3CDTF">2014-01-13T14:58:45Z</dcterms:modified>
</cp:coreProperties>
</file>