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0" windowWidth="15450" windowHeight="11460" tabRatio="846"/>
  </bookViews>
  <sheets>
    <sheet name="Cover Page" sheetId="33" r:id="rId1"/>
    <sheet name="True-Up" sheetId="35" r:id="rId2"/>
    <sheet name="Attachment O" sheetId="37" r:id="rId3"/>
    <sheet name="Notes" sheetId="39" r:id="rId4"/>
    <sheet name="Accounting Changes" sheetId="40" r:id="rId5"/>
    <sheet name="All Generic Att O Filings" sheetId="38" r:id="rId6"/>
    <sheet name="Reconcile FF1 to Plant (1)" sheetId="8" r:id="rId7"/>
    <sheet name="Reconcile FF1 to Comm Plt (1a)" sheetId="3" r:id="rId8"/>
    <sheet name="13 Month Plant (1b)" sheetId="19" r:id="rId9"/>
    <sheet name="Recon FF1 to Acc Res (2)" sheetId="15" r:id="rId10"/>
    <sheet name="Reconcile FF1 to Com Res (2a)" sheetId="4" r:id="rId11"/>
    <sheet name="13 Month Accum Res (2b)" sheetId="20" r:id="rId12"/>
    <sheet name="Adj to RB - Reconcile to F1 (3)" sheetId="17" r:id="rId13"/>
    <sheet name="Avg Adjustments to RB (3a)" sheetId="22" r:id="rId14"/>
    <sheet name="Materials &amp; Supplies (4)" sheetId="34" r:id="rId15"/>
    <sheet name="Prepayments (5)" sheetId="24" r:id="rId16"/>
    <sheet name="Transmission O&amp;M (6)" sheetId="7" r:id="rId17"/>
    <sheet name="A&amp;G (7)" sheetId="10" r:id="rId18"/>
    <sheet name="Reg Com &amp; NonSafety Ad Exp (8)" sheetId="11" r:id="rId19"/>
    <sheet name="Other O&amp;M Expenses (9)" sheetId="12" r:id="rId20"/>
    <sheet name="Production Related Trans (10)" sheetId="13" r:id="rId21"/>
    <sheet name="Acct 456.1 (11)" sheetId="16" r:id="rId22"/>
    <sheet name="Wages &amp; Salary (12)" sheetId="25" r:id="rId23"/>
    <sheet name="Common Plant Allocator (13)" sheetId="26" r:id="rId24"/>
    <sheet name="SIT Calculation (14)" sheetId="29" r:id="rId25"/>
    <sheet name="CWIP 13 Month Balances (15)" sheetId="30" r:id="rId26"/>
    <sheet name="Cap Structure 2013 (16)" sheetId="31" r:id="rId27"/>
    <sheet name="Acct 454 (17)" sheetId="32" r:id="rId28"/>
    <sheet name="12 Coincident Peaks (18)" sheetId="36" r:id="rId29"/>
  </sheets>
  <definedNames>
    <definedName name="_xlnm.Print_Area" localSheetId="11">'13 Month Accum Res (2b)'!$A:$Q</definedName>
    <definedName name="_xlnm.Print_Area" localSheetId="8">'13 Month Plant (1b)'!$A:$Q</definedName>
    <definedName name="_xlnm.Print_Area" localSheetId="17">'A&amp;G (7)'!$A$1:$I$27</definedName>
    <definedName name="_xlnm.Print_Area" localSheetId="27">'Acct 454 (17)'!$A$1:$E$20</definedName>
    <definedName name="_xlnm.Print_Area" localSheetId="21">'Acct 456.1 (11)'!$A$1:$H$41</definedName>
    <definedName name="_xlnm.Print_Area" localSheetId="12">'Adj to RB - Reconcile to F1 (3)'!$A$1:$O$68</definedName>
    <definedName name="_xlnm.Print_Area" localSheetId="2">'Attachment O'!$A:$N</definedName>
    <definedName name="_xlnm.Print_Area" localSheetId="13">'Avg Adjustments to RB (3a)'!$A$1:$G$18</definedName>
    <definedName name="_xlnm.Print_Area" localSheetId="26">'Cap Structure 2013 (16)'!$A$1:$M$27</definedName>
    <definedName name="_xlnm.Print_Area" localSheetId="23">'Common Plant Allocator (13)'!$A$1:$J$16</definedName>
    <definedName name="_xlnm.Print_Area" localSheetId="0">'Cover Page'!$A$1:$I$35</definedName>
    <definedName name="_xlnm.Print_Area" localSheetId="25">'CWIP 13 Month Balances (15)'!$A$1:$D$28</definedName>
    <definedName name="_xlnm.Print_Area" localSheetId="14">'Materials &amp; Supplies (4)'!$A$1:$J$40</definedName>
    <definedName name="_xlnm.Print_Area" localSheetId="19">'Other O&amp;M Expenses (9)'!$A$1:$L$41</definedName>
    <definedName name="_xlnm.Print_Area" localSheetId="15">'Prepayments (5)'!$A$1:$R$25</definedName>
    <definedName name="_xlnm.Print_Area" localSheetId="20">'Production Related Trans (10)'!$A$1:$D$61</definedName>
    <definedName name="_xlnm.Print_Area" localSheetId="9">'Recon FF1 to Acc Res (2)'!$A$1:$I$25</definedName>
    <definedName name="_xlnm.Print_Area" localSheetId="10">'Reconcile FF1 to Com Res (2a)'!$A$1:$Q$32</definedName>
    <definedName name="_xlnm.Print_Area" localSheetId="7">'Reconcile FF1 to Comm Plt (1a)'!$A$1:$Q$24</definedName>
    <definedName name="_xlnm.Print_Area" localSheetId="6">'Reconcile FF1 to Plant (1)'!$A$1:$L$40</definedName>
    <definedName name="_xlnm.Print_Area" localSheetId="18">'Reg Com &amp; NonSafety Ad Exp (8)'!$A$1:$D$46</definedName>
    <definedName name="_xlnm.Print_Area" localSheetId="24">'SIT Calculation (14)'!$A$1:$O$32</definedName>
    <definedName name="_xlnm.Print_Area" localSheetId="16">'Transmission O&amp;M (6)'!$A$1:$I$57</definedName>
    <definedName name="_xlnm.Print_Area" localSheetId="22">'Wages &amp; Salary (12)'!$A$1:$J$19</definedName>
    <definedName name="_xlnm.Print_Titles" localSheetId="11">'13 Month Accum Res (2b)'!$A:$D,'13 Month Accum Res (2b)'!$1:$10</definedName>
    <definedName name="_xlnm.Print_Titles" localSheetId="8">'13 Month Plant (1b)'!$A:$D,'13 Month Plant (1b)'!$1:$10</definedName>
    <definedName name="_xlnm.Print_Titles" localSheetId="5">'All Generic Att O Filings'!$1:$4</definedName>
    <definedName name="_xlnm.Print_Titles" localSheetId="15">'Prepayments (5)'!$A:$C,'Prepayments (5)'!$3:$10</definedName>
    <definedName name="_xlnm.Print_Titles" localSheetId="20">'Production Related Trans (10)'!$1:$7</definedName>
    <definedName name="Reconciliation">'Reg Com &amp; NonSafety Ad Exp (8)'!#REF!</definedName>
    <definedName name="Workpaper">'Reg Com &amp; NonSafety Ad Exp (8)'!$A$1:$D$46</definedName>
  </definedNames>
  <calcPr calcId="145621"/>
</workbook>
</file>

<file path=xl/calcChain.xml><?xml version="1.0" encoding="utf-8"?>
<calcChain xmlns="http://schemas.openxmlformats.org/spreadsheetml/2006/main">
  <c r="E34" i="35" l="1"/>
  <c r="E390" i="37" l="1"/>
  <c r="E392" i="37" s="1"/>
  <c r="J25" i="37" s="1"/>
  <c r="E320" i="37"/>
  <c r="J317" i="37"/>
  <c r="J310" i="37"/>
  <c r="J301" i="37"/>
  <c r="H291" i="37"/>
  <c r="H290" i="37"/>
  <c r="J285" i="37"/>
  <c r="J287" i="37" s="1"/>
  <c r="E292" i="37" s="1"/>
  <c r="E293" i="37" s="1"/>
  <c r="J284" i="37"/>
  <c r="J279" i="37"/>
  <c r="E276" i="37"/>
  <c r="H274" i="37" s="1"/>
  <c r="J272" i="37"/>
  <c r="E269" i="37"/>
  <c r="H268" i="37"/>
  <c r="H267" i="37"/>
  <c r="H265" i="37"/>
  <c r="N264" i="37"/>
  <c r="N263" i="37"/>
  <c r="N258" i="37"/>
  <c r="J255" i="37"/>
  <c r="J257" i="37" s="1"/>
  <c r="J259" i="37" s="1"/>
  <c r="J251" i="37"/>
  <c r="F266" i="37" s="1"/>
  <c r="H266" i="37" s="1"/>
  <c r="J249" i="37"/>
  <c r="J246" i="37"/>
  <c r="E241" i="37"/>
  <c r="J238" i="37"/>
  <c r="J224" i="37"/>
  <c r="J220" i="37"/>
  <c r="E207" i="37"/>
  <c r="E211" i="37" s="1"/>
  <c r="E203" i="37"/>
  <c r="E199" i="37"/>
  <c r="G197" i="37"/>
  <c r="D197" i="37"/>
  <c r="G193" i="37"/>
  <c r="D193" i="37"/>
  <c r="E188" i="37"/>
  <c r="C187" i="37"/>
  <c r="J185" i="37"/>
  <c r="C184" i="37"/>
  <c r="E181" i="37"/>
  <c r="J180" i="37"/>
  <c r="D179" i="37"/>
  <c r="G178" i="37"/>
  <c r="G176" i="37"/>
  <c r="G177" i="37" s="1"/>
  <c r="J173" i="37"/>
  <c r="E165" i="37"/>
  <c r="J162" i="37"/>
  <c r="E131" i="37"/>
  <c r="E134" i="37" s="1"/>
  <c r="G128" i="37"/>
  <c r="E126" i="37"/>
  <c r="J125" i="37"/>
  <c r="G122" i="37"/>
  <c r="G119" i="37"/>
  <c r="G196" i="37" s="1"/>
  <c r="J116" i="37"/>
  <c r="E112" i="37"/>
  <c r="E110" i="37"/>
  <c r="C110" i="37"/>
  <c r="E109" i="37"/>
  <c r="E108" i="37"/>
  <c r="G104" i="37"/>
  <c r="C104" i="37"/>
  <c r="C112" i="37" s="1"/>
  <c r="G103" i="37"/>
  <c r="E103" i="37"/>
  <c r="E105" i="37" s="1"/>
  <c r="C103" i="37"/>
  <c r="C111" i="37" s="1"/>
  <c r="H102" i="37"/>
  <c r="G102" i="37"/>
  <c r="C102" i="37"/>
  <c r="G101" i="37"/>
  <c r="C101" i="37"/>
  <c r="C109" i="37" s="1"/>
  <c r="H100" i="37"/>
  <c r="G100" i="37"/>
  <c r="C100" i="37"/>
  <c r="C108" i="37" s="1"/>
  <c r="E95" i="37"/>
  <c r="E111" i="37" s="1"/>
  <c r="H93" i="37"/>
  <c r="H101" i="37" s="1"/>
  <c r="E85" i="37"/>
  <c r="J82" i="37"/>
  <c r="J51" i="37"/>
  <c r="J50" i="37"/>
  <c r="J39" i="37"/>
  <c r="J24" i="37"/>
  <c r="G19" i="37"/>
  <c r="G18" i="37"/>
  <c r="G17" i="37"/>
  <c r="E17" i="37"/>
  <c r="E16" i="37"/>
  <c r="H128" i="37" l="1"/>
  <c r="J101" i="37"/>
  <c r="H269" i="37"/>
  <c r="J269" i="37" s="1"/>
  <c r="F290" i="37"/>
  <c r="J290" i="37" s="1"/>
  <c r="F292" i="37"/>
  <c r="J292" i="37" s="1"/>
  <c r="F291" i="37"/>
  <c r="J291" i="37" s="1"/>
  <c r="E113" i="37"/>
  <c r="E136" i="37" s="1"/>
  <c r="J93" i="37"/>
  <c r="J260" i="37"/>
  <c r="J261" i="37" s="1"/>
  <c r="H16" i="37"/>
  <c r="E97" i="37"/>
  <c r="D22" i="36"/>
  <c r="E14" i="35"/>
  <c r="E16" i="35" s="1"/>
  <c r="E20" i="35" s="1"/>
  <c r="E9" i="35"/>
  <c r="E19" i="35" s="1"/>
  <c r="J109" i="37" l="1"/>
  <c r="H184" i="37"/>
  <c r="J184" i="37" s="1"/>
  <c r="J128" i="37"/>
  <c r="J293" i="37"/>
  <c r="J16" i="37"/>
  <c r="H17" i="37"/>
  <c r="J274" i="37"/>
  <c r="L274" i="37" s="1"/>
  <c r="H96" i="37" s="1"/>
  <c r="H95" i="37"/>
  <c r="H132" i="37"/>
  <c r="J132" i="37" s="1"/>
  <c r="H172" i="37"/>
  <c r="E21" i="35"/>
  <c r="E27" i="35" s="1"/>
  <c r="F37" i="34"/>
  <c r="J36" i="34"/>
  <c r="F35" i="34"/>
  <c r="J34" i="34"/>
  <c r="F33" i="34"/>
  <c r="J32" i="34"/>
  <c r="F31" i="34"/>
  <c r="J30" i="34"/>
  <c r="F29" i="34"/>
  <c r="J28" i="34"/>
  <c r="F27" i="34"/>
  <c r="J26" i="34"/>
  <c r="H20" i="34"/>
  <c r="J19" i="34"/>
  <c r="J18" i="34"/>
  <c r="F36" i="34" s="1"/>
  <c r="J17" i="34"/>
  <c r="J20" i="34" s="1"/>
  <c r="J16" i="34"/>
  <c r="D16" i="34"/>
  <c r="D20" i="34" s="1"/>
  <c r="H14" i="34"/>
  <c r="D13" i="34"/>
  <c r="D14" i="34" s="1"/>
  <c r="H103" i="37" l="1"/>
  <c r="J95" i="37"/>
  <c r="E204" i="37"/>
  <c r="E214" i="37"/>
  <c r="J96" i="37"/>
  <c r="H104" i="37"/>
  <c r="H178" i="37"/>
  <c r="J178" i="37" s="1"/>
  <c r="J172" i="37"/>
  <c r="H174" i="37"/>
  <c r="J174" i="37" s="1"/>
  <c r="H18" i="37"/>
  <c r="J17" i="37"/>
  <c r="F19" i="34"/>
  <c r="F17" i="34"/>
  <c r="F18" i="34"/>
  <c r="F16" i="34"/>
  <c r="F20" i="34" s="1"/>
  <c r="J27" i="34"/>
  <c r="J29" i="34"/>
  <c r="J31" i="34"/>
  <c r="J33" i="34"/>
  <c r="J35" i="34"/>
  <c r="J37" i="34"/>
  <c r="F26" i="34"/>
  <c r="F28" i="34"/>
  <c r="F30" i="34"/>
  <c r="F32" i="34"/>
  <c r="F34" i="34"/>
  <c r="H175" i="37" l="1"/>
  <c r="J103" i="37"/>
  <c r="H19" i="37"/>
  <c r="J19" i="37" s="1"/>
  <c r="J20" i="37" s="1"/>
  <c r="J18" i="37"/>
  <c r="H179" i="37"/>
  <c r="J104" i="37"/>
  <c r="J112" i="37" s="1"/>
  <c r="E210" i="37"/>
  <c r="E212" i="37" s="1"/>
  <c r="E217" i="37" s="1"/>
  <c r="E225" i="37" s="1"/>
  <c r="J111" i="37"/>
  <c r="J97" i="37"/>
  <c r="H97" i="37" s="1"/>
  <c r="J25" i="34"/>
  <c r="J38" i="34" s="1"/>
  <c r="F25" i="34"/>
  <c r="J113" i="37" l="1"/>
  <c r="H113" i="37" s="1"/>
  <c r="J105" i="37"/>
  <c r="J179" i="37"/>
  <c r="H187" i="37"/>
  <c r="J187" i="37" s="1"/>
  <c r="H186" i="37"/>
  <c r="J175" i="37"/>
  <c r="H176" i="37"/>
  <c r="H133" i="37"/>
  <c r="J133" i="37" s="1"/>
  <c r="H195" i="37"/>
  <c r="I56" i="17"/>
  <c r="K56" i="17" s="1"/>
  <c r="M56" i="17"/>
  <c r="M58" i="17"/>
  <c r="K57" i="17"/>
  <c r="O57" i="17" s="1"/>
  <c r="K52" i="17"/>
  <c r="O52" i="17" s="1"/>
  <c r="M51" i="17"/>
  <c r="K65" i="17"/>
  <c r="O65" i="17" s="1"/>
  <c r="M63" i="17"/>
  <c r="O62" i="17"/>
  <c r="K61" i="17"/>
  <c r="M53" i="17"/>
  <c r="K51" i="17"/>
  <c r="O51" i="17" s="1"/>
  <c r="K48" i="17"/>
  <c r="O48" i="17" s="1"/>
  <c r="J176" i="37" l="1"/>
  <c r="H177" i="37"/>
  <c r="J177" i="37" s="1"/>
  <c r="J181" i="37"/>
  <c r="J131" i="37" s="1"/>
  <c r="J134" i="37" s="1"/>
  <c r="H198" i="37"/>
  <c r="J198" i="37" s="1"/>
  <c r="H197" i="37"/>
  <c r="J197" i="37" s="1"/>
  <c r="J195" i="37"/>
  <c r="J186" i="37"/>
  <c r="J188" i="37" s="1"/>
  <c r="H192" i="37"/>
  <c r="H211" i="37"/>
  <c r="J211" i="37" s="1"/>
  <c r="H120" i="37"/>
  <c r="K58" i="17"/>
  <c r="O53" i="17"/>
  <c r="K53" i="17"/>
  <c r="O61" i="17"/>
  <c r="O63" i="17" s="1"/>
  <c r="K63" i="17"/>
  <c r="O56" i="17"/>
  <c r="O58" i="17" s="1"/>
  <c r="J120" i="37" l="1"/>
  <c r="H121" i="37"/>
  <c r="J192" i="37"/>
  <c r="H193" i="37"/>
  <c r="J193" i="37" s="1"/>
  <c r="E13" i="32"/>
  <c r="E17" i="32" s="1"/>
  <c r="J199" i="37" l="1"/>
  <c r="H122" i="37"/>
  <c r="J122" i="37" s="1"/>
  <c r="H123" i="37"/>
  <c r="J123" i="37" s="1"/>
  <c r="J121" i="37"/>
  <c r="J126" i="37"/>
  <c r="J136" i="37" s="1"/>
  <c r="J214" i="37" s="1"/>
  <c r="M23" i="31"/>
  <c r="K23" i="31"/>
  <c r="I23" i="31"/>
  <c r="G23" i="31"/>
  <c r="E21" i="31"/>
  <c r="C21" i="31"/>
  <c r="J217" i="37" l="1"/>
  <c r="J225" i="37" s="1"/>
  <c r="J12" i="37" s="1"/>
  <c r="J28" i="37" s="1"/>
  <c r="E41" i="37" s="1"/>
  <c r="J210" i="37"/>
  <c r="J212" i="37" s="1"/>
  <c r="D26" i="30"/>
  <c r="E48" i="37" l="1"/>
  <c r="E46" i="37"/>
  <c r="E47" i="37"/>
  <c r="J48" i="37"/>
  <c r="J46" i="37"/>
  <c r="J47" i="37"/>
  <c r="E42" i="37"/>
  <c r="D18" i="29"/>
  <c r="D17" i="29"/>
  <c r="D16" i="29"/>
  <c r="D19" i="29" s="1"/>
  <c r="H31" i="29" s="1"/>
  <c r="G14" i="15" l="1"/>
  <c r="G19" i="15" s="1"/>
  <c r="E14" i="15"/>
  <c r="E19" i="15" s="1"/>
  <c r="H13" i="26" l="1"/>
  <c r="J13" i="26" s="1"/>
  <c r="H12" i="26"/>
  <c r="J12" i="26" s="1"/>
  <c r="F14" i="26"/>
  <c r="J14" i="26" l="1"/>
  <c r="H14" i="26"/>
  <c r="C39" i="19"/>
  <c r="C38" i="19"/>
  <c r="C36" i="19"/>
  <c r="C35" i="19"/>
  <c r="C31" i="19"/>
  <c r="C30" i="19"/>
  <c r="C29" i="19"/>
  <c r="C28" i="19"/>
  <c r="Q27" i="19"/>
  <c r="S52" i="20" l="1"/>
  <c r="S58" i="20"/>
  <c r="S57" i="20"/>
  <c r="S56" i="20"/>
  <c r="S55" i="20"/>
  <c r="S54" i="20"/>
  <c r="S53" i="20"/>
  <c r="S51" i="20"/>
  <c r="A6" i="26" l="1"/>
  <c r="F18" i="25" l="1"/>
  <c r="H18" i="25"/>
  <c r="J12" i="25"/>
  <c r="J13" i="25"/>
  <c r="J15" i="25"/>
  <c r="J16" i="25"/>
  <c r="J17" i="25"/>
  <c r="J11" i="25"/>
  <c r="J18" i="25" l="1"/>
  <c r="A6" i="25"/>
  <c r="F59" i="20" l="1"/>
  <c r="G59" i="20"/>
  <c r="H59" i="20"/>
  <c r="J59" i="20"/>
  <c r="K59" i="20"/>
  <c r="L59" i="20"/>
  <c r="M59" i="20"/>
  <c r="N59" i="20"/>
  <c r="O59" i="20"/>
  <c r="P59" i="20"/>
  <c r="Q59" i="20"/>
  <c r="E59" i="20"/>
  <c r="S22" i="20" l="1"/>
  <c r="Q24" i="20"/>
  <c r="Q26" i="20" s="1"/>
  <c r="P24" i="20"/>
  <c r="O24" i="20"/>
  <c r="N24" i="20"/>
  <c r="N26" i="20" s="1"/>
  <c r="M24" i="20"/>
  <c r="M26" i="20" s="1"/>
  <c r="L24" i="20"/>
  <c r="L26" i="20" s="1"/>
  <c r="K24" i="20"/>
  <c r="K26" i="20" s="1"/>
  <c r="J24" i="20"/>
  <c r="J26" i="20" s="1"/>
  <c r="I24" i="20"/>
  <c r="I26" i="20" s="1"/>
  <c r="H24" i="20"/>
  <c r="H26" i="20" s="1"/>
  <c r="G24" i="20"/>
  <c r="G26" i="20" s="1"/>
  <c r="F24" i="20"/>
  <c r="F26" i="20" s="1"/>
  <c r="E24" i="20"/>
  <c r="E26" i="20" s="1"/>
  <c r="C22" i="20"/>
  <c r="P26" i="20"/>
  <c r="O26" i="20"/>
  <c r="C23" i="20"/>
  <c r="C25" i="19" l="1"/>
  <c r="Q32" i="20"/>
  <c r="D39" i="11" l="1"/>
  <c r="D40" i="11" l="1"/>
  <c r="G22" i="24" l="1"/>
  <c r="L22" i="24"/>
  <c r="K22" i="24"/>
  <c r="J22" i="24"/>
  <c r="I22" i="24"/>
  <c r="H22" i="24"/>
  <c r="D42" i="11" l="1"/>
  <c r="M22" i="24"/>
  <c r="N22" i="24"/>
  <c r="O22" i="24"/>
  <c r="P22" i="24"/>
  <c r="Q22" i="24"/>
  <c r="R22" i="24"/>
  <c r="F22" i="24"/>
  <c r="B18" i="24"/>
  <c r="A18" i="24"/>
  <c r="R15" i="24"/>
  <c r="R24" i="24" s="1"/>
  <c r="Q15" i="24"/>
  <c r="P15" i="24"/>
  <c r="O15" i="24"/>
  <c r="N15" i="24"/>
  <c r="N24" i="24" s="1"/>
  <c r="M15" i="24"/>
  <c r="L15" i="24"/>
  <c r="L24" i="24" s="1"/>
  <c r="K15" i="24"/>
  <c r="K24" i="24" s="1"/>
  <c r="J15" i="24"/>
  <c r="J24" i="24" s="1"/>
  <c r="I15" i="24"/>
  <c r="I24" i="24" s="1"/>
  <c r="H15" i="24"/>
  <c r="H24" i="24" s="1"/>
  <c r="G15" i="24"/>
  <c r="G24" i="24" s="1"/>
  <c r="F15" i="24"/>
  <c r="F24" i="24" s="1"/>
  <c r="M24" i="24" l="1"/>
  <c r="D24" i="24" s="1"/>
  <c r="Q24" i="24"/>
  <c r="O24" i="24"/>
  <c r="P24" i="24"/>
  <c r="G16" i="22" l="1"/>
  <c r="G14" i="22"/>
  <c r="G12" i="22"/>
  <c r="Q45" i="20" l="1"/>
  <c r="P45" i="20"/>
  <c r="O45" i="20"/>
  <c r="N45" i="20"/>
  <c r="M45" i="20"/>
  <c r="L45" i="20"/>
  <c r="K45" i="20"/>
  <c r="J45" i="20"/>
  <c r="I45" i="20"/>
  <c r="I59" i="20" s="1"/>
  <c r="H45" i="20"/>
  <c r="G45" i="20"/>
  <c r="F45" i="20"/>
  <c r="E45" i="20"/>
  <c r="C44" i="20"/>
  <c r="C43" i="20"/>
  <c r="C41" i="20"/>
  <c r="C40" i="20"/>
  <c r="F40" i="19"/>
  <c r="F54" i="19" s="1"/>
  <c r="G40" i="19"/>
  <c r="G54" i="19" s="1"/>
  <c r="H40" i="19"/>
  <c r="I40" i="19"/>
  <c r="J40" i="19"/>
  <c r="J54" i="19" s="1"/>
  <c r="K40" i="19"/>
  <c r="K54" i="19" s="1"/>
  <c r="L40" i="19"/>
  <c r="M40" i="19"/>
  <c r="M54" i="19" s="1"/>
  <c r="N40" i="19"/>
  <c r="N54" i="19" s="1"/>
  <c r="O40" i="19"/>
  <c r="O54" i="19" s="1"/>
  <c r="P40" i="19"/>
  <c r="Q40" i="19"/>
  <c r="Q54" i="19" s="1"/>
  <c r="E40" i="19"/>
  <c r="C40" i="19" l="1"/>
  <c r="I54" i="19"/>
  <c r="E54" i="19"/>
  <c r="P54" i="19"/>
  <c r="L54" i="19"/>
  <c r="H54" i="19"/>
  <c r="C45" i="20"/>
  <c r="G16" i="8"/>
  <c r="I16" i="8"/>
  <c r="I22" i="8" s="1"/>
  <c r="K17" i="8"/>
  <c r="K18" i="8"/>
  <c r="K19" i="8"/>
  <c r="K20" i="8"/>
  <c r="K21" i="8"/>
  <c r="G25" i="8"/>
  <c r="G28" i="8" s="1"/>
  <c r="K31" i="8"/>
  <c r="K32" i="8"/>
  <c r="K33" i="8"/>
  <c r="C54" i="19" l="1"/>
  <c r="S54" i="19" s="1"/>
  <c r="K16" i="8"/>
  <c r="K22" i="8" s="1"/>
  <c r="G34" i="8"/>
  <c r="G22" i="8"/>
  <c r="Q57" i="20"/>
  <c r="P57" i="20"/>
  <c r="O57" i="20"/>
  <c r="N57" i="20"/>
  <c r="M57" i="20"/>
  <c r="L57" i="20"/>
  <c r="K57" i="20"/>
  <c r="J57" i="20"/>
  <c r="I57" i="20"/>
  <c r="H57" i="20"/>
  <c r="G57" i="20"/>
  <c r="F57" i="20"/>
  <c r="E57" i="20"/>
  <c r="Q56" i="20"/>
  <c r="P56" i="20"/>
  <c r="O56" i="20"/>
  <c r="N56" i="20"/>
  <c r="M56" i="20"/>
  <c r="L56" i="20"/>
  <c r="K56" i="20"/>
  <c r="J56" i="20"/>
  <c r="I56" i="20"/>
  <c r="H56" i="20"/>
  <c r="G56" i="20"/>
  <c r="F56" i="20"/>
  <c r="E56" i="20"/>
  <c r="Q55" i="20"/>
  <c r="P55" i="20"/>
  <c r="O55" i="20"/>
  <c r="N55" i="20"/>
  <c r="M55" i="20"/>
  <c r="L55" i="20"/>
  <c r="K55" i="20"/>
  <c r="J55" i="20"/>
  <c r="I55" i="20"/>
  <c r="H55" i="20"/>
  <c r="G55" i="20"/>
  <c r="F55" i="20"/>
  <c r="E55" i="20"/>
  <c r="Q54" i="20"/>
  <c r="P54" i="20"/>
  <c r="O54" i="20"/>
  <c r="N54" i="20"/>
  <c r="M54" i="20"/>
  <c r="L54" i="20"/>
  <c r="K54" i="20"/>
  <c r="J54" i="20"/>
  <c r="I54" i="20"/>
  <c r="H54" i="20"/>
  <c r="G54" i="20"/>
  <c r="F54" i="20"/>
  <c r="E54" i="20"/>
  <c r="Q52" i="20"/>
  <c r="P52" i="20"/>
  <c r="O52" i="20"/>
  <c r="N52" i="20"/>
  <c r="M52" i="20"/>
  <c r="L52" i="20"/>
  <c r="K52" i="20"/>
  <c r="J52" i="20"/>
  <c r="I52" i="20"/>
  <c r="H52" i="20"/>
  <c r="G52" i="20"/>
  <c r="F52" i="20"/>
  <c r="E52" i="20"/>
  <c r="Q51" i="20"/>
  <c r="Q53" i="20" s="1"/>
  <c r="P51" i="20"/>
  <c r="O51" i="20"/>
  <c r="N51" i="20"/>
  <c r="M51" i="20"/>
  <c r="M53" i="20" s="1"/>
  <c r="L51" i="20"/>
  <c r="K51" i="20"/>
  <c r="J51" i="20"/>
  <c r="I51" i="20"/>
  <c r="I53" i="20" s="1"/>
  <c r="H51" i="20"/>
  <c r="G51" i="20"/>
  <c r="F51" i="20"/>
  <c r="E51" i="20"/>
  <c r="E53" i="20" s="1"/>
  <c r="C36" i="20"/>
  <c r="C35" i="20"/>
  <c r="C34" i="20"/>
  <c r="C33" i="20"/>
  <c r="Q37" i="20"/>
  <c r="Q47" i="20" s="1"/>
  <c r="P32" i="20"/>
  <c r="P37" i="20" s="1"/>
  <c r="P47" i="20" s="1"/>
  <c r="O32" i="20"/>
  <c r="O37" i="20" s="1"/>
  <c r="O47" i="20" s="1"/>
  <c r="N32" i="20"/>
  <c r="N37" i="20" s="1"/>
  <c r="N47" i="20" s="1"/>
  <c r="M32" i="20"/>
  <c r="M37" i="20" s="1"/>
  <c r="M47" i="20" s="1"/>
  <c r="L32" i="20"/>
  <c r="L37" i="20" s="1"/>
  <c r="L47" i="20" s="1"/>
  <c r="K32" i="20"/>
  <c r="K37" i="20" s="1"/>
  <c r="K47" i="20" s="1"/>
  <c r="J32" i="20"/>
  <c r="J37" i="20" s="1"/>
  <c r="J47" i="20" s="1"/>
  <c r="I32" i="20"/>
  <c r="I37" i="20" s="1"/>
  <c r="I47" i="20" s="1"/>
  <c r="H32" i="20"/>
  <c r="H37" i="20" s="1"/>
  <c r="H47" i="20" s="1"/>
  <c r="G32" i="20"/>
  <c r="G37" i="20" s="1"/>
  <c r="G47" i="20" s="1"/>
  <c r="F32" i="20"/>
  <c r="F37" i="20" s="1"/>
  <c r="F47" i="20" s="1"/>
  <c r="E32" i="20"/>
  <c r="E37" i="20" s="1"/>
  <c r="E47" i="20" s="1"/>
  <c r="C30" i="20"/>
  <c r="C32" i="20" s="1"/>
  <c r="C21" i="20"/>
  <c r="C24" i="20" s="1"/>
  <c r="C18" i="20"/>
  <c r="S18" i="20" s="1"/>
  <c r="C17" i="20"/>
  <c r="S17" i="20" s="1"/>
  <c r="C16" i="20"/>
  <c r="S16" i="20" s="1"/>
  <c r="C15" i="20"/>
  <c r="S15" i="20" s="1"/>
  <c r="Q14" i="20"/>
  <c r="P14" i="20"/>
  <c r="P19" i="20" s="1"/>
  <c r="O14" i="20"/>
  <c r="O19" i="20" s="1"/>
  <c r="N14" i="20"/>
  <c r="N19" i="20" s="1"/>
  <c r="M14" i="20"/>
  <c r="M19" i="20" s="1"/>
  <c r="L14" i="20"/>
  <c r="L19" i="20" s="1"/>
  <c r="K14" i="20"/>
  <c r="K19" i="20" s="1"/>
  <c r="J14" i="20"/>
  <c r="J19" i="20" s="1"/>
  <c r="I14" i="20"/>
  <c r="I19" i="20" s="1"/>
  <c r="H14" i="20"/>
  <c r="H19" i="20" s="1"/>
  <c r="G14" i="20"/>
  <c r="G19" i="20" s="1"/>
  <c r="F14" i="20"/>
  <c r="F19" i="20" s="1"/>
  <c r="E14" i="20"/>
  <c r="E19" i="20" s="1"/>
  <c r="C13" i="20"/>
  <c r="S13" i="20" s="1"/>
  <c r="C12" i="20"/>
  <c r="S12" i="20" s="1"/>
  <c r="C20" i="19"/>
  <c r="S20" i="19" s="1"/>
  <c r="S21" i="20" l="1"/>
  <c r="Q19" i="20"/>
  <c r="C37" i="20"/>
  <c r="C56" i="20"/>
  <c r="C14" i="20"/>
  <c r="C19" i="20" s="1"/>
  <c r="C26" i="20" s="1"/>
  <c r="F53" i="20"/>
  <c r="J53" i="20"/>
  <c r="J58" i="20" s="1"/>
  <c r="J60" i="20" s="1"/>
  <c r="N53" i="20"/>
  <c r="K53" i="20"/>
  <c r="K58" i="20" s="1"/>
  <c r="K60" i="20" s="1"/>
  <c r="O53" i="20"/>
  <c r="O58" i="20" s="1"/>
  <c r="O60" i="20" s="1"/>
  <c r="C47" i="20"/>
  <c r="E58" i="20"/>
  <c r="E60" i="20" s="1"/>
  <c r="I58" i="20"/>
  <c r="I60" i="20" s="1"/>
  <c r="M58" i="20"/>
  <c r="M60" i="20" s="1"/>
  <c r="Q58" i="20"/>
  <c r="Q60" i="20" s="1"/>
  <c r="C59" i="20"/>
  <c r="S59" i="20" s="1"/>
  <c r="C57" i="20"/>
  <c r="F58" i="20"/>
  <c r="F60" i="20" s="1"/>
  <c r="N58" i="20"/>
  <c r="N60" i="20" s="1"/>
  <c r="C55" i="20"/>
  <c r="C54" i="20"/>
  <c r="H53" i="20"/>
  <c r="H58" i="20" s="1"/>
  <c r="H60" i="20" s="1"/>
  <c r="L53" i="20"/>
  <c r="L58" i="20" s="1"/>
  <c r="L60" i="20" s="1"/>
  <c r="P53" i="20"/>
  <c r="P58" i="20" s="1"/>
  <c r="P60" i="20" s="1"/>
  <c r="C52" i="20"/>
  <c r="C51" i="20"/>
  <c r="G53" i="20"/>
  <c r="G58" i="20" s="1"/>
  <c r="G60" i="20" s="1"/>
  <c r="F49" i="19"/>
  <c r="G49" i="19"/>
  <c r="H49" i="19"/>
  <c r="I49" i="19"/>
  <c r="J49" i="19"/>
  <c r="K49" i="19"/>
  <c r="L49" i="19"/>
  <c r="M49" i="19"/>
  <c r="N49" i="19"/>
  <c r="O49" i="19"/>
  <c r="P49" i="19"/>
  <c r="Q49" i="19"/>
  <c r="F50" i="19"/>
  <c r="G50" i="19"/>
  <c r="H50" i="19"/>
  <c r="I50" i="19"/>
  <c r="J50" i="19"/>
  <c r="K50" i="19"/>
  <c r="L50" i="19"/>
  <c r="M50" i="19"/>
  <c r="N50" i="19"/>
  <c r="O50" i="19"/>
  <c r="P50" i="19"/>
  <c r="Q50" i="19"/>
  <c r="F51" i="19"/>
  <c r="G51" i="19"/>
  <c r="H51" i="19"/>
  <c r="I51" i="19"/>
  <c r="J51" i="19"/>
  <c r="K51" i="19"/>
  <c r="L51" i="19"/>
  <c r="M51" i="19"/>
  <c r="N51" i="19"/>
  <c r="O51" i="19"/>
  <c r="P51" i="19"/>
  <c r="Q51" i="19"/>
  <c r="F52" i="19"/>
  <c r="G52" i="19"/>
  <c r="H52" i="19"/>
  <c r="I52" i="19"/>
  <c r="J52" i="19"/>
  <c r="K52" i="19"/>
  <c r="L52" i="19"/>
  <c r="M52" i="19"/>
  <c r="N52" i="19"/>
  <c r="O52" i="19"/>
  <c r="P52" i="19"/>
  <c r="Q52" i="19"/>
  <c r="E50" i="19"/>
  <c r="E51" i="19"/>
  <c r="E52" i="19"/>
  <c r="E49" i="19"/>
  <c r="E46" i="19"/>
  <c r="F46" i="19"/>
  <c r="G46" i="19"/>
  <c r="H46" i="19"/>
  <c r="I46" i="19"/>
  <c r="J46" i="19"/>
  <c r="K46" i="19"/>
  <c r="L46" i="19"/>
  <c r="M46" i="19"/>
  <c r="N46" i="19"/>
  <c r="O46" i="19"/>
  <c r="P46" i="19"/>
  <c r="Q46" i="19"/>
  <c r="F47" i="19"/>
  <c r="G47" i="19"/>
  <c r="H47" i="19"/>
  <c r="I47" i="19"/>
  <c r="J47" i="19"/>
  <c r="K47" i="19"/>
  <c r="L47" i="19"/>
  <c r="M47" i="19"/>
  <c r="N47" i="19"/>
  <c r="O47" i="19"/>
  <c r="P47" i="19"/>
  <c r="Q47" i="19"/>
  <c r="E47" i="19"/>
  <c r="O48" i="19"/>
  <c r="Q32" i="19"/>
  <c r="Q42" i="19" s="1"/>
  <c r="P27" i="19"/>
  <c r="P32" i="19" s="1"/>
  <c r="P42" i="19" s="1"/>
  <c r="O27" i="19"/>
  <c r="O32" i="19" s="1"/>
  <c r="O42" i="19" s="1"/>
  <c r="N27" i="19"/>
  <c r="N32" i="19" s="1"/>
  <c r="N42" i="19" s="1"/>
  <c r="M27" i="19"/>
  <c r="M32" i="19" s="1"/>
  <c r="M42" i="19" s="1"/>
  <c r="L27" i="19"/>
  <c r="L32" i="19" s="1"/>
  <c r="L42" i="19" s="1"/>
  <c r="K27" i="19"/>
  <c r="K32" i="19" s="1"/>
  <c r="K42" i="19" s="1"/>
  <c r="J27" i="19"/>
  <c r="J32" i="19" s="1"/>
  <c r="J42" i="19" s="1"/>
  <c r="I27" i="19"/>
  <c r="I32" i="19" s="1"/>
  <c r="I42" i="19" s="1"/>
  <c r="H27" i="19"/>
  <c r="H32" i="19" s="1"/>
  <c r="H42" i="19" s="1"/>
  <c r="G27" i="19"/>
  <c r="G32" i="19" s="1"/>
  <c r="G42" i="19" s="1"/>
  <c r="F27" i="19"/>
  <c r="F32" i="19" s="1"/>
  <c r="F42" i="19" s="1"/>
  <c r="E27" i="19"/>
  <c r="E32" i="19" s="1"/>
  <c r="E42" i="19" s="1"/>
  <c r="E14" i="19"/>
  <c r="E19" i="19" s="1"/>
  <c r="E21" i="19" s="1"/>
  <c r="F14" i="19"/>
  <c r="F19" i="19" s="1"/>
  <c r="F21" i="19" s="1"/>
  <c r="G14" i="19"/>
  <c r="G19" i="19" s="1"/>
  <c r="G21" i="19" s="1"/>
  <c r="H14" i="19"/>
  <c r="H19" i="19" s="1"/>
  <c r="H21" i="19" s="1"/>
  <c r="I14" i="19"/>
  <c r="I19" i="19" s="1"/>
  <c r="I21" i="19" s="1"/>
  <c r="J14" i="19"/>
  <c r="J19" i="19" s="1"/>
  <c r="J21" i="19" s="1"/>
  <c r="K14" i="19"/>
  <c r="K19" i="19" s="1"/>
  <c r="K21" i="19" s="1"/>
  <c r="L14" i="19"/>
  <c r="L19" i="19" s="1"/>
  <c r="L21" i="19" s="1"/>
  <c r="M14" i="19"/>
  <c r="M19" i="19" s="1"/>
  <c r="M21" i="19" s="1"/>
  <c r="N14" i="19"/>
  <c r="N19" i="19" s="1"/>
  <c r="N21" i="19" s="1"/>
  <c r="O14" i="19"/>
  <c r="O19" i="19" s="1"/>
  <c r="O21" i="19" s="1"/>
  <c r="P14" i="19"/>
  <c r="P19" i="19" s="1"/>
  <c r="P21" i="19" s="1"/>
  <c r="Q14" i="19"/>
  <c r="C49" i="19" l="1"/>
  <c r="S51" i="19"/>
  <c r="C47" i="19"/>
  <c r="C51" i="19"/>
  <c r="S52" i="19"/>
  <c r="S49" i="19"/>
  <c r="C52" i="19"/>
  <c r="S47" i="19"/>
  <c r="C46" i="19"/>
  <c r="C50" i="19"/>
  <c r="S50" i="19" s="1"/>
  <c r="S14" i="20"/>
  <c r="S23" i="20"/>
  <c r="S19" i="20"/>
  <c r="Q19" i="19"/>
  <c r="C53" i="20"/>
  <c r="C58" i="20" s="1"/>
  <c r="C60" i="20" s="1"/>
  <c r="S60" i="20" s="1"/>
  <c r="O53" i="19"/>
  <c r="O55" i="19" s="1"/>
  <c r="E48" i="19"/>
  <c r="E53" i="19" s="1"/>
  <c r="E55" i="19" s="1"/>
  <c r="K48" i="19"/>
  <c r="K53" i="19" s="1"/>
  <c r="K55" i="19" s="1"/>
  <c r="G48" i="19"/>
  <c r="G53" i="19" s="1"/>
  <c r="G55" i="19" s="1"/>
  <c r="N48" i="19"/>
  <c r="N53" i="19" s="1"/>
  <c r="N55" i="19" s="1"/>
  <c r="J48" i="19"/>
  <c r="J53" i="19" s="1"/>
  <c r="J55" i="19" s="1"/>
  <c r="F48" i="19"/>
  <c r="F53" i="19" s="1"/>
  <c r="F55" i="19" s="1"/>
  <c r="Q48" i="19"/>
  <c r="M48" i="19"/>
  <c r="M53" i="19" s="1"/>
  <c r="M55" i="19" s="1"/>
  <c r="I48" i="19"/>
  <c r="I53" i="19" s="1"/>
  <c r="I55" i="19" s="1"/>
  <c r="P48" i="19"/>
  <c r="P53" i="19" s="1"/>
  <c r="P55" i="19" s="1"/>
  <c r="L48" i="19"/>
  <c r="L53" i="19" s="1"/>
  <c r="L55" i="19" s="1"/>
  <c r="H48" i="19"/>
  <c r="H53" i="19" s="1"/>
  <c r="H55" i="19" s="1"/>
  <c r="S46" i="19"/>
  <c r="C27" i="19"/>
  <c r="C32" i="19" s="1"/>
  <c r="C42" i="19" s="1"/>
  <c r="Q53" i="19" l="1"/>
  <c r="Q21" i="19"/>
  <c r="C48" i="19"/>
  <c r="C53" i="19" s="1"/>
  <c r="C55" i="19" s="1"/>
  <c r="C13" i="19"/>
  <c r="S13" i="19" s="1"/>
  <c r="C15" i="19"/>
  <c r="S15" i="19" s="1"/>
  <c r="C16" i="19"/>
  <c r="S16" i="19" s="1"/>
  <c r="C17" i="19"/>
  <c r="S17" i="19" s="1"/>
  <c r="C18" i="19"/>
  <c r="S18" i="19" s="1"/>
  <c r="C12" i="19"/>
  <c r="S12" i="19" s="1"/>
  <c r="S48" i="19" l="1"/>
  <c r="Q55" i="19"/>
  <c r="S55" i="19" s="1"/>
  <c r="S53" i="19"/>
  <c r="C14" i="19"/>
  <c r="C19" i="19" l="1"/>
  <c r="S14" i="19"/>
  <c r="C50" i="13"/>
  <c r="C57" i="13"/>
  <c r="C39" i="13"/>
  <c r="C33" i="13"/>
  <c r="C28" i="13"/>
  <c r="C44" i="13"/>
  <c r="C60" i="13" l="1"/>
  <c r="C21" i="19"/>
  <c r="S21" i="19" s="1"/>
  <c r="S19" i="19"/>
  <c r="I27" i="17"/>
  <c r="K27" i="17" s="1"/>
  <c r="M29" i="17"/>
  <c r="O28" i="17"/>
  <c r="M24" i="17"/>
  <c r="O23" i="17"/>
  <c r="K22" i="17"/>
  <c r="M19" i="17"/>
  <c r="O18" i="17"/>
  <c r="K17" i="17"/>
  <c r="K19" i="17" s="1"/>
  <c r="K29" i="17" l="1"/>
  <c r="O27" i="17"/>
  <c r="O29" i="17" s="1"/>
  <c r="K24" i="17"/>
  <c r="O22" i="17"/>
  <c r="O24" i="17" s="1"/>
  <c r="O17" i="17"/>
  <c r="O19" i="17" s="1"/>
  <c r="K31" i="17" l="1"/>
  <c r="O31" i="17" s="1"/>
  <c r="K14" i="17"/>
  <c r="O14" i="17" s="1"/>
  <c r="E24" i="4" l="1"/>
  <c r="O26" i="4"/>
  <c r="M26" i="4"/>
  <c r="K26" i="4"/>
  <c r="I26" i="4"/>
  <c r="G26" i="4"/>
  <c r="Q25" i="4"/>
  <c r="E25" i="4" s="1"/>
  <c r="Q26" i="4" l="1"/>
  <c r="E26" i="4"/>
  <c r="I17" i="15" l="1"/>
  <c r="A7" i="15"/>
  <c r="H20" i="16" l="1"/>
  <c r="H18" i="16"/>
  <c r="H22" i="16" s="1"/>
  <c r="A6" i="16"/>
  <c r="H30" i="16" l="1"/>
  <c r="I20" i="15"/>
  <c r="I18" i="15"/>
  <c r="E21" i="15"/>
  <c r="I16" i="15"/>
  <c r="I30" i="8" s="1"/>
  <c r="K30" i="8" s="1"/>
  <c r="I15" i="15"/>
  <c r="I29" i="8" s="1"/>
  <c r="K29" i="8" s="1"/>
  <c r="I13" i="15"/>
  <c r="I12" i="15"/>
  <c r="I26" i="8" s="1"/>
  <c r="I27" i="8" l="1"/>
  <c r="I28" i="8" s="1"/>
  <c r="I14" i="15"/>
  <c r="I19" i="15" s="1"/>
  <c r="I21" i="15"/>
  <c r="G21" i="15"/>
  <c r="K28" i="8" l="1"/>
  <c r="K34" i="8" s="1"/>
  <c r="I34" i="8"/>
  <c r="E54" i="7"/>
  <c r="J38" i="12"/>
  <c r="J41" i="12" s="1"/>
  <c r="C40" i="7" l="1"/>
  <c r="C39" i="7"/>
  <c r="C32" i="7"/>
  <c r="C31" i="7"/>
  <c r="H35" i="12" l="1"/>
  <c r="H36" i="12"/>
  <c r="H26" i="12"/>
  <c r="L26" i="12" l="1"/>
  <c r="H38" i="12"/>
  <c r="L35" i="12"/>
  <c r="H30" i="12"/>
  <c r="L30" i="12" s="1"/>
  <c r="L37" i="12"/>
  <c r="L36" i="12"/>
  <c r="L40" i="12"/>
  <c r="L29" i="12"/>
  <c r="L27" i="12"/>
  <c r="H16" i="12"/>
  <c r="J16" i="12"/>
  <c r="L14" i="12"/>
  <c r="L15" i="12"/>
  <c r="L19" i="12"/>
  <c r="L12" i="12"/>
  <c r="D28" i="11"/>
  <c r="D17" i="11"/>
  <c r="D22" i="11" s="1"/>
  <c r="I21" i="10"/>
  <c r="I20" i="10"/>
  <c r="I19" i="10"/>
  <c r="I18" i="10"/>
  <c r="I17" i="10"/>
  <c r="I16" i="10"/>
  <c r="I15" i="10"/>
  <c r="I14" i="10"/>
  <c r="I13" i="10"/>
  <c r="I12" i="10"/>
  <c r="I11" i="10"/>
  <c r="G22" i="10"/>
  <c r="E22" i="10"/>
  <c r="I23" i="7"/>
  <c r="I22" i="7"/>
  <c r="I21" i="7"/>
  <c r="I20" i="7"/>
  <c r="I19" i="7"/>
  <c r="I18" i="7"/>
  <c r="I17" i="7"/>
  <c r="I16" i="7"/>
  <c r="I15" i="7"/>
  <c r="E32" i="7" s="1"/>
  <c r="I14" i="7"/>
  <c r="E31" i="7" s="1"/>
  <c r="I13" i="7"/>
  <c r="E40" i="7" s="1"/>
  <c r="I12" i="7"/>
  <c r="E39" i="7" s="1"/>
  <c r="I11" i="7"/>
  <c r="E24" i="7"/>
  <c r="H41" i="12" l="1"/>
  <c r="D30" i="11"/>
  <c r="E42" i="7"/>
  <c r="E46" i="7" s="1"/>
  <c r="E48" i="7" s="1"/>
  <c r="E56" i="7" s="1"/>
  <c r="L38" i="12"/>
  <c r="L41" i="12" s="1"/>
  <c r="E33" i="7"/>
  <c r="L16" i="12"/>
  <c r="I22" i="10"/>
  <c r="G24" i="7" l="1"/>
  <c r="I24" i="7" l="1"/>
  <c r="Q21" i="4" l="1"/>
  <c r="Q28" i="4" s="1"/>
  <c r="O21" i="4"/>
  <c r="M21" i="4"/>
  <c r="M28" i="4" s="1"/>
  <c r="K21" i="4"/>
  <c r="K28" i="4" s="1"/>
  <c r="I21" i="4"/>
  <c r="I28" i="4" s="1"/>
  <c r="G21" i="4"/>
  <c r="G28" i="4" s="1"/>
  <c r="E20" i="4"/>
  <c r="E19" i="4"/>
  <c r="E17" i="4"/>
  <c r="E16" i="4"/>
  <c r="E14" i="4"/>
  <c r="E13" i="4"/>
  <c r="O28" i="4" l="1"/>
  <c r="E28" i="4" s="1"/>
  <c r="E21" i="4"/>
  <c r="E20" i="3" l="1"/>
  <c r="E19" i="3"/>
  <c r="Q21" i="3"/>
  <c r="M21" i="3" l="1"/>
  <c r="E17" i="3"/>
  <c r="E16" i="3"/>
  <c r="E14" i="3"/>
  <c r="E13" i="3"/>
  <c r="O21" i="3"/>
  <c r="K21" i="3"/>
  <c r="I21" i="3"/>
  <c r="G21" i="3"/>
  <c r="E21" i="3" l="1"/>
</calcChain>
</file>

<file path=xl/sharedStrings.xml><?xml version="1.0" encoding="utf-8"?>
<sst xmlns="http://schemas.openxmlformats.org/spreadsheetml/2006/main" count="1491" uniqueCount="894">
  <si>
    <t>Attachment O</t>
  </si>
  <si>
    <t>Total</t>
  </si>
  <si>
    <t>Transmission</t>
  </si>
  <si>
    <t>Page, Line, Col.</t>
  </si>
  <si>
    <t>205.46.g</t>
  </si>
  <si>
    <t>207.58.g</t>
  </si>
  <si>
    <t>207.75.g</t>
  </si>
  <si>
    <t>219.20-24.c</t>
  </si>
  <si>
    <t>219.25.c</t>
  </si>
  <si>
    <t>219.26.c</t>
  </si>
  <si>
    <t>273.8.k</t>
  </si>
  <si>
    <t>275.2.k</t>
  </si>
  <si>
    <t>277.9.k</t>
  </si>
  <si>
    <t>267.8.h</t>
  </si>
  <si>
    <t>336.7.b</t>
  </si>
  <si>
    <t>336.11.b</t>
  </si>
  <si>
    <t>263.i</t>
  </si>
  <si>
    <t>Acct 561.1 - 561.3, 561.BA included in Line 7</t>
  </si>
  <si>
    <t>Acct 561.BA for Schedule 24</t>
  </si>
  <si>
    <t>Acct 561.1 - 561.3 available for Schedule 1</t>
  </si>
  <si>
    <t>Revenue Credits for Sched 1 Acct 561.1 - 561.3</t>
  </si>
  <si>
    <t>Net Schedule 1 Expenses (Acct 561.1-561.3 minus Credits)</t>
  </si>
  <si>
    <t>Montana-Dakota Utilities Co.</t>
  </si>
  <si>
    <t>MISO Attachment O Annual True-up</t>
  </si>
  <si>
    <t>Rate Base</t>
  </si>
  <si>
    <t>Gross Plant in Service</t>
  </si>
  <si>
    <t>Production</t>
  </si>
  <si>
    <t>Distribution</t>
  </si>
  <si>
    <t>General &amp; Intangible</t>
  </si>
  <si>
    <t>Common</t>
  </si>
  <si>
    <t>Form 1</t>
  </si>
  <si>
    <t>Ending Balance</t>
  </si>
  <si>
    <t>Wyoming</t>
  </si>
  <si>
    <t>MISO</t>
  </si>
  <si>
    <t>Total Gross Plant</t>
  </si>
  <si>
    <t>Accumulated Depreciation</t>
  </si>
  <si>
    <t>Total Accumulated Depreciation</t>
  </si>
  <si>
    <t>Adjustments to Rate Base</t>
  </si>
  <si>
    <t>Account No. 281 (enter negative)</t>
  </si>
  <si>
    <t>Account No. 282 (enter negative)</t>
  </si>
  <si>
    <t>Account No. 283 (enter negative)</t>
  </si>
  <si>
    <t>Account No. 190</t>
  </si>
  <si>
    <t>Account No. 255 (enter negative)</t>
  </si>
  <si>
    <t>1/</t>
  </si>
  <si>
    <t>207.99.g</t>
  </si>
  <si>
    <t>200.21.c</t>
  </si>
  <si>
    <t xml:space="preserve">219.28.c &amp; </t>
  </si>
  <si>
    <t>205.5.g &amp;</t>
  </si>
  <si>
    <t>Montana</t>
  </si>
  <si>
    <t>Twelve Months Ended December 31, 2013</t>
  </si>
  <si>
    <t>MDU Electric</t>
  </si>
  <si>
    <t>MDU Gas</t>
  </si>
  <si>
    <t>GPNG Gas</t>
  </si>
  <si>
    <t xml:space="preserve">Total MDU </t>
  </si>
  <si>
    <t>Utility  1/</t>
  </si>
  <si>
    <t>North</t>
  </si>
  <si>
    <t>Dakota</t>
  </si>
  <si>
    <t>South</t>
  </si>
  <si>
    <t>GPNG</t>
  </si>
  <si>
    <t>Common Intangible</t>
  </si>
  <si>
    <t>East</t>
  </si>
  <si>
    <t>River</t>
  </si>
  <si>
    <t>336.10.f</t>
  </si>
  <si>
    <t>336.1.f</t>
  </si>
  <si>
    <t>Labor Related</t>
  </si>
  <si>
    <t>Payroll</t>
  </si>
  <si>
    <t>Plant Related</t>
  </si>
  <si>
    <t>Property</t>
  </si>
  <si>
    <t>Gross Receipts</t>
  </si>
  <si>
    <t>Other</t>
  </si>
  <si>
    <t>Payment in lieu of taxes</t>
  </si>
  <si>
    <t>Account</t>
  </si>
  <si>
    <t>FERC</t>
  </si>
  <si>
    <t>Account Description</t>
  </si>
  <si>
    <t>Load Dispatch - Reliability</t>
  </si>
  <si>
    <t>Operation Supervision and Engineering</t>
  </si>
  <si>
    <t>Station Expenses</t>
  </si>
  <si>
    <t>Overhead Lines Expenses</t>
  </si>
  <si>
    <t>Transmission of Electricity by Others</t>
  </si>
  <si>
    <t>Misc Transmission Expense</t>
  </si>
  <si>
    <t>Rents</t>
  </si>
  <si>
    <t>Maintenance Supervision &amp; Engineering</t>
  </si>
  <si>
    <t>Maintenance of Structures</t>
  </si>
  <si>
    <t>Maintenance of Station Equipment</t>
  </si>
  <si>
    <t>Company</t>
  </si>
  <si>
    <t>Company 1/</t>
  </si>
  <si>
    <t>Load Dispatch - Monitor &amp; Operate Transmission System</t>
  </si>
  <si>
    <t>Scheduling, System Control &amp; Dispatch Services</t>
  </si>
  <si>
    <t>Reliability, Planning and Standards Development Services</t>
  </si>
  <si>
    <t>Account 561.4</t>
  </si>
  <si>
    <t>Account 561.8</t>
  </si>
  <si>
    <t>Administrative &amp; General Salaries</t>
  </si>
  <si>
    <t>Office Supplies &amp; Expenses</t>
  </si>
  <si>
    <t>Outside Services Employed</t>
  </si>
  <si>
    <t>Property Insurance</t>
  </si>
  <si>
    <t>Injuries &amp; Damages</t>
  </si>
  <si>
    <t>Employee Pensions &amp; Benefits</t>
  </si>
  <si>
    <t>Regulatory Commission Expenses</t>
  </si>
  <si>
    <t>General Advertising Expenses</t>
  </si>
  <si>
    <t>Miscellaneous General Expenses</t>
  </si>
  <si>
    <t>Regulatory Commission Expenses &amp; Non-Safety Ad.</t>
  </si>
  <si>
    <t>North Dakota</t>
  </si>
  <si>
    <t>South Dakota</t>
  </si>
  <si>
    <t>General</t>
  </si>
  <si>
    <t>O&amp;M A&amp;G General</t>
  </si>
  <si>
    <t>Less:  Wyoming</t>
  </si>
  <si>
    <t>Regulatory Commission</t>
  </si>
  <si>
    <t>Expense - Electric Utility  1/</t>
  </si>
  <si>
    <t>Form 1 Page</t>
  </si>
  <si>
    <t>Line, Col.</t>
  </si>
  <si>
    <t>Depreciation Expense</t>
  </si>
  <si>
    <t xml:space="preserve">Taxes Other than Income </t>
  </si>
  <si>
    <t>Highway &amp; vehicle</t>
  </si>
  <si>
    <t xml:space="preserve">  Total</t>
  </si>
  <si>
    <t>Unemployment</t>
  </si>
  <si>
    <t>Federal - FICA</t>
  </si>
  <si>
    <t>ND Coal Conversion</t>
  </si>
  <si>
    <t>Secretaries of State</t>
  </si>
  <si>
    <t>Page 3 Line 1a (LSE Expenses incl. in Transmission O&amp;M Accts)</t>
  </si>
  <si>
    <t xml:space="preserve">   MT WET Tax</t>
  </si>
  <si>
    <t xml:space="preserve">   MT Electric License</t>
  </si>
  <si>
    <t>MT Electric</t>
  </si>
  <si>
    <t>Franchise Fees</t>
  </si>
  <si>
    <t>Production-Related Plant Removed from Transmission</t>
  </si>
  <si>
    <t>Glendive Turbine Junction</t>
  </si>
  <si>
    <t>Transmission Function FERC 353</t>
  </si>
  <si>
    <t>Heskett Station</t>
  </si>
  <si>
    <t>Miles City Turbine</t>
  </si>
  <si>
    <t>Lewis &amp; Clark Switchyard</t>
  </si>
  <si>
    <t>Coyote Aux. Power 115KV Tap Line</t>
  </si>
  <si>
    <t>Towers &amp; Fixtures Function FERC 3540</t>
  </si>
  <si>
    <t>Transmission Function FERC 355</t>
  </si>
  <si>
    <t>Overhead Conductor &amp; Device Function FERC 3560</t>
  </si>
  <si>
    <t>Big Stone Plant Intake Line</t>
  </si>
  <si>
    <t>Coyote Surge Pond Line</t>
  </si>
  <si>
    <t>Land Rights Function FERC 3502</t>
  </si>
  <si>
    <t>Diamond Willow Substation</t>
  </si>
  <si>
    <t>Transmission Function FERC 3501</t>
  </si>
  <si>
    <t>Cedar Hills Substation</t>
  </si>
  <si>
    <t>Transmission Function FERC 3502</t>
  </si>
  <si>
    <t>Ormat Transmission Line</t>
  </si>
  <si>
    <t>Transmission Function FERC 353 to Power Production</t>
  </si>
  <si>
    <t>Transmission Expenses</t>
  </si>
  <si>
    <t>Page 4 Line 7 Transmission Expenses included IN OATT</t>
  </si>
  <si>
    <t>Ancillary Services (Note L)</t>
  </si>
  <si>
    <t>Account 561.2</t>
  </si>
  <si>
    <t>Account 561.3</t>
  </si>
  <si>
    <t>Account 561.BA</t>
  </si>
  <si>
    <t>December 2012</t>
  </si>
  <si>
    <t>January 2013</t>
  </si>
  <si>
    <t>February</t>
  </si>
  <si>
    <t>March</t>
  </si>
  <si>
    <t>April</t>
  </si>
  <si>
    <t>May</t>
  </si>
  <si>
    <t>June</t>
  </si>
  <si>
    <t>July</t>
  </si>
  <si>
    <t>August</t>
  </si>
  <si>
    <t>September</t>
  </si>
  <si>
    <t>October</t>
  </si>
  <si>
    <t>November</t>
  </si>
  <si>
    <t>December</t>
  </si>
  <si>
    <t>13 Month Average</t>
  </si>
  <si>
    <t>Integrated</t>
  </si>
  <si>
    <t>System</t>
  </si>
  <si>
    <t>Total Integrated System</t>
  </si>
  <si>
    <t>Load Dispatch - Transmission Service &amp; Scheduleing</t>
  </si>
  <si>
    <t xml:space="preserve">    transactions &lt;1 yr</t>
  </si>
  <si>
    <t xml:space="preserve">    non-firm</t>
  </si>
  <si>
    <t xml:space="preserve">    transactions w/ load not in divisor</t>
  </si>
  <si>
    <t xml:space="preserve">  Total Revenue Credits</t>
  </si>
  <si>
    <t>Schedule 1 Recoverable Expenses (Page 4 Side Box Calculations)</t>
  </si>
  <si>
    <t>1/ Excluding Asset Retirement Obligations (acct 399.1) of $7,270 per Note AA, page 5 of Attachment O.</t>
  </si>
  <si>
    <t>1/ Excluding Asset Retirement Obligations (acct 399.1) of $4,723 per Note AA, page 5 of Attachment O.</t>
  </si>
  <si>
    <t>Steam Production</t>
  </si>
  <si>
    <t>Other Production</t>
  </si>
  <si>
    <t>219.20.c</t>
  </si>
  <si>
    <t>219.24.c</t>
  </si>
  <si>
    <t>219.28.c</t>
  </si>
  <si>
    <t>General Intangible</t>
  </si>
  <si>
    <t>a.</t>
  </si>
  <si>
    <t>b.</t>
  </si>
  <si>
    <t>c.</t>
  </si>
  <si>
    <t>d.</t>
  </si>
  <si>
    <t>Transmission charges for all transmission transactions</t>
  </si>
  <si>
    <t>Transmission charges for all transmission transactions included in Divisor 1 on Page 1</t>
  </si>
  <si>
    <t>330.x.n</t>
  </si>
  <si>
    <t>WAPA</t>
  </si>
  <si>
    <t>Basin Electric Cooperative</t>
  </si>
  <si>
    <t>Acct 456.1 Transmission of Electricity for Others</t>
  </si>
  <si>
    <t xml:space="preserve">  Total included in Line 35, Page 4 of Attachment O</t>
  </si>
  <si>
    <t>Revenues</t>
  </si>
  <si>
    <t>Powder River Energy Corp</t>
  </si>
  <si>
    <t>Total of (a) - (b) - (c) - (d)</t>
  </si>
  <si>
    <t xml:space="preserve">    Steam Production</t>
  </si>
  <si>
    <t xml:space="preserve">    Other Production</t>
  </si>
  <si>
    <t>205.15.g</t>
  </si>
  <si>
    <t>205.44.g</t>
  </si>
  <si>
    <t>Adjustments</t>
  </si>
  <si>
    <t>Balance 2/</t>
  </si>
  <si>
    <t>2/  Excluding Deferred AFUDC, Depreciation and Interest on Coyote (Montana) = $477,281.</t>
  </si>
  <si>
    <t>Form 1 Page,</t>
  </si>
  <si>
    <t>Note V Exlusions from Transmission Expenses:</t>
  </si>
  <si>
    <t>Transmission O&amp;M</t>
  </si>
  <si>
    <t xml:space="preserve">1/  Exclude Asset Retirement Costs per Note AA, page 5 of Attachment O (ARO separately identified in FERC Form 1).  </t>
  </si>
  <si>
    <t>Account 561.1</t>
  </si>
  <si>
    <t>Electric</t>
  </si>
  <si>
    <t>Gas</t>
  </si>
  <si>
    <t>Exclude Work in Progress</t>
  </si>
  <si>
    <t xml:space="preserve">    Acct 282</t>
  </si>
  <si>
    <t xml:space="preserve">    FAS 109 for Acct 282</t>
  </si>
  <si>
    <t xml:space="preserve">    Acct 283</t>
  </si>
  <si>
    <t xml:space="preserve">    FAS 109 for Acct 283</t>
  </si>
  <si>
    <t xml:space="preserve">    Acct 190</t>
  </si>
  <si>
    <t xml:space="preserve">    FAS 109 for Acct 190</t>
  </si>
  <si>
    <t xml:space="preserve">                    </t>
  </si>
  <si>
    <t>General - Intangible</t>
  </si>
  <si>
    <t>February 2013</t>
  </si>
  <si>
    <t>March 2013</t>
  </si>
  <si>
    <t>April 2013</t>
  </si>
  <si>
    <t>May 2013</t>
  </si>
  <si>
    <t>June 2013</t>
  </si>
  <si>
    <t>July 2013</t>
  </si>
  <si>
    <t>August 2013</t>
  </si>
  <si>
    <t>September 2013</t>
  </si>
  <si>
    <t>October 2013</t>
  </si>
  <si>
    <t>November 2013</t>
  </si>
  <si>
    <t>December 2013</t>
  </si>
  <si>
    <t xml:space="preserve">    Production</t>
  </si>
  <si>
    <t>(December 2012 - December 2013)</t>
  </si>
  <si>
    <t>Total Plant in Service</t>
  </si>
  <si>
    <t>Common  2/</t>
  </si>
  <si>
    <t>Common  3/</t>
  </si>
  <si>
    <t>Total Company</t>
  </si>
  <si>
    <t>Wyoming Electric</t>
  </si>
  <si>
    <t>Integrated System</t>
  </si>
  <si>
    <t xml:space="preserve">  Wyoming Electric</t>
  </si>
  <si>
    <t xml:space="preserve">  Wyoming Gas</t>
  </si>
  <si>
    <t xml:space="preserve">      Common</t>
  </si>
  <si>
    <t xml:space="preserve">      Common Intangible</t>
  </si>
  <si>
    <t>Thirteen Month Balances per Note DD of Attachment O</t>
  </si>
  <si>
    <t>234.8.c</t>
  </si>
  <si>
    <t>Average Balance (per Note EE on Page 5)</t>
  </si>
  <si>
    <t>Acct 282</t>
  </si>
  <si>
    <t>Acct 283</t>
  </si>
  <si>
    <t>Acct 190</t>
  </si>
  <si>
    <t>Beginning</t>
  </si>
  <si>
    <t>Balance</t>
  </si>
  <si>
    <t>Ending</t>
  </si>
  <si>
    <t>Average</t>
  </si>
  <si>
    <t xml:space="preserve"> </t>
  </si>
  <si>
    <t>Exclude:</t>
  </si>
  <si>
    <t xml:space="preserve">      Powder River Energy Corp  1/</t>
  </si>
  <si>
    <t>1/  Applicable to Wyoming.</t>
  </si>
  <si>
    <t>12/31% of Average</t>
  </si>
  <si>
    <t>Prepaid Insurance</t>
  </si>
  <si>
    <t>Purchased Power</t>
  </si>
  <si>
    <t>Gas Demand Charges</t>
  </si>
  <si>
    <t>Misc Prepaid</t>
  </si>
  <si>
    <t>Thirteen Months Ended December 31, 2013</t>
  </si>
  <si>
    <t xml:space="preserve">    Prepaid Commodity Charges</t>
  </si>
  <si>
    <t>Total Prepayments</t>
  </si>
  <si>
    <t xml:space="preserve">Exclude:  </t>
  </si>
  <si>
    <t>Misc Prepaid - Gas</t>
  </si>
  <si>
    <t>Total Regulatory Commission Expense</t>
  </si>
  <si>
    <t>Allocated</t>
  </si>
  <si>
    <t>Total Plant in Service - WY</t>
  </si>
  <si>
    <t>less: Common RWIP</t>
  </si>
  <si>
    <t>Customer Accounts</t>
  </si>
  <si>
    <t>Customer Service</t>
  </si>
  <si>
    <t>Sales</t>
  </si>
  <si>
    <t>Page #, Line #</t>
  </si>
  <si>
    <t>354.20.b</t>
  </si>
  <si>
    <t>354.21.b</t>
  </si>
  <si>
    <t>354.23.b</t>
  </si>
  <si>
    <t>354.24.b</t>
  </si>
  <si>
    <t>354.25.b</t>
  </si>
  <si>
    <t>354.26.b</t>
  </si>
  <si>
    <t>FERC Form1</t>
  </si>
  <si>
    <t>Plant - Classified</t>
  </si>
  <si>
    <t>200.3.c</t>
  </si>
  <si>
    <t>201.3.d</t>
  </si>
  <si>
    <t xml:space="preserve">    MISO Schedule 11</t>
  </si>
  <si>
    <t xml:space="preserve"> Commission Expenses shown on FERC Form 1, page 351.</t>
  </si>
  <si>
    <t xml:space="preserve">2/ </t>
  </si>
  <si>
    <t xml:space="preserve">           excluding Wyoming</t>
  </si>
  <si>
    <t>December 2012 through December 2013</t>
  </si>
  <si>
    <t>Transmission Materials &amp; Supplies</t>
  </si>
  <si>
    <t>Materials &amp; Supplies  1/</t>
  </si>
  <si>
    <t>Form 1, Page 227, Line 12, Column c</t>
  </si>
  <si>
    <t xml:space="preserve">   Exclude Assigned to Other</t>
  </si>
  <si>
    <t>Construction</t>
  </si>
  <si>
    <t>Production O&amp;M</t>
  </si>
  <si>
    <t>Distribution O&amp;M</t>
  </si>
  <si>
    <t>Total Acct 154 (Materials &amp; Supplies</t>
  </si>
  <si>
    <t>2013 Allocation Factors</t>
  </si>
  <si>
    <t>2012 Allocation Factors</t>
  </si>
  <si>
    <t>13 Month Average Balance</t>
  </si>
  <si>
    <t>X</t>
  </si>
  <si>
    <t>Y</t>
  </si>
  <si>
    <t>Note:</t>
  </si>
  <si>
    <t xml:space="preserve">Removes from revenue credits revenue that are distributed pursuant to Schedules associated with Attachment GG </t>
  </si>
  <si>
    <t xml:space="preserve">of the Midwest ISO Tariff, since the Transmission Owner's Attachment O revenue requirements have already been </t>
  </si>
  <si>
    <t>reduced by the Attachment GG revenue requirements.</t>
  </si>
  <si>
    <t xml:space="preserve">Pursuant to Attachment MM of the Midwest ISO Tariff, removes dollar amount of revenue requirements </t>
  </si>
  <si>
    <t>calculated pursuant to Attachment MM.</t>
  </si>
  <si>
    <t>Transmission charges from Schedules associated with Attachment GG (Note X)   2/</t>
  </si>
  <si>
    <t>Transmission charges from Schedules associated with Attachment MM  (Note Z)  2/</t>
  </si>
  <si>
    <t>2/  Revenue from Attachments GG and MM are not included in Account 456.1.</t>
  </si>
  <si>
    <t>Long Term</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</si>
  <si>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</si>
  <si>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</si>
  <si>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</si>
  <si>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</si>
  <si>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</si>
  <si>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</si>
  <si>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FIT =</t>
  </si>
  <si>
    <t>SIT=</t>
  </si>
  <si>
    <t xml:space="preserve">  (State Income Tax Rate or Composite SIT)</t>
  </si>
  <si>
    <t>p =</t>
  </si>
  <si>
    <t xml:space="preserve">  (percent of federal income tax deductible for state purposes)</t>
  </si>
  <si>
    <t>Workpaper Cross Reference Page 1</t>
  </si>
  <si>
    <t>Workpaper Cross Reference Page 1a</t>
  </si>
  <si>
    <t>MISO Attachment O Annual True-Up</t>
  </si>
  <si>
    <t>Plant in Service &amp; Accumulated Reserve (Workpaper for Page 2 of 5)</t>
  </si>
  <si>
    <t>Common Plant in Service by Utility by State (Workpaper for Page 2 of 5)</t>
  </si>
  <si>
    <t>Plant in Service (Workpaper for Page 2 of 5)</t>
  </si>
  <si>
    <t>Workpaper Cross Reference Page 1b</t>
  </si>
  <si>
    <t>MISO Attachment O Annual True Up</t>
  </si>
  <si>
    <t>Accumulated Reserve for Depreciation by Function (Workpaper for Page 2 of 5)</t>
  </si>
  <si>
    <t>Workpaper Cross Reference Page 2</t>
  </si>
  <si>
    <t>Workpaper Cross Reference Page 2a</t>
  </si>
  <si>
    <t>Accumulated Reserve (Workaper for Page 2 of 5)</t>
  </si>
  <si>
    <t>Common Accumulated Reserve for Depreciation by Utility by State (Workpaper for Page 2 of 5)</t>
  </si>
  <si>
    <t>Workpaper Cross Reference Page 2b</t>
  </si>
  <si>
    <t>Adjustments to Rate Base (Workpaper for Page 2 of 5)</t>
  </si>
  <si>
    <t>Reconciliation to Form 1 Balances</t>
  </si>
  <si>
    <t>Workpaper Cross Reference Page 3a</t>
  </si>
  <si>
    <t>2012 - 2013</t>
  </si>
  <si>
    <t>Workpaper Cross Reference Page 4</t>
  </si>
  <si>
    <t>Workpaper Cross Reference Page 5</t>
  </si>
  <si>
    <t>Working Capital (Workpaper for Page 2 of 5)</t>
  </si>
  <si>
    <t>Prepayments</t>
  </si>
  <si>
    <t>Workpaper Cross Reference Page 6</t>
  </si>
  <si>
    <t>Administrative &amp; General Expenses (Workpaper for Page 3 of 5)</t>
  </si>
  <si>
    <t>Workpaper Cross Reference Page 7</t>
  </si>
  <si>
    <t>Workpaper Cross Reference Page 8</t>
  </si>
  <si>
    <t>Workpaper Cross Reference Page 9</t>
  </si>
  <si>
    <t>Workpaper Cross Reference Page 10</t>
  </si>
  <si>
    <t>Workpaper Cross Reference Page 11</t>
  </si>
  <si>
    <t>Other Electric Revenues Account 456.1 (Workpaper for Page 4 of 5)</t>
  </si>
  <si>
    <t>(Workpaper for Page 4 of 5)</t>
  </si>
  <si>
    <t>Depreciation Expense &amp; Other Taxes (Workpaper for Page 3 of 5)</t>
  </si>
  <si>
    <t>(Workpaper for Page 3 of 5)</t>
  </si>
  <si>
    <t>Tranmission O&amp;M Expense (Workpaper for Page 3 of 5)</t>
  </si>
  <si>
    <t>Workpaper Cross Reference Page 12</t>
  </si>
  <si>
    <t>Wages &amp; Salary (Workpaper for Page 4 of 5)</t>
  </si>
  <si>
    <t>Common Plant Allocator (Workpaper for Page 4 of 5)</t>
  </si>
  <si>
    <t>Workpaper Cross Reference Page 13</t>
  </si>
  <si>
    <t>(Workpaper Cross Reference Pages 1 (Common Plant) and 2 (Common Accumulated Reserve))</t>
  </si>
  <si>
    <t xml:space="preserve">   Production</t>
  </si>
  <si>
    <t>MISO Attchment O</t>
  </si>
  <si>
    <t>2013 Update</t>
  </si>
  <si>
    <t>SIT Calculation</t>
  </si>
  <si>
    <t>Supporting Workpaper</t>
  </si>
  <si>
    <t>Page 5 Note K - Federal and State Income Tax Rates</t>
  </si>
  <si>
    <t>Calculation of Composite State  Rate.</t>
  </si>
  <si>
    <t>2013</t>
  </si>
  <si>
    <t>State Tax Rate</t>
  </si>
  <si>
    <t>Allocation %</t>
  </si>
  <si>
    <t>Note K:</t>
  </si>
  <si>
    <t>Inputs Required:</t>
  </si>
  <si>
    <t>SIT work papers if required</t>
  </si>
  <si>
    <t>Thirteen Month Average Balances</t>
  </si>
  <si>
    <t>Workpaper Cross Reference Page 14</t>
  </si>
  <si>
    <t>Workpaper Cross Reference Page 15</t>
  </si>
  <si>
    <t>CWIP - Attachment MM</t>
  </si>
  <si>
    <t>MTEP Project ID 2220 (Workpaper for Page 2 of 5)</t>
  </si>
  <si>
    <t>Capital Structure</t>
  </si>
  <si>
    <t>Preferred</t>
  </si>
  <si>
    <t>Proprietary</t>
  </si>
  <si>
    <t>Interest*</t>
  </si>
  <si>
    <t>Dividends</t>
  </si>
  <si>
    <t>Capital</t>
  </si>
  <si>
    <t>Debt</t>
  </si>
  <si>
    <t>Stock</t>
  </si>
  <si>
    <t>Total 2013</t>
  </si>
  <si>
    <t>13 Month Avg.</t>
  </si>
  <si>
    <t>*Long term interest includes commitment fees</t>
  </si>
  <si>
    <t>Workpaper Cross Reference Page 16</t>
  </si>
  <si>
    <t>Twelve Months Ended Decembe 31, 2013</t>
  </si>
  <si>
    <t>Joint Use Agreements</t>
  </si>
  <si>
    <t>Account 4540 (excluding 4540.008)</t>
  </si>
  <si>
    <t>Total Object Account 4540 Rent from Property</t>
  </si>
  <si>
    <t>Workpaper Cross Reference Page 17</t>
  </si>
  <si>
    <t>Summary of Account 4540 Rent from Property (Workpaper Page 4 of 5)</t>
  </si>
  <si>
    <t>Ties to Total Common - Jurisdictional Workpapers Page 1 and Page 2b (December 2013).</t>
  </si>
  <si>
    <t>Total Accum. Reserve</t>
  </si>
  <si>
    <t>Facility</t>
  </si>
  <si>
    <t>Actual Reported Costs for Twelve Months Ended December 31, 2013</t>
  </si>
  <si>
    <t>Reconciliation of Form 1</t>
  </si>
  <si>
    <t>Exclude</t>
  </si>
  <si>
    <t>AROs</t>
  </si>
  <si>
    <t>Net</t>
  </si>
  <si>
    <t>Advertising Total Company</t>
  </si>
  <si>
    <t>Twelve Months Ended December 31, 2012</t>
  </si>
  <si>
    <t>Workpaper Cross Reference Page 3(1)</t>
  </si>
  <si>
    <t>Workpaper Cross Reference Page 3(2)</t>
  </si>
  <si>
    <t>Common  1/</t>
  </si>
  <si>
    <t>Common 2/</t>
  </si>
  <si>
    <t>1/  Common reflects Total Electric, Total Gas - MDU, and Total Gas - GPNG.</t>
  </si>
  <si>
    <t>2/  Common reflects Wyoming Electric and Wyoming Gas.</t>
  </si>
  <si>
    <t>3/  Common reflects Total Electric (excluding Wyoming), Total Gas - MDU (excluding Wyoming), and Total Gas - GPNG.</t>
  </si>
  <si>
    <t>Balances</t>
  </si>
  <si>
    <t>AROs  1/</t>
  </si>
  <si>
    <t>1/  AROs = difference between Form 1 balances and Jurisdictional balances.</t>
  </si>
  <si>
    <t>Total MDU Common</t>
  </si>
  <si>
    <t>Common Intangible 1/</t>
  </si>
  <si>
    <t xml:space="preserve">    Total Prepayments (Form 1, Page 111, Line 57(c))</t>
  </si>
  <si>
    <t>1/  FERC Form 1, Page 321.112.b</t>
  </si>
  <si>
    <t>Company  1/</t>
  </si>
  <si>
    <t>1/  FERC Form 1, page 323.197.b</t>
  </si>
  <si>
    <t xml:space="preserve">1/  FERC Form 1 page 351, column h for current charges, </t>
  </si>
  <si>
    <t xml:space="preserve">       Total FERC Annual Fees  2/</t>
  </si>
  <si>
    <t>includes FERC Annual Fees.</t>
  </si>
  <si>
    <t>FERC Annual Fees are included in the Regulatory</t>
  </si>
  <si>
    <t xml:space="preserve">       Total FERC Annual Charges</t>
  </si>
  <si>
    <t xml:space="preserve">    FERC Annual Fees billed to MDU by MISO</t>
  </si>
  <si>
    <t xml:space="preserve">    FERC Annual Fees paid by MDU</t>
  </si>
  <si>
    <t>MISO Attachment O True-Up</t>
  </si>
  <si>
    <t>Annual Transmission Revenue Requirement (ATRR) True-Up</t>
  </si>
  <si>
    <t>Historic Year Actual ATRR</t>
  </si>
  <si>
    <t>Historic Year Projected ATRR</t>
  </si>
  <si>
    <t>Historic Year ATRR True-Up (Line 1 - Line 2)</t>
  </si>
  <si>
    <t>Footnote FF:  Calculation of Prior Year Divisor True-Up</t>
  </si>
  <si>
    <t>Historic Year Actual Divisor</t>
  </si>
  <si>
    <t>Projected Year Divisor</t>
  </si>
  <si>
    <t>Difference between Historic Year &amp; Project Yr Divisor (Line 4 - Line 5)</t>
  </si>
  <si>
    <t>Prior Year Projected Annual Cost ($ per kw per yr.)</t>
  </si>
  <si>
    <t>Projected Year Divisor True-Up * Prior Year Projected Annual Cost</t>
  </si>
  <si>
    <t>ATRR True-Up</t>
  </si>
  <si>
    <t>Divisor True-Up</t>
  </si>
  <si>
    <t>Total 2013 True-Up</t>
  </si>
  <si>
    <t>Average Monthly FERC Interest Rate on Refunds</t>
  </si>
  <si>
    <t>Interest for 24 Months</t>
  </si>
  <si>
    <t>Total True-Up</t>
  </si>
  <si>
    <t>Workpaper Cross Reference Page 18</t>
  </si>
  <si>
    <t>Twelve Coincident Peaks</t>
  </si>
  <si>
    <t>January</t>
  </si>
  <si>
    <t xml:space="preserve">   Average</t>
  </si>
  <si>
    <t>page 1 of 5</t>
  </si>
  <si>
    <t xml:space="preserve">Formula Rate - Non-Levelized </t>
  </si>
  <si>
    <t xml:space="preserve">     Rate Formula Template</t>
  </si>
  <si>
    <t>For the 12 months ended 12/31/13</t>
  </si>
  <si>
    <t xml:space="preserve"> Utilizing FERC Form 1 Data</t>
  </si>
  <si>
    <t>Line</t>
  </si>
  <si>
    <t>Workpaper</t>
  </si>
  <si>
    <t>No.</t>
  </si>
  <si>
    <t>Amount</t>
  </si>
  <si>
    <t>Reference #</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</si>
  <si>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</si>
  <si>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</si>
  <si>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</si>
  <si>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</si>
  <si>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</si>
  <si>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</si>
  <si>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</si>
  <si>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</si>
  <si>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</si>
  <si>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</si>
  <si>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</si>
  <si>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</si>
  <si>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</si>
  <si>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6b</t>
  </si>
  <si>
    <t>Projected ATRR from Prior Year</t>
  </si>
  <si>
    <t>Input from Prior Year</t>
  </si>
  <si>
    <t>6c</t>
  </si>
  <si>
    <t>Prior Year ATRR True-Up</t>
  </si>
  <si>
    <t>(line 6a - line 6b)</t>
  </si>
  <si>
    <t>6d</t>
  </si>
  <si>
    <t>Prior Year Divisor True-Up</t>
  </si>
  <si>
    <t>(Note FF)</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</si>
  <si>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</si>
  <si>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</si>
  <si>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</si>
  <si>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</si>
  <si>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</si>
  <si>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</si>
  <si>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</si>
  <si>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</si>
  <si>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</si>
  <si>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</si>
  <si>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</si>
  <si>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</si>
  <si>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</si>
  <si>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</si>
  <si>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</si>
  <si>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</si>
  <si>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</si>
  <si>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</si>
  <si>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</si>
  <si>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</si>
  <si>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</si>
  <si>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</si>
  <si>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</si>
  <si>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</si>
  <si>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</si>
  <si>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</si>
  <si>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</si>
  <si>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</si>
  <si>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</si>
  <si>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8,760*1000)</t>
  </si>
  <si>
    <t>Capped at weekly and daily rates</t>
  </si>
  <si>
    <t>FERC Annual Charge($/MWh)</t>
  </si>
  <si>
    <t xml:space="preserve">          (Note E)</t>
  </si>
  <si>
    <t>Short Term</t>
  </si>
  <si>
    <t>page 2 of 5</t>
  </si>
  <si>
    <t>(1)</t>
  </si>
  <si>
    <t>(2)</t>
  </si>
  <si>
    <t>(3)</t>
  </si>
  <si>
    <t>(4)</t>
  </si>
  <si>
    <t>(5)</t>
  </si>
  <si>
    <t>Form No. 1</t>
  </si>
  <si>
    <t>Company Total</t>
  </si>
  <si>
    <t xml:space="preserve">                  Allocator</t>
  </si>
  <si>
    <t>(Col 3 times Col 4)</t>
  </si>
  <si>
    <t>RATE BASE:</t>
  </si>
  <si>
    <t>GROSS PLANT IN SERVICE     (Note AA, Note DD)</t>
  </si>
  <si>
    <t xml:space="preserve">  Production</t>
  </si>
  <si>
    <t>NA</t>
  </si>
  <si>
    <t>1, 1b</t>
  </si>
  <si>
    <t xml:space="preserve">  Transmission</t>
  </si>
  <si>
    <t xml:space="preserve">  Distribution</t>
  </si>
  <si>
    <t xml:space="preserve">  General &amp; Intangible</t>
  </si>
  <si>
    <t>205.5.g &amp; 207.99.g</t>
  </si>
  <si>
    <t>W/S</t>
  </si>
  <si>
    <t xml:space="preserve">  Common</t>
  </si>
  <si>
    <t>356.1</t>
  </si>
  <si>
    <t>CE</t>
  </si>
  <si>
    <t>1, 1a, 1b</t>
  </si>
  <si>
    <t>TOTAL GROSS PLANT (sum lines 1-5)</t>
  </si>
  <si>
    <t>GP=</t>
  </si>
  <si>
    <t>ACCUMULATED DEPRECIATION  (Note AA, Note DD)</t>
  </si>
  <si>
    <t xml:space="preserve">1, 2, 2b </t>
  </si>
  <si>
    <t>219.28.c &amp; 200.21.c</t>
  </si>
  <si>
    <t>1, 2, 2a, 2b</t>
  </si>
  <si>
    <t>TOTAL ACCUM. DEPRECIATION (sum lines 7-11)</t>
  </si>
  <si>
    <t>NET PLANT IN SERVICE    (Note DD)</t>
  </si>
  <si>
    <t xml:space="preserve"> (line 1- line 7)</t>
  </si>
  <si>
    <t xml:space="preserve"> (line 2- line 8)</t>
  </si>
  <si>
    <t xml:space="preserve"> (line 3 - line 9)</t>
  </si>
  <si>
    <t xml:space="preserve"> (line 4 - line 10)</t>
  </si>
  <si>
    <t xml:space="preserve"> (line 5 - line 11)</t>
  </si>
  <si>
    <t>TOTAL NET PLANT (sum lines 13-17)</t>
  </si>
  <si>
    <t>NP=</t>
  </si>
  <si>
    <t>18a</t>
  </si>
  <si>
    <t>100% CWIP Recovery for Commission Approved Order</t>
  </si>
  <si>
    <t>No. 679 Transmission Projects  (Note DD)</t>
  </si>
  <si>
    <t xml:space="preserve">216.b </t>
  </si>
  <si>
    <t>N/A</t>
  </si>
  <si>
    <t>ADJUSTMENTS TO RATE BASE       (Note F, Note EE)</t>
  </si>
  <si>
    <t xml:space="preserve">  Account No. 281 (enter negative)</t>
  </si>
  <si>
    <t>zero</t>
  </si>
  <si>
    <t xml:space="preserve">  Account No. 282 (enter negative)</t>
  </si>
  <si>
    <t>NP</t>
  </si>
  <si>
    <t>3, 3a</t>
  </si>
  <si>
    <t xml:space="preserve">  Account No. 283 (enter negative)</t>
  </si>
  <si>
    <t xml:space="preserve">  Account No. 190</t>
  </si>
  <si>
    <t xml:space="preserve">  Account No. 255 (enter negative)</t>
  </si>
  <si>
    <t>23a</t>
  </si>
  <si>
    <t xml:space="preserve">  RESERVED FOR FUTURE USE</t>
  </si>
  <si>
    <t>23b</t>
  </si>
  <si>
    <t xml:space="preserve">  Unamortized Balance of Abandoned Plant</t>
  </si>
  <si>
    <t>(Note CC, Note DD)</t>
  </si>
  <si>
    <t>TOTAL ADJUSTMENTS  (sum lines 19- 23b)</t>
  </si>
  <si>
    <t>LAND HELD FOR FUTURE USE    (Note DD)</t>
  </si>
  <si>
    <t>214.x.d  (Note G)</t>
  </si>
  <si>
    <t>WORKING CAPITAL  (Note H)</t>
  </si>
  <si>
    <t xml:space="preserve">  CWC  </t>
  </si>
  <si>
    <t>calculated</t>
  </si>
  <si>
    <t xml:space="preserve">  Materials &amp; Supplies  (Note G, Note DD)</t>
  </si>
  <si>
    <t>227.8.c &amp; .16.c</t>
  </si>
  <si>
    <t>TE</t>
  </si>
  <si>
    <t xml:space="preserve">  Prepayments (Account 165, Note DD)</t>
  </si>
  <si>
    <t>111.57.c</t>
  </si>
  <si>
    <t>GP</t>
  </si>
  <si>
    <t>TOTAL WORKING CAPITAL (sum lines 26 - 28)</t>
  </si>
  <si>
    <t>RATE BASE  (sum lines 18, 18a, 24, 25, &amp; 29)</t>
  </si>
  <si>
    <t>page 3 of 5</t>
  </si>
  <si>
    <t>O&amp;M  (Note BB)</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</si>
  <si>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</si>
  <si>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</si>
  <si>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</si>
  <si>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</si>
  <si>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</si>
  <si>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</si>
  <si>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</si>
  <si>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</si>
  <si>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</si>
  <si>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</si>
  <si>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</si>
  <si>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</si>
  <si>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</si>
  <si>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</si>
  <si>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 (Note AA)</t>
  </si>
  <si>
    <t>9a</t>
  </si>
  <si>
    <t xml:space="preserve">  Abandoned Plant Amortization</t>
  </si>
  <si>
    <t>(Note CC)</t>
  </si>
  <si>
    <t>336.10.f &amp; 336.1.f</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</si>
  <si>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</si>
  <si>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</si>
  <si>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</si>
  <si>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</si>
  <si>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</si>
  <si>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</si>
  <si>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</si>
  <si>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</si>
  <si>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</si>
  <si>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</si>
  <si>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</si>
  <si>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</si>
  <si>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</si>
  <si>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</si>
  <si>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</si>
  <si>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</si>
  <si>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</si>
  <si>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</si>
  <si>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</si>
  <si>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</si>
  <si>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</si>
  <si>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</si>
  <si>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</si>
  <si>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</si>
  <si>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</si>
  <si>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</si>
  <si>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</si>
  <si>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</si>
  <si>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</si>
  <si>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</si>
  <si>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30a</t>
  </si>
  <si>
    <t>LESS ATTACHMENT MM ADJUSTMENT [Attachment MM, page 2, line 3, column 14]   (Note Y)</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</si>
  <si>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</si>
  <si>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</si>
  <si>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</si>
  <si>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</si>
  <si>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</si>
  <si>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</si>
  <si>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</si>
  <si>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</si>
  <si>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</si>
  <si>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</si>
  <si>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</si>
  <si>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</si>
  <si>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</si>
  <si>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</si>
  <si>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Schedule 1 Recoverable Expenses</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</si>
  <si>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</si>
  <si>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</si>
  <si>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</si>
  <si>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</si>
  <si>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</si>
  <si>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</si>
  <si>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</si>
  <si>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</si>
  <si>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</si>
  <si>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</si>
  <si>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</si>
  <si>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</si>
  <si>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</si>
  <si>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</si>
  <si>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</si>
  <si>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W&amp;S Allocator</t>
  </si>
  <si>
    <t xml:space="preserve">  Other</t>
  </si>
  <si>
    <t>354.24,25,26.b</t>
  </si>
  <si>
    <t>($ / Allocation)</t>
  </si>
  <si>
    <t xml:space="preserve">  Total  (sum lines 12-15)</t>
  </si>
  <si>
    <t>=</t>
  </si>
  <si>
    <t>WS</t>
  </si>
  <si>
    <t>COMMON PLANT ALLOCATOR  (CE)   (Note O)</t>
  </si>
  <si>
    <t>% Electric</t>
  </si>
  <si>
    <t xml:space="preserve">  Electric</t>
  </si>
  <si>
    <t>(line 17 / line 20)</t>
  </si>
  <si>
    <t>(line 16)</t>
  </si>
  <si>
    <t xml:space="preserve">  Gas</t>
  </si>
  <si>
    <t>*</t>
  </si>
  <si>
    <t xml:space="preserve">  Water</t>
  </si>
  <si>
    <t>201.3.e</t>
  </si>
  <si>
    <t xml:space="preserve">  Total  (sum lines 17 - 19)</t>
  </si>
  <si>
    <t>RETURN (R)</t>
  </si>
  <si>
    <t>Long Term Interest (117, sum of 62.c through 66.c)</t>
  </si>
  <si>
    <t>Preferred Dividends (118.29c) (positive number)</t>
  </si>
  <si>
    <t xml:space="preserve">                                          Development of Common Stock:</t>
  </si>
  <si>
    <t>Proprietary Capital (112.16.c) (Note DD)</t>
  </si>
  <si>
    <t>Less Preferred Stock (line 28)  (Note DD)</t>
  </si>
  <si>
    <t>Less Account 123.1 (225.42.(g)) (enter negative) (Note DD)</t>
  </si>
  <si>
    <t>Common Stock</t>
  </si>
  <si>
    <t>(sum lines 23-25) (Note DD)</t>
  </si>
  <si>
    <t>Cost</t>
  </si>
  <si>
    <t>%</t>
  </si>
  <si>
    <t>(Note P)</t>
  </si>
  <si>
    <t>Weighted</t>
  </si>
  <si>
    <t xml:space="preserve">  Long Term Debt (112, sum of  18.c through 21.c) (Note DD)</t>
  </si>
  <si>
    <t>=WCLTD</t>
  </si>
  <si>
    <t xml:space="preserve">  Preferred Stock  (112.3.c) (Note DD)</t>
  </si>
  <si>
    <t xml:space="preserve">  Common Stock  (line 26) (Note DD)</t>
  </si>
  <si>
    <t>Total  (sum lines 27-29) (Note DD)</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</si>
  <si>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</si>
  <si>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</si>
  <si>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</si>
  <si>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</si>
  <si>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</si>
  <si>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</si>
  <si>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</si>
  <si>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</si>
  <si>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</si>
  <si>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</si>
  <si>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</si>
  <si>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</si>
  <si>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</si>
  <si>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</si>
  <si>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</si>
  <si>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X)</t>
  </si>
  <si>
    <t>36b</t>
  </si>
  <si>
    <t xml:space="preserve">  d. Transmission charges from Schedules associated with Attachment MM  (Note Z)</t>
  </si>
  <si>
    <t xml:space="preserve">  Total of (a)-(b)-(c)-(d)</t>
  </si>
  <si>
    <t>page 5 of 5</t>
  </si>
  <si>
    <t>General Note:  References to pages in this formulary rate are indicated as:  (page#, line#, col.#)</t>
  </si>
  <si>
    <t xml:space="preserve">                           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</si>
  <si>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</si>
  <si>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</si>
  <si>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</si>
  <si>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</si>
  <si>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</si>
  <si>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</si>
  <si>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</si>
  <si>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</si>
  <si>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</si>
  <si>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</si>
  <si>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</si>
  <si>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</si>
  <si>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</si>
  <si>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</si>
  <si>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</si>
  <si>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</si>
  <si>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</si>
  <si>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</si>
  <si>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</si>
  <si>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</si>
  <si>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I</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</si>
  <si>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</si>
  <si>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</si>
  <si>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</si>
  <si>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</si>
  <si>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</si>
  <si>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</si>
  <si>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</si>
  <si>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K</t>
  </si>
  <si>
    <t xml:space="preserve">         Inputs Required:</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</si>
  <si>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</si>
  <si>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</si>
  <si>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</si>
  <si>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t>
  </si>
  <si>
    <t xml:space="preserve">  balances are adjusted to reflect application of seven-factor test).</t>
  </si>
  <si>
    <t>N</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</si>
  <si>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</si>
  <si>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</si>
  <si>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</si>
  <si>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</si>
  <si>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</si>
  <si>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</si>
  <si>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t>
  </si>
  <si>
    <t xml:space="preserve">  preferred outstanding (line 28).   ROE will be supported in the original filing and no change in ROE may be made absent</t>
  </si>
  <si>
    <t xml:space="preserve">  a filing with FERC.</t>
  </si>
  <si>
    <t>Q</t>
  </si>
  <si>
    <t>Line 33 must equal zero since all short-term power sales must be unbundled and the transmission component reflected in Account</t>
  </si>
  <si>
    <t xml:space="preserve">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</si>
  <si>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</si>
  <si>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</si>
  <si>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</si>
  <si>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t>
  </si>
  <si>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</si>
  <si>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pancaking - the revenues are not included in line 4, page 1 nor are the loads included in line 13, page 1.</t>
  </si>
  <si>
    <t>T</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</si>
  <si>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</si>
  <si>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</si>
  <si>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</si>
  <si>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</si>
  <si>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U</t>
  </si>
  <si>
    <t>Account 456.1 entry shall be the annual total of the quarterly values reported at Form 1, 330.x.n.</t>
  </si>
  <si>
    <t>V</t>
  </si>
  <si>
    <t>Account Nos. 561.4 and 561.8 consist of RTO expenses billed to load-serving entities and are not included in Transmission Owner revenue requirements.</t>
  </si>
  <si>
    <t>W</t>
  </si>
  <si>
    <t>Pursuant to Attachment GG of the Midwest ISO Tariff, removes dollar amount of the revenue requirements calculated pursuant to Attachment GG.</t>
  </si>
  <si>
    <t xml:space="preserve">Removes from revenue credits revenue that are distributed pursuant to Schedules associated with Attachment GG of the Midwest ISO Tariff, since the </t>
  </si>
  <si>
    <t>Transmission Owner's Attachment O revenue requirements have already been reduced by the Attachment GG revenue requirements.</t>
  </si>
  <si>
    <t>Pursuant to Attachment MM of the Midwest ISO Tariff, removes dollar amount of revenue requirements calculated pursuant to Attachment MM.</t>
  </si>
  <si>
    <t>Z</t>
  </si>
  <si>
    <t xml:space="preserve">Removes from revenue credits revenues that are distributed pursuant to Schedules associated with Attachment MM of the Midwest ISO Tariff, since the </t>
  </si>
  <si>
    <t xml:space="preserve">Transmission Owner's Attachment O revenue requirements have already been reduced by the Attachment MM revenue requirements. </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</si>
  <si>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</si>
  <si>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</si>
  <si>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</si>
  <si>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</si>
  <si>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CC</t>
  </si>
  <si>
    <t xml:space="preserve">Page 2 line 23b includes any unamortized balances related to the recovery of abandoned plant costs approved by FERC under a separate docket.  </t>
  </si>
  <si>
    <t>Page 3 line 9a includes the Amortization expense of abandonment costs approved by FERC under a separate docket.</t>
  </si>
  <si>
    <t xml:space="preserve">These are shown in the workpapers required pursuant to the Annual Rate Calculation and True-Up Procedures. </t>
  </si>
  <si>
    <t>DD</t>
  </si>
  <si>
    <t>Calculate using 13 month average balance, reconciling to FERC Form No. 1 by page, line and column as shown in Column 2.</t>
  </si>
  <si>
    <t>EE</t>
  </si>
  <si>
    <t>Calculate using a simple average of beginning of year and end of year balances reconciling to FERC Form No. 1 by page, line and column as shown in Column 2.</t>
  </si>
  <si>
    <t>FF</t>
  </si>
  <si>
    <t>Calculation of Prior Year Divisor True-Up:</t>
  </si>
  <si>
    <t>Pg 1, Line 15</t>
  </si>
  <si>
    <t>Difference between Historic &amp; Project Yr Divisor</t>
  </si>
  <si>
    <t>Pg 1, Line 16</t>
  </si>
  <si>
    <t>Projected Year Divisor True-up (Difference * Prior Year Projected Annual Cost)</t>
  </si>
  <si>
    <t>Interest on Historic Year True-Up   2/</t>
  </si>
  <si>
    <t>2/  Interest will be applied in the Projected 2015 Attachment O submitted in September 2014.</t>
  </si>
  <si>
    <t>1/  For purposes of calculating the historic divisor for the divisor true-up, Montana-Dakota included</t>
  </si>
  <si>
    <t>the REC load.</t>
  </si>
  <si>
    <t xml:space="preserve">Montana-Dakota </t>
  </si>
  <si>
    <t xml:space="preserve">REC </t>
  </si>
  <si>
    <t xml:space="preserve">     Total KW</t>
  </si>
  <si>
    <t>ER13-1827</t>
  </si>
  <si>
    <t>Midwest ISO FERC Electric Tariff Fifth Revised Volume No. 1 
(Midwest Independent Transmission System - FERC Electric Tariff)</t>
  </si>
  <si>
    <t>ER13-1547</t>
  </si>
  <si>
    <t>ER13-751</t>
  </si>
  <si>
    <t>ER13-674-002</t>
  </si>
  <si>
    <t>ER13-674</t>
  </si>
  <si>
    <t>ER13-307</t>
  </si>
  <si>
    <t>ER12-1667</t>
  </si>
  <si>
    <t>ER12-578</t>
  </si>
  <si>
    <t>ER12-310</t>
  </si>
  <si>
    <t>ER12-297</t>
  </si>
  <si>
    <t>ER11-3704</t>
  </si>
  <si>
    <t>ER11-3251</t>
  </si>
  <si>
    <t>6/13/2011
(5/24/12 settlement filed)</t>
  </si>
  <si>
    <t>ER11-2700-004</t>
  </si>
  <si>
    <t>ER11-2700-000</t>
  </si>
  <si>
    <t>ER10-1997-001</t>
  </si>
  <si>
    <t>ER10-1997-000</t>
  </si>
  <si>
    <t>ER10-1492-000</t>
  </si>
  <si>
    <t>Midwest ISO FERC Electric Tariff Fourth Revised Volume No. 1</t>
  </si>
  <si>
    <t>ER09-1779-000</t>
  </si>
  <si>
    <t>ER09-1657-000</t>
  </si>
  <si>
    <t>ER09-91-000; 
ER09-571-000</t>
  </si>
  <si>
    <t>ER09-91-000</t>
  </si>
  <si>
    <t>Midwest ISO FERC Electric Tariff Third Revised Volume No. 1</t>
  </si>
  <si>
    <t>ER09-15-001</t>
  </si>
  <si>
    <t>OA08-4-001</t>
  </si>
  <si>
    <t>ER07-113-002</t>
  </si>
  <si>
    <t>ER07-113-000</t>
  </si>
  <si>
    <t>ER06-159-000</t>
  </si>
  <si>
    <t>ER04-691-034; 
EL04-104-013; 
EL04-104-032</t>
  </si>
  <si>
    <t>ER04-691-014; 
EL04-104-013; 
EL04-104-032</t>
  </si>
  <si>
    <t>ER05-1085-001; 
ER04-458-008</t>
  </si>
  <si>
    <t>ER05-122-000</t>
  </si>
  <si>
    <t>Midwest ISO FERC Electric Tariff Second Revised Volume No. 1</t>
  </si>
  <si>
    <t>ER04-895-000</t>
  </si>
  <si>
    <t>ER04-458-004</t>
  </si>
  <si>
    <t>ER98-1438-007</t>
  </si>
  <si>
    <t>Midwest ISO FERC Electric Tariff First Revised Volume No. 1</t>
  </si>
  <si>
    <t>ER98-1438-000</t>
  </si>
  <si>
    <t>Midwest ISO FERC Electric Tariff Original Volume No. 1</t>
  </si>
  <si>
    <t>Date Filed</t>
  </si>
  <si>
    <t>FERC Proceeding</t>
  </si>
  <si>
    <t>FERC Rate Schedule or Tariff Number</t>
  </si>
  <si>
    <t>Generic Attachment O Revisions</t>
  </si>
  <si>
    <t>Notes to MISO Attachment O</t>
  </si>
  <si>
    <t>Annual True-Up 2013</t>
  </si>
  <si>
    <t>Actuals for Twelve Months Ended December 31, 2013</t>
  </si>
  <si>
    <t>Divisor</t>
  </si>
  <si>
    <t>Page 1, Line 15</t>
  </si>
  <si>
    <t>Page 4, Line 36</t>
  </si>
  <si>
    <t>Transmission charges for all transmission transactions included in Divisor on Page 1</t>
  </si>
  <si>
    <t>Projected 2013 Other Electric Revenues (Line 36) included the revenue received from the REC Load included in Divisor 1 of $373,950</t>
  </si>
  <si>
    <t>Projected 2013 divisor also included the WAPA and Basin load of 251,397 kw (in Line 10) for a total divisor of 738,755.</t>
  </si>
  <si>
    <t>Actual 2013 divisor only reflects Montana-Dakota's average 12 coincident peaks and does not include the WAPA and Basin load for 2013 pursuant to previous discussions between MISO and Montana-Dakota.</t>
  </si>
  <si>
    <t>The corresponding revenue received from WAPA and Basin for the transmission of electricity has also been excluded from Other Electric Revenues consistent with the exclusion from the Divisor.</t>
  </si>
  <si>
    <t>Page 4, Lines 36a</t>
  </si>
  <si>
    <t>Transmission charges from Schedules associated with Attachment GG</t>
  </si>
  <si>
    <t>Page 4, Lines 36b</t>
  </si>
  <si>
    <t>Transmission charges from Schedules associated with Attachment MM</t>
  </si>
  <si>
    <t>Projected 2013 Other Electric Revenues (Line 36a) included the revenue requirement of Attachment GG</t>
  </si>
  <si>
    <t>Projected 2013 Other Electric Revenues (Line 36b) included the revenue requirement of Attachment MM</t>
  </si>
  <si>
    <t>Montana-Dakota did not include the revenue received from Attachment MM in Other Electric Revenues (Line 36b).  The revenue received is included in Acct 417 Revenues From Nonutlity Operations.  Therefore Montana-Dakota did not include any revenue received from Other Electric Revenues for Attachment MM.</t>
  </si>
  <si>
    <t>Montana-Dakota did not include the revenue received from Attachment GG in Other Electric Revenues (Line 36a).  The revenue received is included along with expenses in a Regulatory Asset account.  Therefore Montana-Dakota did not include any revenue received from Other Electric Revenues for Attachment GG.</t>
  </si>
  <si>
    <t>MISO Attachment O True-Up – 2013</t>
  </si>
  <si>
    <t>Summary of Accounting Changes</t>
  </si>
  <si>
    <t>“Accounting Changes” as defined by Section II Para E 8 of the final tariff are listed below:</t>
  </si>
  <si>
    <r>
      <t>·</t>
    </r>
    <r>
      <rPr>
        <sz val="7"/>
        <color theme="1"/>
        <rFont val="Times New Roman"/>
        <family val="1"/>
      </rPr>
      <t xml:space="preserve">         </t>
    </r>
    <r>
      <rPr>
        <sz val="12"/>
        <color theme="1"/>
        <rFont val="Arial"/>
        <family val="2"/>
      </rPr>
      <t>Accounting change to use FERC major account 106 – Completed Construction Not Classified.  With the conversion to a new construction and fixed asset system software called PowerPlan, the Company was able to take advantage of the automatic close process of in-service construction costs not yet unitized to be recorded in plant in service (FERC 106) and begin depreciation.  The effect was to show more construction costs as plant in service rather than work in progress on the balance sheet and allowed us to record more timely depreciation expense on the income statement.</t>
    </r>
  </si>
  <si>
    <r>
      <t>·</t>
    </r>
    <r>
      <rPr>
        <sz val="7"/>
        <color theme="1"/>
        <rFont val="Times New Roman"/>
        <family val="1"/>
      </rPr>
      <t xml:space="preserve">         </t>
    </r>
    <r>
      <rPr>
        <sz val="12"/>
        <color theme="1"/>
        <rFont val="Arial"/>
        <family val="2"/>
      </rPr>
      <t xml:space="preserve">Income Tax election for Electric Distribution repairs deduction.  With this election we are allowed to deduct certain financial booked capital construction in-service depreciable costs for income tax purposes under the repairs guidelines of the IRS regulations.  This results in current income tax that are lower due to higher deductible expenses for tax than book thus creating a larger deferred income tax liability on the balance sheet and an improved cash flow position. </t>
    </r>
  </si>
  <si>
    <r>
      <t>·</t>
    </r>
    <r>
      <rPr>
        <sz val="7"/>
        <color theme="1"/>
        <rFont val="Times New Roman"/>
        <family val="1"/>
      </rPr>
      <t xml:space="preserve">         </t>
    </r>
    <r>
      <rPr>
        <sz val="12"/>
        <color theme="1"/>
        <rFont val="Arial"/>
        <family val="2"/>
      </rPr>
      <t>KVAR penalty revenue formerly recorded as demand revenue in 4001 was recorded in 4560 (Other electric revenue) beginning 1/1/13 to better reflect type of revenue.</t>
    </r>
  </si>
  <si>
    <r>
      <t>·</t>
    </r>
    <r>
      <rPr>
        <sz val="7"/>
        <color theme="1"/>
        <rFont val="Times New Roman"/>
        <family val="1"/>
      </rPr>
      <t xml:space="preserve">         </t>
    </r>
    <r>
      <rPr>
        <sz val="12"/>
        <color theme="1"/>
        <rFont val="Arial"/>
        <family val="2"/>
      </rPr>
      <t>Late payment revenues formerly recorded as 4190 (Interest Income) were recorded as 4500 (Forfeited discounts) beginning 1/1/13 to better reflect type of revenue.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</si>
</sst>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0_);[Red]\(#,##0.0\)"/>
    <numFmt numFmtId="166" formatCode="0.000%"/>
    <numFmt numFmtId="167" formatCode="0.00000%"/>
    <numFmt numFmtId="168" formatCode="0.000000%"/>
    <numFmt numFmtId="169" formatCode="&quot;$&quot;#,##0.000_);[Red]\(&quot;$&quot;#,##0.000\)"/>
    <numFmt numFmtId="170" formatCode="0.00000"/>
    <numFmt numFmtId="171" formatCode="0_);[Red]\(0\)"/>
    <numFmt numFmtId="172" formatCode="#,##0.000"/>
    <numFmt numFmtId="173" formatCode="&quot;$&quot;#,##0.000"/>
    <numFmt numFmtId="174" formatCode="#,##0.00000"/>
    <numFmt numFmtId="175" formatCode="#,##0.0"/>
    <numFmt numFmtId="176" formatCode="0.0000"/>
    <numFmt numFmtId="177" formatCode="#,##0.0000"/>
    <numFmt numFmtId="178" formatCode="_(&quot;$&quot;* #,##0_);_(&quot;$&quot;* \(#,##0\);_(&quot;$&quot;* &quot;-&quot;??_);_(@_)"/>
    <numFmt numFmtId="179" formatCode="_(* #,##0_);_(* \(#,##0\);_(* &quot;-&quot;??_);_(@_)"/>
    <numFmt numFmtId="180" formatCode="&quot;$&quot;#,##0"/>
    <numFmt numFmtId="181" formatCode="#,##0.000_);\(#,##0.000\)"/>
  </numFmts>
  <fonts count="6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2"/>
      <name val="Arial MT"/>
    </font>
    <font>
      <b/>
      <sz val="10"/>
      <color theme="1"/>
      <name val="Arial"/>
      <family val="2"/>
    </font>
    <font>
      <sz val="10"/>
      <name val="Arial"/>
      <family val="2"/>
    </font>
    <font>
      <sz val="10"/>
      <name val="Arial"/>
      <family val="2"/>
    </font>
    <font>
      <sz val="12"/>
      <color indexed="17"/>
      <name val="Arial"/>
      <family val="2"/>
    </font>
    <font>
      <b/>
      <sz val="12"/>
      <name val="Arial MT"/>
    </font>
    <font>
      <b/>
      <sz val="12"/>
      <color indexed="12"/>
      <name val="Arial MT"/>
    </font>
    <font>
      <b/>
      <sz val="12"/>
      <color rgb="FF0000CC"/>
      <name val="Arial MT"/>
    </font>
    <font>
      <sz val="12"/>
      <color indexed="12"/>
      <name val="Arial MT"/>
    </font>
    <font>
      <sz val="14"/>
      <name val="Arial MT"/>
    </font>
    <font>
      <sz val="16"/>
      <name val="Arial MT"/>
    </font>
    <font>
      <sz val="14"/>
      <name val="Times New Roman"/>
      <family val="1"/>
    </font>
    <font>
      <sz val="14"/>
      <color indexed="12"/>
      <name val="Arial MT"/>
    </font>
    <font>
      <sz val="10"/>
      <color indexed="8"/>
      <name val="Arial"/>
      <family val="2"/>
    </font>
    <font>
      <b/>
      <sz val="12"/>
      <color theme="1"/>
      <name val="Arial"/>
      <family val="2"/>
    </font>
    <font>
      <sz val="11"/>
      <color theme="1"/>
      <name val="Calibri"/>
      <family val="2"/>
      <scheme val="minor"/>
    </font>
    <font>
      <sz val="12"/>
      <name val="Times New Roman"/>
      <family val="1"/>
    </font>
    <font>
      <b/>
      <sz val="12"/>
      <name val="Times New Roman"/>
      <family val="1"/>
    </font>
    <font>
      <sz val="12"/>
      <color indexed="17"/>
      <name val="Arial MT"/>
    </font>
    <font>
      <sz val="12"/>
      <color rgb="FFC00000"/>
      <name val="Times New Roman"/>
      <family val="1"/>
    </font>
    <font>
      <b/>
      <u/>
      <sz val="12"/>
      <name val="Times New Roman"/>
      <family val="1"/>
    </font>
    <font>
      <strike/>
      <sz val="12"/>
      <name val="Times New Roman"/>
      <family val="1"/>
    </font>
    <font>
      <b/>
      <sz val="12"/>
      <color indexed="48"/>
      <name val="Times New Roman"/>
      <family val="1"/>
    </font>
    <font>
      <strike/>
      <sz val="12"/>
      <color indexed="53"/>
      <name val="Arial MT"/>
    </font>
    <font>
      <u/>
      <sz val="12"/>
      <color indexed="17"/>
      <name val="Arial MT"/>
    </font>
    <font>
      <sz val="12"/>
      <color indexed="10"/>
      <name val="Times New Roman"/>
      <family val="1"/>
    </font>
    <font>
      <u/>
      <sz val="12"/>
      <name val="Times New Roman"/>
      <family val="1"/>
    </font>
    <font>
      <sz val="12"/>
      <color rgb="FF0070C0"/>
      <name val="Times New Roman"/>
      <family val="1"/>
    </font>
    <font>
      <sz val="10"/>
      <name val="Arial"/>
      <family val="2"/>
    </font>
    <font>
      <b/>
      <sz val="10"/>
      <name val="Arial"/>
      <family val="2"/>
    </font>
    <font>
      <sz val="12"/>
      <color theme="1"/>
      <name val="Arial"/>
      <family val="2"/>
    </font>
    <font>
      <sz val="12"/>
      <color theme="1"/>
      <name val="Symbol"/>
      <family val="1"/>
      <charset val="2"/>
    </font>
    <font>
      <sz val="7"/>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17">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5">
    <xf numFmtId="0" fontId="0" fillId="0" borderId="0"/>
    <xf numFmtId="0" fontId="33" fillId="0" borderId="0"/>
    <xf numFmtId="43" fontId="33" fillId="0" borderId="0" applyFon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164" fontId="31" fillId="0" borderId="0" applyProtection="0"/>
    <xf numFmtId="0" fontId="34" fillId="0" borderId="0"/>
    <xf numFmtId="0" fontId="7" fillId="0" borderId="0"/>
    <xf numFmtId="0" fontId="33" fillId="0" borderId="0"/>
    <xf numFmtId="9" fontId="33"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164" fontId="31" fillId="0" borderId="0" applyProtection="0"/>
    <xf numFmtId="0" fontId="59" fillId="0" borderId="0"/>
  </cellStyleXfs>
  <cellXfs count="579">
    <xf numFmtId="0" fontId="0" fillId="0" borderId="0" xfId="0"/>
    <xf numFmtId="0" fontId="30" fillId="0" borderId="0" xfId="0" applyFont="1"/>
    <xf numFmtId="0" fontId="30" fillId="0" borderId="0" xfId="0" applyFont="1" applyBorder="1" applyAlignment="1">
      <alignment horizontal="center"/>
    </xf>
    <xf numFmtId="0" fontId="30" fillId="0" borderId="8" xfId="0" applyFont="1" applyBorder="1" applyAlignment="1">
      <alignment horizontal="center"/>
    </xf>
    <xf numFmtId="0" fontId="30" fillId="0" borderId="0" xfId="0" applyFont="1" applyAlignment="1">
      <alignment horizontal="left"/>
    </xf>
    <xf numFmtId="0" fontId="32" fillId="0" borderId="0" xfId="0" applyFont="1"/>
    <xf numFmtId="38" fontId="30" fillId="0" borderId="0" xfId="0" applyNumberFormat="1" applyFont="1"/>
    <xf numFmtId="38" fontId="30" fillId="0" borderId="0" xfId="0" applyNumberFormat="1" applyFont="1" applyAlignment="1">
      <alignment horizontal="center"/>
    </xf>
    <xf numFmtId="38" fontId="30" fillId="0" borderId="0" xfId="0" applyNumberFormat="1" applyFont="1" applyBorder="1" applyAlignment="1">
      <alignment horizontal="center"/>
    </xf>
    <xf numFmtId="38" fontId="30" fillId="0" borderId="8" xfId="0" applyNumberFormat="1" applyFont="1" applyBorder="1" applyAlignment="1">
      <alignment horizontal="center"/>
    </xf>
    <xf numFmtId="38" fontId="30" fillId="0" borderId="3" xfId="0" applyNumberFormat="1" applyFont="1" applyBorder="1"/>
    <xf numFmtId="0" fontId="32" fillId="0" borderId="0" xfId="0" applyFont="1" applyAlignment="1">
      <alignment horizontal="centerContinuous"/>
    </xf>
    <xf numFmtId="0" fontId="30" fillId="0" borderId="0" xfId="0" applyFont="1" applyAlignment="1">
      <alignment horizontal="centerContinuous"/>
    </xf>
    <xf numFmtId="38" fontId="30" fillId="0" borderId="0" xfId="0" applyNumberFormat="1" applyFont="1" applyAlignment="1">
      <alignment horizontal="centerContinuous"/>
    </xf>
    <xf numFmtId="38" fontId="30" fillId="2" borderId="0" xfId="0" applyNumberFormat="1" applyFont="1" applyFill="1" applyAlignment="1">
      <alignment horizontal="center"/>
    </xf>
    <xf numFmtId="38" fontId="30" fillId="2" borderId="0" xfId="0" applyNumberFormat="1" applyFont="1" applyFill="1" applyBorder="1" applyAlignment="1">
      <alignment horizontal="center"/>
    </xf>
    <xf numFmtId="38" fontId="30" fillId="2" borderId="0" xfId="0" applyNumberFormat="1" applyFont="1" applyFill="1"/>
    <xf numFmtId="6" fontId="30" fillId="0" borderId="0" xfId="0" applyNumberFormat="1" applyFont="1"/>
    <xf numFmtId="38" fontId="32" fillId="0" borderId="0" xfId="0" applyNumberFormat="1" applyFont="1" applyAlignment="1">
      <alignment horizontal="centerContinuous"/>
    </xf>
    <xf numFmtId="6" fontId="30" fillId="0" borderId="0" xfId="0" applyNumberFormat="1" applyFont="1" applyAlignment="1"/>
    <xf numFmtId="38" fontId="30" fillId="0" borderId="10" xfId="0" applyNumberFormat="1" applyFont="1" applyBorder="1"/>
    <xf numFmtId="38" fontId="30" fillId="0" borderId="0" xfId="0" applyNumberFormat="1" applyFont="1" applyAlignment="1"/>
    <xf numFmtId="0" fontId="29" fillId="0" borderId="0" xfId="0" applyFont="1"/>
    <xf numFmtId="38" fontId="29" fillId="0" borderId="0" xfId="0" applyNumberFormat="1" applyFont="1" applyBorder="1" applyAlignment="1">
      <alignment horizontal="center"/>
    </xf>
    <xf numFmtId="38" fontId="29" fillId="0" borderId="0" xfId="0" applyNumberFormat="1" applyFont="1"/>
    <xf numFmtId="6" fontId="29" fillId="0" borderId="0" xfId="0" applyNumberFormat="1" applyFont="1"/>
    <xf numFmtId="0" fontId="29" fillId="0" borderId="0" xfId="0" applyFont="1" applyAlignment="1">
      <alignment horizontal="center"/>
    </xf>
    <xf numFmtId="0" fontId="29" fillId="0" borderId="8" xfId="0" applyFont="1" applyBorder="1" applyAlignment="1">
      <alignment horizontal="center"/>
    </xf>
    <xf numFmtId="38" fontId="29" fillId="0" borderId="0" xfId="0" applyNumberFormat="1" applyFont="1" applyAlignment="1">
      <alignment horizontal="center"/>
    </xf>
    <xf numFmtId="38" fontId="29" fillId="0" borderId="8" xfId="0" applyNumberFormat="1" applyFont="1" applyBorder="1" applyAlignment="1">
      <alignment horizontal="center"/>
    </xf>
    <xf numFmtId="165" fontId="29" fillId="0" borderId="0" xfId="0" applyNumberFormat="1" applyFont="1"/>
    <xf numFmtId="165" fontId="29" fillId="0" borderId="0" xfId="0" applyNumberFormat="1" applyFont="1" applyAlignment="1">
      <alignment horizontal="center"/>
    </xf>
    <xf numFmtId="165" fontId="29" fillId="0" borderId="8" xfId="0" applyNumberFormat="1" applyFont="1" applyBorder="1" applyAlignment="1">
      <alignment horizontal="center"/>
    </xf>
    <xf numFmtId="165" fontId="32" fillId="0" borderId="0" xfId="0" applyNumberFormat="1" applyFont="1" applyAlignment="1">
      <alignment horizontal="centerContinuous"/>
    </xf>
    <xf numFmtId="38" fontId="29" fillId="0" borderId="3" xfId="0" applyNumberFormat="1" applyFont="1" applyBorder="1"/>
    <xf numFmtId="38" fontId="29" fillId="0" borderId="10" xfId="0" applyNumberFormat="1" applyFont="1" applyBorder="1"/>
    <xf numFmtId="0" fontId="33" fillId="0" borderId="0" xfId="1"/>
    <xf numFmtId="0" fontId="33" fillId="0" borderId="0" xfId="1" applyFont="1" applyFill="1"/>
    <xf numFmtId="38" fontId="30" fillId="0" borderId="8" xfId="0" applyNumberFormat="1" applyFont="1" applyBorder="1" applyAlignment="1">
      <alignment horizontal="centerContinuous"/>
    </xf>
    <xf numFmtId="0" fontId="29" fillId="0" borderId="0" xfId="0" applyFont="1" applyBorder="1" applyAlignment="1">
      <alignment horizontal="center"/>
    </xf>
    <xf numFmtId="0" fontId="29" fillId="3" borderId="3" xfId="0" applyFont="1" applyFill="1" applyBorder="1"/>
    <xf numFmtId="0" fontId="29" fillId="3" borderId="0" xfId="0" applyFont="1" applyFill="1" applyBorder="1"/>
    <xf numFmtId="0" fontId="29" fillId="3" borderId="8" xfId="0" applyFont="1" applyFill="1" applyBorder="1"/>
    <xf numFmtId="38" fontId="29" fillId="3" borderId="9" xfId="0" applyNumberFormat="1" applyFont="1" applyFill="1" applyBorder="1"/>
    <xf numFmtId="38" fontId="29" fillId="2" borderId="0" xfId="0" applyNumberFormat="1" applyFont="1" applyFill="1"/>
    <xf numFmtId="38" fontId="29" fillId="0" borderId="0" xfId="0" applyNumberFormat="1" applyFont="1" applyBorder="1"/>
    <xf numFmtId="38" fontId="29" fillId="0" borderId="1" xfId="0" applyNumberFormat="1" applyFont="1" applyBorder="1"/>
    <xf numFmtId="0" fontId="34" fillId="0" borderId="0" xfId="7"/>
    <xf numFmtId="38" fontId="29" fillId="0" borderId="8" xfId="0" applyNumberFormat="1" applyFont="1" applyBorder="1"/>
    <xf numFmtId="38" fontId="29" fillId="2" borderId="8" xfId="0" applyNumberFormat="1" applyFont="1" applyFill="1" applyBorder="1"/>
    <xf numFmtId="0" fontId="28" fillId="0" borderId="0" xfId="0" applyFont="1"/>
    <xf numFmtId="165" fontId="32" fillId="0" borderId="0" xfId="0" applyNumberFormat="1" applyFont="1"/>
    <xf numFmtId="165" fontId="28" fillId="0" borderId="0" xfId="0" applyNumberFormat="1" applyFont="1"/>
    <xf numFmtId="0" fontId="33" fillId="0" borderId="0" xfId="1"/>
    <xf numFmtId="0" fontId="33" fillId="0" borderId="0" xfId="1" applyFill="1"/>
    <xf numFmtId="0" fontId="33" fillId="0" borderId="0" xfId="1" applyFont="1" applyFill="1"/>
    <xf numFmtId="40" fontId="33" fillId="0" borderId="0" xfId="1" applyNumberFormat="1" applyFill="1"/>
    <xf numFmtId="40" fontId="33" fillId="0" borderId="10" xfId="1" applyNumberFormat="1" applyFill="1" applyBorder="1"/>
    <xf numFmtId="43" fontId="33" fillId="0" borderId="0" xfId="4" applyFont="1" applyFill="1"/>
    <xf numFmtId="0" fontId="33" fillId="0" borderId="8" xfId="1" applyFill="1" applyBorder="1" applyAlignment="1">
      <alignment horizontal="centerContinuous"/>
    </xf>
    <xf numFmtId="0" fontId="33" fillId="0" borderId="8" xfId="1" applyFill="1" applyBorder="1" applyAlignment="1">
      <alignment horizontal="center"/>
    </xf>
    <xf numFmtId="0" fontId="33" fillId="0" borderId="0" xfId="1" quotePrefix="1" applyFill="1" applyAlignment="1">
      <alignment horizontal="left"/>
    </xf>
    <xf numFmtId="43" fontId="33" fillId="0" borderId="8" xfId="4" applyFont="1" applyFill="1" applyBorder="1"/>
    <xf numFmtId="43" fontId="33" fillId="0" borderId="10" xfId="4" applyFont="1" applyFill="1" applyBorder="1"/>
    <xf numFmtId="8" fontId="33" fillId="0" borderId="1" xfId="1" applyNumberFormat="1" applyFill="1" applyBorder="1"/>
    <xf numFmtId="7" fontId="33" fillId="0" borderId="0" xfId="5" applyNumberFormat="1" applyFont="1" applyFill="1"/>
    <xf numFmtId="38" fontId="28" fillId="0" borderId="0" xfId="0" applyNumberFormat="1" applyFont="1"/>
    <xf numFmtId="0" fontId="28" fillId="0" borderId="8" xfId="0" applyFont="1" applyBorder="1" applyAlignment="1">
      <alignment horizontal="center"/>
    </xf>
    <xf numFmtId="0" fontId="28" fillId="0" borderId="0" xfId="0" applyFont="1" applyBorder="1" applyAlignment="1">
      <alignment horizontal="center"/>
    </xf>
    <xf numFmtId="38" fontId="28" fillId="0" borderId="8" xfId="0" applyNumberFormat="1" applyFont="1" applyBorder="1" applyAlignment="1">
      <alignment horizontal="center"/>
    </xf>
    <xf numFmtId="38" fontId="28" fillId="0" borderId="0" xfId="0" applyNumberFormat="1" applyFont="1" applyAlignment="1">
      <alignment horizontal="center"/>
    </xf>
    <xf numFmtId="165" fontId="32" fillId="3" borderId="2" xfId="0" applyNumberFormat="1" applyFont="1" applyFill="1" applyBorder="1"/>
    <xf numFmtId="38" fontId="29" fillId="3" borderId="4" xfId="0" applyNumberFormat="1" applyFont="1" applyFill="1" applyBorder="1"/>
    <xf numFmtId="165" fontId="29" fillId="3" borderId="5" xfId="0" applyNumberFormat="1" applyFont="1" applyFill="1" applyBorder="1"/>
    <xf numFmtId="38" fontId="29" fillId="3" borderId="6" xfId="0" applyNumberFormat="1" applyFont="1" applyFill="1" applyBorder="1"/>
    <xf numFmtId="0" fontId="28" fillId="3" borderId="0" xfId="0" applyFont="1" applyFill="1" applyBorder="1"/>
    <xf numFmtId="165" fontId="28" fillId="3" borderId="0" xfId="0" applyNumberFormat="1" applyFont="1" applyFill="1" applyBorder="1"/>
    <xf numFmtId="165" fontId="29" fillId="3" borderId="0" xfId="0" applyNumberFormat="1" applyFont="1" applyFill="1" applyBorder="1"/>
    <xf numFmtId="38" fontId="29" fillId="3" borderId="11" xfId="0" applyNumberFormat="1" applyFont="1" applyFill="1" applyBorder="1"/>
    <xf numFmtId="165" fontId="29" fillId="3" borderId="7" xfId="0" applyNumberFormat="1" applyFont="1" applyFill="1" applyBorder="1"/>
    <xf numFmtId="165" fontId="29" fillId="3" borderId="8" xfId="0" applyNumberFormat="1" applyFont="1" applyFill="1" applyBorder="1"/>
    <xf numFmtId="6" fontId="29" fillId="3" borderId="6" xfId="0" applyNumberFormat="1" applyFont="1" applyFill="1" applyBorder="1"/>
    <xf numFmtId="0" fontId="27" fillId="0" borderId="0" xfId="0" applyFont="1"/>
    <xf numFmtId="0" fontId="26" fillId="0" borderId="0" xfId="0" applyFont="1"/>
    <xf numFmtId="38" fontId="26" fillId="0" borderId="0" xfId="0" applyNumberFormat="1" applyFont="1"/>
    <xf numFmtId="38" fontId="26" fillId="0" borderId="3" xfId="0" applyNumberFormat="1" applyFont="1" applyBorder="1"/>
    <xf numFmtId="0" fontId="26" fillId="0" borderId="0" xfId="0" applyFont="1" applyBorder="1"/>
    <xf numFmtId="38" fontId="26" fillId="0" borderId="8" xfId="0" applyNumberFormat="1" applyFont="1" applyBorder="1"/>
    <xf numFmtId="6" fontId="26" fillId="0" borderId="0" xfId="0" applyNumberFormat="1" applyFont="1"/>
    <xf numFmtId="38" fontId="26" fillId="0" borderId="0" xfId="0" applyNumberFormat="1" applyFont="1" applyBorder="1" applyAlignment="1">
      <alignment horizontal="center"/>
    </xf>
    <xf numFmtId="0" fontId="26" fillId="0" borderId="0" xfId="0" applyFont="1" applyAlignment="1">
      <alignment horizontal="centerContinuous"/>
    </xf>
    <xf numFmtId="38" fontId="26" fillId="0" borderId="0" xfId="0" applyNumberFormat="1" applyFont="1" applyAlignment="1">
      <alignment horizontal="centerContinuous"/>
    </xf>
    <xf numFmtId="38" fontId="26" fillId="0" borderId="10" xfId="0" applyNumberFormat="1" applyFont="1" applyBorder="1"/>
    <xf numFmtId="38" fontId="26" fillId="0" borderId="12" xfId="0" applyNumberFormat="1" applyFont="1" applyBorder="1"/>
    <xf numFmtId="38" fontId="25" fillId="0" borderId="0" xfId="0" applyNumberFormat="1" applyFont="1"/>
    <xf numFmtId="0" fontId="25" fillId="0" borderId="0" xfId="0" applyFont="1"/>
    <xf numFmtId="38" fontId="25" fillId="0" borderId="3" xfId="0" applyNumberFormat="1" applyFont="1" applyBorder="1"/>
    <xf numFmtId="38" fontId="25" fillId="0" borderId="0" xfId="0" applyNumberFormat="1" applyFont="1" applyAlignment="1">
      <alignment horizontal="center"/>
    </xf>
    <xf numFmtId="38" fontId="25" fillId="0" borderId="8" xfId="0" applyNumberFormat="1" applyFont="1" applyBorder="1" applyAlignment="1">
      <alignment horizontal="center"/>
    </xf>
    <xf numFmtId="6" fontId="25" fillId="0" borderId="0" xfId="0" applyNumberFormat="1" applyFont="1"/>
    <xf numFmtId="38" fontId="25" fillId="0" borderId="0" xfId="0" applyNumberFormat="1" applyFont="1" applyBorder="1"/>
    <xf numFmtId="0" fontId="25" fillId="0" borderId="8" xfId="0" applyFont="1" applyBorder="1"/>
    <xf numFmtId="0" fontId="25" fillId="0" borderId="0" xfId="0" applyFont="1" applyAlignment="1">
      <alignment horizontal="center"/>
    </xf>
    <xf numFmtId="6" fontId="25" fillId="0" borderId="1" xfId="0" applyNumberFormat="1" applyFont="1" applyBorder="1"/>
    <xf numFmtId="0" fontId="25" fillId="0" borderId="8" xfId="0" applyFont="1" applyBorder="1" applyAlignment="1">
      <alignment horizontal="center"/>
    </xf>
    <xf numFmtId="0" fontId="30" fillId="0" borderId="0" xfId="0" applyFont="1" applyBorder="1"/>
    <xf numFmtId="0" fontId="25" fillId="0" borderId="0" xfId="0" applyFont="1" applyBorder="1" applyAlignment="1">
      <alignment horizontal="center"/>
    </xf>
    <xf numFmtId="0" fontId="30" fillId="0" borderId="0" xfId="0" applyFont="1" applyFill="1"/>
    <xf numFmtId="38" fontId="30" fillId="0" borderId="0" xfId="0" applyNumberFormat="1" applyFont="1" applyFill="1"/>
    <xf numFmtId="38" fontId="29" fillId="0" borderId="0" xfId="0" applyNumberFormat="1" applyFont="1" applyFill="1"/>
    <xf numFmtId="38" fontId="30" fillId="0" borderId="3" xfId="0" applyNumberFormat="1" applyFont="1" applyFill="1" applyBorder="1"/>
    <xf numFmtId="38" fontId="30" fillId="0" borderId="0" xfId="0" applyNumberFormat="1" applyFont="1" applyFill="1" applyBorder="1"/>
    <xf numFmtId="38" fontId="30" fillId="0" borderId="8" xfId="0" applyNumberFormat="1" applyFont="1" applyFill="1" applyBorder="1"/>
    <xf numFmtId="38" fontId="30" fillId="0" borderId="0" xfId="0" applyNumberFormat="1" applyFont="1" applyBorder="1"/>
    <xf numFmtId="6" fontId="30" fillId="0" borderId="0" xfId="0" applyNumberFormat="1" applyFont="1" applyFill="1"/>
    <xf numFmtId="6" fontId="29" fillId="0" borderId="0" xfId="0" applyNumberFormat="1" applyFont="1" applyFill="1"/>
    <xf numFmtId="6" fontId="25" fillId="0" borderId="0" xfId="0" applyNumberFormat="1" applyFont="1" applyFill="1"/>
    <xf numFmtId="6" fontId="30" fillId="0" borderId="8" xfId="0" applyNumberFormat="1" applyFont="1" applyFill="1" applyBorder="1"/>
    <xf numFmtId="38" fontId="25" fillId="0" borderId="0" xfId="0" applyNumberFormat="1" applyFont="1" applyFill="1"/>
    <xf numFmtId="165" fontId="25" fillId="0" borderId="0" xfId="0" applyNumberFormat="1" applyFont="1"/>
    <xf numFmtId="0" fontId="24" fillId="0" borderId="0" xfId="0" applyFont="1"/>
    <xf numFmtId="38" fontId="25" fillId="2" borderId="0" xfId="0" applyNumberFormat="1" applyFont="1" applyFill="1"/>
    <xf numFmtId="38" fontId="26" fillId="2" borderId="0" xfId="0" applyNumberFormat="1" applyFont="1" applyFill="1"/>
    <xf numFmtId="38" fontId="26" fillId="0" borderId="0" xfId="0" applyNumberFormat="1" applyFont="1" applyBorder="1"/>
    <xf numFmtId="0" fontId="23" fillId="0" borderId="0" xfId="0" applyFont="1"/>
    <xf numFmtId="38" fontId="22" fillId="0" borderId="8" xfId="0" applyNumberFormat="1" applyFont="1" applyBorder="1" applyAlignment="1">
      <alignment horizontal="center"/>
    </xf>
    <xf numFmtId="0" fontId="22" fillId="0" borderId="0" xfId="0" applyFont="1" applyBorder="1"/>
    <xf numFmtId="0" fontId="21" fillId="0" borderId="0" xfId="0" applyFont="1" applyBorder="1"/>
    <xf numFmtId="0" fontId="21" fillId="0" borderId="0" xfId="0" applyFont="1"/>
    <xf numFmtId="38" fontId="30" fillId="0" borderId="1" xfId="0" applyNumberFormat="1" applyFont="1" applyBorder="1"/>
    <xf numFmtId="0" fontId="20" fillId="0" borderId="0" xfId="0" applyFont="1"/>
    <xf numFmtId="40" fontId="28" fillId="0" borderId="0" xfId="0" applyNumberFormat="1" applyFont="1"/>
    <xf numFmtId="0" fontId="28" fillId="2" borderId="0" xfId="0" applyFont="1" applyFill="1"/>
    <xf numFmtId="0" fontId="19" fillId="0" borderId="0" xfId="0" applyFont="1"/>
    <xf numFmtId="0" fontId="19" fillId="0" borderId="8" xfId="0" quotePrefix="1" applyFont="1" applyBorder="1" applyAlignment="1">
      <alignment horizontal="center" wrapText="1"/>
    </xf>
    <xf numFmtId="38" fontId="19" fillId="0" borderId="0" xfId="0" applyNumberFormat="1" applyFont="1"/>
    <xf numFmtId="38" fontId="19" fillId="0" borderId="3" xfId="0" applyNumberFormat="1" applyFont="1" applyBorder="1"/>
    <xf numFmtId="6" fontId="19" fillId="0" borderId="0" xfId="0" applyNumberFormat="1" applyFont="1"/>
    <xf numFmtId="0" fontId="19" fillId="0" borderId="8" xfId="0" applyFont="1" applyBorder="1" applyAlignment="1">
      <alignment horizontal="center" wrapText="1"/>
    </xf>
    <xf numFmtId="0" fontId="32" fillId="0" borderId="0" xfId="0" applyFont="1" applyAlignment="1">
      <alignment horizontal="left"/>
    </xf>
    <xf numFmtId="0" fontId="19" fillId="0" borderId="0" xfId="0" applyFont="1" applyAlignment="1">
      <alignment horizontal="left"/>
    </xf>
    <xf numFmtId="0" fontId="32" fillId="0" borderId="0" xfId="0" applyFont="1" applyBorder="1" applyAlignment="1">
      <alignment horizontal="centerContinuous"/>
    </xf>
    <xf numFmtId="0" fontId="19" fillId="0" borderId="0" xfId="0" applyFont="1" applyBorder="1"/>
    <xf numFmtId="0" fontId="19" fillId="0" borderId="0" xfId="0" applyFont="1" applyBorder="1" applyAlignment="1">
      <alignment horizontal="center" wrapText="1"/>
    </xf>
    <xf numFmtId="6" fontId="19" fillId="0" borderId="0" xfId="0" applyNumberFormat="1" applyFont="1" applyBorder="1"/>
    <xf numFmtId="38" fontId="19" fillId="0" borderId="0" xfId="0" applyNumberFormat="1" applyFont="1" applyBorder="1"/>
    <xf numFmtId="0" fontId="19" fillId="0" borderId="0" xfId="0" quotePrefix="1" applyFont="1" applyBorder="1" applyAlignment="1">
      <alignment horizontal="center" wrapText="1"/>
    </xf>
    <xf numFmtId="38" fontId="19" fillId="0" borderId="0" xfId="0" quotePrefix="1" applyNumberFormat="1" applyFont="1" applyBorder="1" applyAlignment="1">
      <alignment horizontal="center" wrapText="1"/>
    </xf>
    <xf numFmtId="38" fontId="19" fillId="0" borderId="8" xfId="0" applyNumberFormat="1" applyFont="1" applyBorder="1"/>
    <xf numFmtId="0" fontId="18" fillId="0" borderId="0" xfId="0" applyFont="1"/>
    <xf numFmtId="0" fontId="18" fillId="0" borderId="0" xfId="0" applyFont="1" applyBorder="1" applyAlignment="1">
      <alignment horizontal="center"/>
    </xf>
    <xf numFmtId="0" fontId="18" fillId="0" borderId="8" xfId="0" applyFont="1" applyBorder="1" applyAlignment="1">
      <alignment horizontal="center"/>
    </xf>
    <xf numFmtId="38" fontId="18" fillId="0" borderId="0" xfId="0" applyNumberFormat="1" applyFont="1"/>
    <xf numFmtId="6" fontId="18" fillId="0" borderId="0" xfId="0" applyNumberFormat="1" applyFont="1"/>
    <xf numFmtId="0" fontId="17" fillId="0" borderId="0" xfId="0" applyFont="1"/>
    <xf numFmtId="38" fontId="25" fillId="0" borderId="1" xfId="0" applyNumberFormat="1" applyFont="1" applyBorder="1"/>
    <xf numFmtId="166" fontId="19" fillId="0" borderId="0" xfId="0" applyNumberFormat="1" applyFont="1"/>
    <xf numFmtId="166" fontId="19" fillId="0" borderId="0" xfId="0" applyNumberFormat="1" applyFont="1" applyBorder="1"/>
    <xf numFmtId="166" fontId="16" fillId="0" borderId="8" xfId="0" quotePrefix="1" applyNumberFormat="1" applyFont="1" applyBorder="1" applyAlignment="1">
      <alignment horizontal="center" wrapText="1"/>
    </xf>
    <xf numFmtId="0" fontId="15" fillId="0" borderId="0" xfId="0" applyFont="1"/>
    <xf numFmtId="0" fontId="15" fillId="0" borderId="8" xfId="0" applyFont="1" applyBorder="1" applyAlignment="1">
      <alignment horizontal="center"/>
    </xf>
    <xf numFmtId="0" fontId="15" fillId="0" borderId="0" xfId="0" applyFont="1" applyBorder="1"/>
    <xf numFmtId="38" fontId="15" fillId="0" borderId="0" xfId="0" applyNumberFormat="1" applyFont="1"/>
    <xf numFmtId="6" fontId="19" fillId="0" borderId="0" xfId="0" applyNumberFormat="1" applyFont="1" applyBorder="1" applyAlignment="1">
      <alignment horizontal="right"/>
    </xf>
    <xf numFmtId="38" fontId="19" fillId="0" borderId="0" xfId="0" applyNumberFormat="1" applyFont="1" applyBorder="1" applyAlignment="1">
      <alignment horizontal="right"/>
    </xf>
    <xf numFmtId="38" fontId="19" fillId="0" borderId="0" xfId="0" applyNumberFormat="1" applyFont="1" applyAlignment="1">
      <alignment horizontal="right"/>
    </xf>
    <xf numFmtId="38" fontId="15" fillId="0" borderId="0" xfId="0" applyNumberFormat="1" applyFont="1" applyAlignment="1">
      <alignment horizontal="right"/>
    </xf>
    <xf numFmtId="38" fontId="15" fillId="0" borderId="3" xfId="0" applyNumberFormat="1" applyFont="1" applyBorder="1" applyAlignment="1">
      <alignment horizontal="right"/>
    </xf>
    <xf numFmtId="6" fontId="19" fillId="0" borderId="0" xfId="0" applyNumberFormat="1" applyFont="1" applyAlignment="1">
      <alignment horizontal="right"/>
    </xf>
    <xf numFmtId="0" fontId="15" fillId="0" borderId="0" xfId="0" applyFont="1" applyAlignment="1">
      <alignment horizontal="left"/>
    </xf>
    <xf numFmtId="38" fontId="19" fillId="0" borderId="1" xfId="0" applyNumberFormat="1" applyFont="1" applyBorder="1" applyAlignment="1">
      <alignment horizontal="right"/>
    </xf>
    <xf numFmtId="38" fontId="15" fillId="0" borderId="1" xfId="0" applyNumberFormat="1" applyFont="1" applyBorder="1"/>
    <xf numFmtId="0" fontId="15" fillId="0" borderId="0" xfId="0" applyFont="1" applyAlignment="1">
      <alignment horizontal="left" indent="1"/>
    </xf>
    <xf numFmtId="38" fontId="28" fillId="0" borderId="3" xfId="0" applyNumberFormat="1" applyFont="1" applyBorder="1"/>
    <xf numFmtId="38" fontId="15" fillId="0" borderId="0" xfId="0" applyNumberFormat="1" applyFont="1" applyBorder="1" applyAlignment="1">
      <alignment horizontal="right"/>
    </xf>
    <xf numFmtId="0" fontId="15" fillId="0" borderId="0" xfId="0" applyFont="1" applyBorder="1" applyAlignment="1"/>
    <xf numFmtId="0" fontId="29" fillId="0" borderId="0" xfId="0" applyFont="1" applyFill="1"/>
    <xf numFmtId="38" fontId="29" fillId="0" borderId="0" xfId="0" applyNumberFormat="1" applyFont="1" applyFill="1" applyBorder="1"/>
    <xf numFmtId="0" fontId="14" fillId="0" borderId="0" xfId="0" applyFont="1"/>
    <xf numFmtId="0" fontId="29" fillId="2" borderId="0" xfId="0" applyFont="1" applyFill="1"/>
    <xf numFmtId="0" fontId="13" fillId="0" borderId="0" xfId="0" applyFont="1"/>
    <xf numFmtId="0" fontId="13" fillId="0" borderId="0" xfId="0" applyFont="1" applyBorder="1" applyAlignment="1">
      <alignment horizontal="center"/>
    </xf>
    <xf numFmtId="0" fontId="13" fillId="0" borderId="8" xfId="0" applyFont="1" applyBorder="1" applyAlignment="1">
      <alignment horizontal="center"/>
    </xf>
    <xf numFmtId="38" fontId="13" fillId="0" borderId="0" xfId="0" applyNumberFormat="1" applyFont="1"/>
    <xf numFmtId="38" fontId="13" fillId="0" borderId="8" xfId="0" applyNumberFormat="1" applyFont="1" applyBorder="1" applyAlignment="1">
      <alignment horizontal="center"/>
    </xf>
    <xf numFmtId="38" fontId="13" fillId="0" borderId="0" xfId="0" applyNumberFormat="1" applyFont="1" applyAlignment="1">
      <alignment horizontal="center"/>
    </xf>
    <xf numFmtId="6" fontId="13" fillId="0" borderId="0" xfId="0" applyNumberFormat="1" applyFont="1"/>
    <xf numFmtId="38" fontId="13" fillId="0" borderId="10" xfId="0" applyNumberFormat="1" applyFont="1" applyBorder="1"/>
    <xf numFmtId="0" fontId="13" fillId="0" borderId="0" xfId="0" applyFont="1" applyAlignment="1">
      <alignment horizontal="centerContinuous"/>
    </xf>
    <xf numFmtId="0" fontId="12" fillId="0" borderId="0" xfId="0" applyFont="1"/>
    <xf numFmtId="0" fontId="12" fillId="0" borderId="8" xfId="0" applyFont="1" applyBorder="1" applyAlignment="1">
      <alignment horizontal="center"/>
    </xf>
    <xf numFmtId="0" fontId="12" fillId="0" borderId="0" xfId="0" applyFont="1" applyFill="1"/>
    <xf numFmtId="0" fontId="12" fillId="2" borderId="0" xfId="0" quotePrefix="1" applyFont="1" applyFill="1"/>
    <xf numFmtId="0" fontId="11" fillId="0" borderId="0" xfId="0" applyFont="1"/>
    <xf numFmtId="0" fontId="11" fillId="2" borderId="0" xfId="0" applyFont="1" applyFill="1"/>
    <xf numFmtId="6" fontId="29" fillId="0" borderId="0" xfId="0" applyNumberFormat="1" applyFont="1" applyFill="1" applyBorder="1"/>
    <xf numFmtId="6" fontId="18" fillId="2" borderId="0" xfId="0" applyNumberFormat="1" applyFont="1" applyFill="1"/>
    <xf numFmtId="38" fontId="18" fillId="2" borderId="0" xfId="0" applyNumberFormat="1" applyFont="1" applyFill="1"/>
    <xf numFmtId="0" fontId="10" fillId="0" borderId="0" xfId="0" applyFont="1"/>
    <xf numFmtId="0" fontId="9" fillId="0" borderId="0" xfId="0" applyFont="1"/>
    <xf numFmtId="0" fontId="8" fillId="0" borderId="0" xfId="0" applyFont="1"/>
    <xf numFmtId="0" fontId="8" fillId="0" borderId="0" xfId="0" applyFont="1" applyAlignment="1">
      <alignment horizontal="right"/>
    </xf>
    <xf numFmtId="0" fontId="8" fillId="0" borderId="0" xfId="0" applyFont="1" applyAlignment="1">
      <alignment horizontal="left"/>
    </xf>
    <xf numFmtId="164" fontId="31" fillId="0" borderId="0" xfId="6" applyAlignment="1"/>
    <xf numFmtId="164" fontId="36" fillId="0" borderId="0" xfId="6" applyFont="1" applyAlignment="1">
      <alignment horizontal="center"/>
    </xf>
    <xf numFmtId="164" fontId="36" fillId="0" borderId="0" xfId="6" applyFont="1" applyAlignment="1">
      <alignment horizontal="centerContinuous" vertical="center" wrapText="1"/>
    </xf>
    <xf numFmtId="164" fontId="36" fillId="0" borderId="0" xfId="6" applyFont="1" applyAlignment="1">
      <alignment horizontal="centerContinuous"/>
    </xf>
    <xf numFmtId="164" fontId="37" fillId="0" borderId="0" xfId="6" quotePrefix="1" applyFont="1" applyAlignment="1">
      <alignment horizontal="center"/>
    </xf>
    <xf numFmtId="164" fontId="37" fillId="0" borderId="0" xfId="6" applyFont="1" applyAlignment="1">
      <alignment horizontal="center"/>
    </xf>
    <xf numFmtId="164" fontId="36" fillId="0" borderId="0" xfId="6" applyFont="1" applyAlignment="1">
      <alignment horizontal="centerContinuous" vertical="center"/>
    </xf>
    <xf numFmtId="164" fontId="31" fillId="0" borderId="0" xfId="6" applyBorder="1" applyAlignment="1"/>
    <xf numFmtId="164" fontId="38" fillId="0" borderId="0" xfId="6" quotePrefix="1" applyFont="1" applyAlignment="1">
      <alignment horizontal="center"/>
    </xf>
    <xf numFmtId="164" fontId="36" fillId="0" borderId="0" xfId="6" quotePrefix="1" applyFont="1" applyBorder="1" applyAlignment="1">
      <alignment horizontal="center"/>
    </xf>
    <xf numFmtId="164" fontId="31" fillId="0" borderId="0" xfId="6" quotePrefix="1" applyBorder="1" applyAlignment="1">
      <alignment horizontal="center"/>
    </xf>
    <xf numFmtId="10" fontId="39" fillId="0" borderId="0" xfId="6" applyNumberFormat="1" applyFont="1" applyAlignment="1"/>
    <xf numFmtId="168" fontId="39" fillId="0" borderId="0" xfId="6" applyNumberFormat="1" applyFont="1" applyFill="1" applyAlignment="1"/>
    <xf numFmtId="168" fontId="31" fillId="0" borderId="0" xfId="6" applyNumberFormat="1" applyAlignment="1"/>
    <xf numFmtId="168" fontId="39" fillId="0" borderId="0" xfId="6" applyNumberFormat="1" applyFont="1" applyBorder="1" applyAlignment="1"/>
    <xf numFmtId="168" fontId="31" fillId="0" borderId="0" xfId="6" applyNumberFormat="1" applyBorder="1" applyAlignment="1"/>
    <xf numFmtId="168" fontId="31" fillId="0" borderId="8" xfId="6" applyNumberFormat="1" applyBorder="1" applyAlignment="1"/>
    <xf numFmtId="0" fontId="40" fillId="0" borderId="0" xfId="6" applyNumberFormat="1" applyFont="1" applyAlignment="1" applyProtection="1">
      <alignment horizontal="center"/>
      <protection locked="0"/>
    </xf>
    <xf numFmtId="0" fontId="40" fillId="0" borderId="0" xfId="6" applyNumberFormat="1" applyFont="1" applyFill="1" applyProtection="1">
      <protection locked="0"/>
    </xf>
    <xf numFmtId="0" fontId="41" fillId="0" borderId="0" xfId="6" applyNumberFormat="1" applyFont="1" applyFill="1" applyProtection="1">
      <protection locked="0"/>
    </xf>
    <xf numFmtId="0" fontId="42" fillId="0" borderId="0" xfId="6" applyNumberFormat="1" applyFont="1" applyFill="1" applyAlignment="1" applyProtection="1">
      <alignment horizontal="center"/>
      <protection locked="0"/>
    </xf>
    <xf numFmtId="0" fontId="31" fillId="0" borderId="0" xfId="6" applyNumberFormat="1" applyFont="1" applyFill="1"/>
    <xf numFmtId="0" fontId="31" fillId="0" borderId="0" xfId="6" applyNumberFormat="1" applyFont="1"/>
    <xf numFmtId="164" fontId="31" fillId="0" borderId="0" xfId="6" applyFont="1" applyAlignment="1"/>
    <xf numFmtId="0" fontId="40" fillId="0" borderId="0" xfId="6" applyNumberFormat="1" applyFont="1" applyFill="1" applyAlignment="1" applyProtection="1">
      <alignment horizontal="right"/>
      <protection locked="0"/>
    </xf>
    <xf numFmtId="10" fontId="43" fillId="4" borderId="0" xfId="6" applyNumberFormat="1" applyFont="1" applyFill="1" applyProtection="1">
      <protection locked="0"/>
    </xf>
    <xf numFmtId="10" fontId="40" fillId="4" borderId="0" xfId="6" applyNumberFormat="1" applyFont="1" applyFill="1" applyProtection="1">
      <protection locked="0"/>
    </xf>
    <xf numFmtId="0" fontId="35" fillId="0" borderId="0" xfId="6" applyNumberFormat="1" applyFont="1" applyFill="1" applyAlignment="1" applyProtection="1">
      <alignment horizontal="left"/>
      <protection locked="0"/>
    </xf>
    <xf numFmtId="0" fontId="7" fillId="0" borderId="0" xfId="8"/>
    <xf numFmtId="38" fontId="7" fillId="0" borderId="0" xfId="8" applyNumberFormat="1"/>
    <xf numFmtId="6" fontId="7" fillId="0" borderId="10" xfId="8" applyNumberFormat="1" applyBorder="1"/>
    <xf numFmtId="0" fontId="7" fillId="0" borderId="0" xfId="8" quotePrefix="1"/>
    <xf numFmtId="6" fontId="7" fillId="0" borderId="0" xfId="8" applyNumberFormat="1"/>
    <xf numFmtId="38" fontId="7" fillId="0" borderId="8" xfId="8" applyNumberFormat="1" applyBorder="1" applyAlignment="1">
      <alignment horizontal="center"/>
    </xf>
    <xf numFmtId="38" fontId="32" fillId="0" borderId="0" xfId="8" applyNumberFormat="1" applyFont="1" applyAlignment="1">
      <alignment horizontal="centerContinuous"/>
    </xf>
    <xf numFmtId="0" fontId="32" fillId="0" borderId="0" xfId="8" applyFont="1" applyAlignment="1">
      <alignment horizontal="centerContinuous"/>
    </xf>
    <xf numFmtId="0" fontId="7" fillId="0" borderId="0" xfId="0" applyFont="1" applyAlignment="1">
      <alignment horizontal="right"/>
    </xf>
    <xf numFmtId="0" fontId="7" fillId="0" borderId="0" xfId="0" applyFont="1" applyFill="1" applyAlignment="1">
      <alignment horizontal="centerContinuous"/>
    </xf>
    <xf numFmtId="0" fontId="7" fillId="0" borderId="0" xfId="0" applyFont="1" applyAlignment="1"/>
    <xf numFmtId="0" fontId="7" fillId="0" borderId="0" xfId="0" applyFont="1"/>
    <xf numFmtId="0" fontId="7" fillId="0" borderId="0" xfId="0" applyFont="1" applyFill="1"/>
    <xf numFmtId="0" fontId="7" fillId="0" borderId="0" xfId="0" applyFont="1" applyFill="1" applyAlignment="1">
      <alignment horizontal="center"/>
    </xf>
    <xf numFmtId="0" fontId="7" fillId="0" borderId="8" xfId="0" applyFont="1" applyFill="1" applyBorder="1" applyAlignment="1">
      <alignment horizontal="center"/>
    </xf>
    <xf numFmtId="49" fontId="7" fillId="0" borderId="0" xfId="0" quotePrefix="1" applyNumberFormat="1" applyFont="1" applyFill="1" applyBorder="1" applyAlignment="1">
      <alignment horizontal="left" wrapText="1"/>
    </xf>
    <xf numFmtId="5" fontId="7" fillId="0" borderId="0" xfId="0" applyNumberFormat="1" applyFont="1" applyFill="1"/>
    <xf numFmtId="7" fontId="44" fillId="0" borderId="0" xfId="9" applyNumberFormat="1" applyFont="1" applyFill="1"/>
    <xf numFmtId="43" fontId="7" fillId="0" borderId="0" xfId="0" applyNumberFormat="1" applyFont="1"/>
    <xf numFmtId="37" fontId="7" fillId="0" borderId="0" xfId="0" applyNumberFormat="1" applyFont="1" applyFill="1"/>
    <xf numFmtId="7" fontId="33" fillId="0" borderId="0" xfId="9" applyNumberFormat="1" applyFill="1"/>
    <xf numFmtId="49" fontId="7" fillId="0" borderId="0" xfId="0" applyNumberFormat="1" applyFont="1" applyFill="1" applyBorder="1" applyAlignment="1">
      <alignment horizontal="left" wrapText="1"/>
    </xf>
    <xf numFmtId="37" fontId="7" fillId="0" borderId="8" xfId="0" applyNumberFormat="1" applyFont="1" applyFill="1" applyBorder="1"/>
    <xf numFmtId="37" fontId="7" fillId="0" borderId="0" xfId="0" applyNumberFormat="1" applyFont="1" applyFill="1" applyBorder="1"/>
    <xf numFmtId="0" fontId="7" fillId="0" borderId="0" xfId="0" applyFont="1" applyFill="1" applyBorder="1" applyAlignment="1">
      <alignment horizontal="left" indent="1"/>
    </xf>
    <xf numFmtId="5" fontId="7" fillId="0" borderId="1" xfId="0" applyNumberFormat="1" applyFont="1" applyFill="1" applyBorder="1"/>
    <xf numFmtId="0" fontId="7" fillId="0" borderId="0" xfId="0" applyFont="1" applyFill="1" applyBorder="1"/>
    <xf numFmtId="0" fontId="7" fillId="0" borderId="0" xfId="0" applyFont="1" applyBorder="1"/>
    <xf numFmtId="40" fontId="32" fillId="0" borderId="0" xfId="0" applyNumberFormat="1" applyFont="1" applyAlignment="1">
      <alignment horizontal="centerContinuous"/>
    </xf>
    <xf numFmtId="0" fontId="7" fillId="0" borderId="0" xfId="0" applyFont="1" applyAlignment="1">
      <alignment horizontal="left"/>
    </xf>
    <xf numFmtId="40" fontId="7" fillId="0" borderId="0" xfId="0" applyNumberFormat="1" applyFont="1"/>
    <xf numFmtId="8" fontId="7" fillId="0" borderId="0" xfId="0" applyNumberFormat="1" applyFont="1"/>
    <xf numFmtId="40" fontId="7" fillId="0" borderId="3" xfId="0" applyNumberFormat="1" applyFont="1" applyBorder="1"/>
    <xf numFmtId="40" fontId="7" fillId="0" borderId="8" xfId="0" applyNumberFormat="1" applyFont="1" applyBorder="1"/>
    <xf numFmtId="8" fontId="7" fillId="0" borderId="1" xfId="0" applyNumberFormat="1" applyFont="1" applyBorder="1"/>
    <xf numFmtId="38" fontId="7" fillId="0" borderId="0" xfId="0" applyNumberFormat="1" applyFont="1"/>
    <xf numFmtId="38" fontId="24" fillId="0" borderId="0" xfId="0" applyNumberFormat="1" applyFont="1" applyBorder="1" applyAlignment="1">
      <alignment horizontal="centerContinuous"/>
    </xf>
    <xf numFmtId="38" fontId="29" fillId="0" borderId="0" xfId="0" applyNumberFormat="1" applyFont="1" applyBorder="1" applyAlignment="1">
      <alignment horizontal="centerContinuous"/>
    </xf>
    <xf numFmtId="0" fontId="45" fillId="0" borderId="0" xfId="0" applyFont="1"/>
    <xf numFmtId="0" fontId="6" fillId="0" borderId="0" xfId="0" applyFont="1"/>
    <xf numFmtId="0" fontId="45" fillId="0" borderId="0" xfId="0" applyFont="1" applyAlignment="1">
      <alignment horizontal="centerContinuous"/>
    </xf>
    <xf numFmtId="0" fontId="5" fillId="0" borderId="0" xfId="0" applyFont="1" applyAlignment="1">
      <alignment horizontal="center"/>
    </xf>
    <xf numFmtId="38" fontId="5" fillId="0" borderId="8" xfId="0" applyNumberFormat="1" applyFont="1" applyBorder="1" applyAlignment="1">
      <alignment horizontal="center"/>
    </xf>
    <xf numFmtId="0" fontId="5" fillId="0" borderId="0" xfId="0" applyFont="1" applyBorder="1" applyAlignment="1">
      <alignment horizontal="center"/>
    </xf>
    <xf numFmtId="0" fontId="5" fillId="0" borderId="0" xfId="0" applyFont="1"/>
    <xf numFmtId="0" fontId="5" fillId="0" borderId="8" xfId="0" applyFont="1" applyBorder="1" applyAlignment="1">
      <alignment horizontal="center"/>
    </xf>
    <xf numFmtId="0" fontId="5" fillId="0" borderId="0" xfId="0" applyFont="1" applyAlignment="1">
      <alignment horizontal="right"/>
    </xf>
    <xf numFmtId="0" fontId="5" fillId="0" borderId="8" xfId="0" applyFont="1" applyBorder="1" applyAlignment="1">
      <alignment horizontal="center" wrapText="1"/>
    </xf>
    <xf numFmtId="0" fontId="5" fillId="0" borderId="0" xfId="0" applyFont="1" applyBorder="1"/>
    <xf numFmtId="0" fontId="5" fillId="0" borderId="8" xfId="0" applyFont="1" applyBorder="1" applyAlignment="1">
      <alignment horizontal="centerContinuous"/>
    </xf>
    <xf numFmtId="0" fontId="5" fillId="0" borderId="0" xfId="0" applyFont="1" applyAlignment="1">
      <alignment horizontal="centerContinuous"/>
    </xf>
    <xf numFmtId="6" fontId="5" fillId="0" borderId="0" xfId="0" applyNumberFormat="1" applyFont="1"/>
    <xf numFmtId="38" fontId="5" fillId="0" borderId="0" xfId="0" applyNumberFormat="1" applyFont="1"/>
    <xf numFmtId="38" fontId="5" fillId="0" borderId="3" xfId="0" applyNumberFormat="1" applyFont="1" applyBorder="1"/>
    <xf numFmtId="167" fontId="5" fillId="0" borderId="0" xfId="0" applyNumberFormat="1" applyFont="1" applyBorder="1"/>
    <xf numFmtId="167" fontId="5" fillId="0" borderId="0" xfId="0" applyNumberFormat="1" applyFont="1"/>
    <xf numFmtId="167" fontId="5" fillId="0" borderId="3" xfId="0" applyNumberFormat="1" applyFont="1" applyBorder="1"/>
    <xf numFmtId="38" fontId="5" fillId="0" borderId="0" xfId="0" applyNumberFormat="1" applyFont="1" applyBorder="1"/>
    <xf numFmtId="0" fontId="5" fillId="0" borderId="0" xfId="0" quotePrefix="1" applyFont="1"/>
    <xf numFmtId="8" fontId="5" fillId="0" borderId="0" xfId="0" applyNumberFormat="1" applyFont="1"/>
    <xf numFmtId="6" fontId="5" fillId="0" borderId="0" xfId="0" applyNumberFormat="1" applyFont="1" applyBorder="1"/>
    <xf numFmtId="40" fontId="5" fillId="0" borderId="0" xfId="0" applyNumberFormat="1" applyFont="1"/>
    <xf numFmtId="40" fontId="5" fillId="0" borderId="0" xfId="0" applyNumberFormat="1" applyFont="1" applyBorder="1"/>
    <xf numFmtId="10" fontId="5" fillId="0" borderId="0" xfId="0" applyNumberFormat="1" applyFont="1" applyBorder="1"/>
    <xf numFmtId="38" fontId="5" fillId="0" borderId="12" xfId="0" applyNumberFormat="1" applyFont="1" applyBorder="1"/>
    <xf numFmtId="165" fontId="5" fillId="0" borderId="0" xfId="0" applyNumberFormat="1" applyFont="1"/>
    <xf numFmtId="0" fontId="5" fillId="2" borderId="0" xfId="0" quotePrefix="1" applyFont="1" applyFill="1"/>
    <xf numFmtId="0" fontId="4" fillId="0" borderId="0" xfId="0" applyFont="1" applyAlignment="1">
      <alignment horizontal="centerContinuous"/>
    </xf>
    <xf numFmtId="38" fontId="4" fillId="0" borderId="0" xfId="0" applyNumberFormat="1" applyFont="1" applyAlignment="1">
      <alignment horizontal="centerContinuous"/>
    </xf>
    <xf numFmtId="0" fontId="4" fillId="0" borderId="0" xfId="0" applyFont="1"/>
    <xf numFmtId="38" fontId="4" fillId="0" borderId="0" xfId="0" applyNumberFormat="1" applyFont="1"/>
    <xf numFmtId="6" fontId="4" fillId="0" borderId="0" xfId="0" applyNumberFormat="1" applyFont="1"/>
    <xf numFmtId="38" fontId="4" fillId="0" borderId="3" xfId="0" applyNumberFormat="1" applyFont="1" applyBorder="1"/>
    <xf numFmtId="169" fontId="4" fillId="0" borderId="0" xfId="0" applyNumberFormat="1" applyFont="1"/>
    <xf numFmtId="10" fontId="4" fillId="0" borderId="0" xfId="0" applyNumberFormat="1" applyFont="1"/>
    <xf numFmtId="0" fontId="4" fillId="0" borderId="0" xfId="0" applyFont="1" applyAlignment="1">
      <alignment horizontal="right"/>
    </xf>
    <xf numFmtId="0" fontId="4" fillId="0" borderId="8" xfId="0" applyFont="1" applyBorder="1" applyAlignment="1">
      <alignment horizontal="center"/>
    </xf>
    <xf numFmtId="38" fontId="4" fillId="0" borderId="12" xfId="0" applyNumberFormat="1" applyFont="1" applyBorder="1"/>
    <xf numFmtId="6" fontId="4" fillId="0" borderId="1" xfId="0" applyNumberFormat="1" applyFont="1" applyBorder="1"/>
    <xf numFmtId="164" fontId="47" fillId="0" borderId="0" xfId="0" applyNumberFormat="1" applyFont="1" applyAlignment="1"/>
    <xf numFmtId="0" fontId="47" fillId="0" borderId="0" xfId="0" applyNumberFormat="1" applyFont="1" applyAlignment="1" applyProtection="1">
      <protection locked="0"/>
    </xf>
    <xf numFmtId="0" fontId="47" fillId="0" borderId="0" xfId="0" applyNumberFormat="1" applyFont="1" applyAlignment="1" applyProtection="1">
      <alignment horizontal="left"/>
      <protection locked="0"/>
    </xf>
    <xf numFmtId="0" fontId="47" fillId="0" borderId="0" xfId="0" applyNumberFormat="1" applyFont="1" applyProtection="1">
      <protection locked="0"/>
    </xf>
    <xf numFmtId="0" fontId="47" fillId="0" borderId="0" xfId="0" applyNumberFormat="1" applyFont="1" applyAlignment="1" applyProtection="1">
      <alignment horizontal="right"/>
      <protection locked="0"/>
    </xf>
    <xf numFmtId="0" fontId="47" fillId="0" borderId="0" xfId="0" applyNumberFormat="1" applyFont="1" applyFill="1" applyAlignment="1" applyProtection="1">
      <alignment horizontal="right"/>
      <protection locked="0"/>
    </xf>
    <xf numFmtId="0" fontId="47" fillId="0" borderId="0" xfId="0" applyNumberFormat="1" applyFont="1" applyAlignment="1">
      <alignment horizontal="right"/>
    </xf>
    <xf numFmtId="0" fontId="47" fillId="0" borderId="0" xfId="0" applyNumberFormat="1" applyFont="1"/>
    <xf numFmtId="0" fontId="47" fillId="0" borderId="0" xfId="0" applyNumberFormat="1" applyFont="1" applyFill="1" applyAlignment="1">
      <alignment horizontal="right"/>
    </xf>
    <xf numFmtId="0" fontId="47" fillId="0" borderId="0" xfId="0" applyNumberFormat="1" applyFont="1" applyFill="1"/>
    <xf numFmtId="0" fontId="47" fillId="4" borderId="0" xfId="0" applyNumberFormat="1" applyFont="1" applyFill="1" applyProtection="1">
      <protection locked="0"/>
    </xf>
    <xf numFmtId="0" fontId="47" fillId="4" borderId="0" xfId="0" applyNumberFormat="1" applyFont="1" applyFill="1"/>
    <xf numFmtId="3" fontId="47" fillId="0" borderId="0" xfId="0" applyNumberFormat="1" applyFont="1" applyAlignment="1"/>
    <xf numFmtId="0" fontId="47" fillId="0" borderId="0" xfId="0" applyNumberFormat="1" applyFont="1" applyAlignment="1" applyProtection="1">
      <alignment horizontal="center"/>
      <protection locked="0"/>
    </xf>
    <xf numFmtId="49" fontId="48" fillId="5" borderId="0" xfId="0" applyNumberFormat="1" applyFont="1" applyFill="1"/>
    <xf numFmtId="0" fontId="47" fillId="5" borderId="0" xfId="0" applyNumberFormat="1" applyFont="1" applyFill="1"/>
    <xf numFmtId="49" fontId="47" fillId="0" borderId="0" xfId="0" applyNumberFormat="1" applyFont="1"/>
    <xf numFmtId="164" fontId="47" fillId="0" borderId="0" xfId="0" applyNumberFormat="1" applyFont="1" applyAlignment="1">
      <alignment horizontal="center"/>
    </xf>
    <xf numFmtId="0" fontId="47" fillId="0" borderId="13" xfId="0" applyNumberFormat="1" applyFont="1" applyBorder="1" applyAlignment="1" applyProtection="1">
      <alignment horizontal="center"/>
      <protection locked="0"/>
    </xf>
    <xf numFmtId="164" fontId="47" fillId="0" borderId="8" xfId="0" applyNumberFormat="1" applyFont="1" applyBorder="1" applyAlignment="1">
      <alignment horizontal="center"/>
    </xf>
    <xf numFmtId="3" fontId="47" fillId="0" borderId="0" xfId="0" applyNumberFormat="1" applyFont="1"/>
    <xf numFmtId="42" fontId="47" fillId="0" borderId="0" xfId="0" applyNumberFormat="1" applyFont="1"/>
    <xf numFmtId="0" fontId="47" fillId="0" borderId="0" xfId="0" applyNumberFormat="1" applyFont="1" applyAlignment="1"/>
    <xf numFmtId="3" fontId="47" fillId="0" borderId="0" xfId="0" applyNumberFormat="1" applyFont="1" applyFill="1" applyAlignment="1"/>
    <xf numFmtId="0" fontId="47" fillId="0" borderId="13" xfId="0" applyNumberFormat="1" applyFont="1" applyBorder="1" applyAlignment="1" applyProtection="1">
      <alignment horizontal="centerContinuous"/>
      <protection locked="0"/>
    </xf>
    <xf numFmtId="170" fontId="47" fillId="0" borderId="0" xfId="0" applyNumberFormat="1" applyFont="1" applyAlignment="1"/>
    <xf numFmtId="3" fontId="47" fillId="0" borderId="0" xfId="0" applyNumberFormat="1" applyFont="1" applyFill="1" applyBorder="1"/>
    <xf numFmtId="3" fontId="47" fillId="4" borderId="0" xfId="0" applyNumberFormat="1" applyFont="1" applyFill="1" applyAlignment="1"/>
    <xf numFmtId="0" fontId="49" fillId="0" borderId="0" xfId="0" applyNumberFormat="1" applyFont="1"/>
    <xf numFmtId="164" fontId="31" fillId="0" borderId="0" xfId="0" applyNumberFormat="1" applyFont="1" applyAlignment="1"/>
    <xf numFmtId="3" fontId="47" fillId="0" borderId="13" xfId="0" applyNumberFormat="1" applyFont="1" applyBorder="1" applyAlignment="1"/>
    <xf numFmtId="3" fontId="47" fillId="0" borderId="0" xfId="0" applyNumberFormat="1" applyFont="1" applyAlignment="1">
      <alignment horizontal="fill"/>
    </xf>
    <xf numFmtId="0" fontId="31" fillId="0" borderId="0" xfId="0" applyNumberFormat="1" applyFont="1"/>
    <xf numFmtId="0" fontId="47" fillId="0" borderId="0" xfId="13" applyNumberFormat="1" applyFont="1" applyFill="1" applyAlignment="1" applyProtection="1">
      <alignment horizontal="center"/>
      <protection locked="0"/>
    </xf>
    <xf numFmtId="3" fontId="47" fillId="0" borderId="0" xfId="13" applyNumberFormat="1" applyFont="1" applyFill="1" applyAlignment="1"/>
    <xf numFmtId="0" fontId="47" fillId="0" borderId="0" xfId="13" applyNumberFormat="1" applyFont="1" applyFill="1"/>
    <xf numFmtId="170" fontId="47" fillId="0" borderId="0" xfId="13" applyNumberFormat="1" applyFont="1" applyFill="1" applyAlignment="1"/>
    <xf numFmtId="37" fontId="47" fillId="4" borderId="0" xfId="13" applyNumberFormat="1" applyFont="1" applyFill="1" applyBorder="1" applyAlignment="1"/>
    <xf numFmtId="37" fontId="47" fillId="4" borderId="13" xfId="13" applyNumberFormat="1" applyFont="1" applyFill="1" applyBorder="1" applyAlignment="1"/>
    <xf numFmtId="37" fontId="47" fillId="0" borderId="0" xfId="13" applyNumberFormat="1" applyFont="1" applyFill="1" applyBorder="1" applyAlignment="1"/>
    <xf numFmtId="0" fontId="31" fillId="0" borderId="0" xfId="0" applyNumberFormat="1" applyFont="1" applyBorder="1"/>
    <xf numFmtId="164" fontId="31" fillId="0" borderId="0" xfId="0" applyNumberFormat="1" applyFont="1" applyBorder="1" applyAlignment="1"/>
    <xf numFmtId="0" fontId="47" fillId="0" borderId="0" xfId="0" applyNumberFormat="1" applyFont="1" applyBorder="1" applyAlignment="1" applyProtection="1">
      <alignment horizontal="centerContinuous"/>
      <protection locked="0"/>
    </xf>
    <xf numFmtId="14" fontId="47" fillId="0" borderId="0" xfId="0" applyNumberFormat="1" applyFont="1" applyBorder="1" applyAlignment="1">
      <alignment horizontal="center"/>
    </xf>
    <xf numFmtId="0" fontId="47" fillId="0" borderId="0" xfId="13" quotePrefix="1" applyNumberFormat="1" applyFont="1" applyFill="1"/>
    <xf numFmtId="42" fontId="47" fillId="0" borderId="1" xfId="0" applyNumberFormat="1" applyFont="1" applyBorder="1" applyAlignment="1" applyProtection="1">
      <alignment horizontal="right"/>
      <protection locked="0"/>
    </xf>
    <xf numFmtId="42" fontId="47" fillId="0" borderId="0" xfId="0" applyNumberFormat="1" applyFont="1" applyBorder="1" applyAlignment="1" applyProtection="1">
      <alignment horizontal="right"/>
      <protection locked="0"/>
    </xf>
    <xf numFmtId="0" fontId="47" fillId="0" borderId="0" xfId="0" applyNumberFormat="1" applyFont="1" applyBorder="1"/>
    <xf numFmtId="164" fontId="47" fillId="0" borderId="0" xfId="0" applyNumberFormat="1" applyFont="1" applyBorder="1" applyAlignment="1"/>
    <xf numFmtId="3" fontId="50" fillId="0" borderId="0" xfId="0" applyNumberFormat="1" applyFont="1"/>
    <xf numFmtId="0" fontId="47" fillId="0" borderId="0" xfId="0" applyNumberFormat="1" applyFont="1" applyFill="1" applyProtection="1">
      <protection locked="0"/>
    </xf>
    <xf numFmtId="3" fontId="47" fillId="4" borderId="0" xfId="0" applyNumberFormat="1" applyFont="1" applyFill="1"/>
    <xf numFmtId="171" fontId="31" fillId="0" borderId="0" xfId="0" applyNumberFormat="1" applyFont="1" applyAlignment="1">
      <alignment horizontal="left"/>
    </xf>
    <xf numFmtId="0" fontId="50" fillId="0" borderId="0" xfId="0" applyNumberFormat="1" applyFont="1"/>
    <xf numFmtId="3" fontId="47" fillId="4" borderId="0" xfId="0" applyNumberFormat="1" applyFont="1" applyFill="1" applyBorder="1"/>
    <xf numFmtId="3" fontId="47" fillId="4" borderId="13" xfId="0" applyNumberFormat="1" applyFont="1" applyFill="1" applyBorder="1"/>
    <xf numFmtId="172" fontId="47" fillId="0" borderId="0" xfId="0" applyNumberFormat="1" applyFont="1"/>
    <xf numFmtId="172" fontId="47" fillId="0" borderId="0" xfId="0" applyNumberFormat="1" applyFont="1" applyAlignment="1">
      <alignment horizontal="center"/>
    </xf>
    <xf numFmtId="0" fontId="47" fillId="0" borderId="0" xfId="0" applyNumberFormat="1" applyFont="1" applyAlignment="1">
      <alignment horizontal="left"/>
    </xf>
    <xf numFmtId="173" fontId="47" fillId="0" borderId="0" xfId="0" applyNumberFormat="1" applyFont="1" applyAlignment="1"/>
    <xf numFmtId="0" fontId="47" fillId="0" borderId="0" xfId="0" applyNumberFormat="1" applyFont="1" applyFill="1" applyAlignment="1">
      <alignment horizontal="left"/>
    </xf>
    <xf numFmtId="172" fontId="47" fillId="0" borderId="0" xfId="0" applyNumberFormat="1" applyFont="1" applyFill="1"/>
    <xf numFmtId="173" fontId="47" fillId="4" borderId="0" xfId="0" applyNumberFormat="1" applyFont="1" applyFill="1" applyProtection="1">
      <protection locked="0"/>
    </xf>
    <xf numFmtId="173" fontId="47" fillId="0" borderId="0" xfId="0" applyNumberFormat="1" applyFont="1" applyProtection="1">
      <protection locked="0"/>
    </xf>
    <xf numFmtId="0" fontId="47" fillId="0" borderId="0" xfId="0" applyNumberFormat="1" applyFont="1" applyFill="1" applyAlignment="1" applyProtection="1">
      <alignment horizontal="center"/>
      <protection locked="0"/>
    </xf>
    <xf numFmtId="164" fontId="47" fillId="0" borderId="0" xfId="0" applyNumberFormat="1" applyFont="1" applyFill="1" applyAlignment="1"/>
    <xf numFmtId="0" fontId="47" fillId="0" borderId="0" xfId="0" applyNumberFormat="1" applyFont="1" applyFill="1" applyAlignment="1"/>
    <xf numFmtId="173" fontId="47" fillId="0" borderId="0" xfId="0" applyNumberFormat="1" applyFont="1" applyFill="1" applyProtection="1">
      <protection locked="0"/>
    </xf>
    <xf numFmtId="0" fontId="47" fillId="0" borderId="0" xfId="0" applyNumberFormat="1" applyFont="1" applyAlignment="1">
      <alignment horizontal="center"/>
    </xf>
    <xf numFmtId="49" fontId="47" fillId="0" borderId="0" xfId="0" applyNumberFormat="1" applyFont="1" applyAlignment="1">
      <alignment horizontal="left"/>
    </xf>
    <xf numFmtId="49" fontId="47" fillId="0" borderId="0" xfId="0" applyNumberFormat="1" applyFont="1" applyAlignment="1">
      <alignment horizontal="center"/>
    </xf>
    <xf numFmtId="0" fontId="47" fillId="0" borderId="0" xfId="0" applyNumberFormat="1" applyFont="1" applyFill="1" applyAlignment="1">
      <alignment horizontal="center"/>
    </xf>
    <xf numFmtId="3" fontId="48" fillId="0" borderId="0" xfId="0" applyNumberFormat="1" applyFont="1" applyAlignment="1">
      <alignment horizontal="center"/>
    </xf>
    <xf numFmtId="0" fontId="48" fillId="0" borderId="0" xfId="0" applyNumberFormat="1" applyFont="1" applyAlignment="1" applyProtection="1">
      <alignment horizontal="center"/>
      <protection locked="0"/>
    </xf>
    <xf numFmtId="164" fontId="48" fillId="0" borderId="0" xfId="0" applyNumberFormat="1" applyFont="1" applyAlignment="1">
      <alignment horizontal="center"/>
    </xf>
    <xf numFmtId="3" fontId="48" fillId="0" borderId="0" xfId="0" applyNumberFormat="1" applyFont="1" applyAlignment="1"/>
    <xf numFmtId="0" fontId="48" fillId="0" borderId="0" xfId="0" applyNumberFormat="1" applyFont="1" applyAlignment="1"/>
    <xf numFmtId="3" fontId="47" fillId="0" borderId="0" xfId="0" applyNumberFormat="1" applyFont="1" applyFill="1" applyBorder="1" applyAlignment="1"/>
    <xf numFmtId="3" fontId="47" fillId="0" borderId="0" xfId="0" applyNumberFormat="1" applyFont="1" applyFill="1" applyBorder="1" applyAlignment="1">
      <alignment horizontal="center"/>
    </xf>
    <xf numFmtId="164" fontId="47" fillId="0" borderId="0" xfId="0" applyNumberFormat="1" applyFont="1" applyBorder="1" applyAlignment="1">
      <alignment horizontal="center"/>
    </xf>
    <xf numFmtId="0" fontId="47" fillId="0" borderId="0" xfId="13" applyNumberFormat="1" applyFont="1" applyFill="1" applyAlignment="1"/>
    <xf numFmtId="3" fontId="50" fillId="0" borderId="0" xfId="0" applyNumberFormat="1" applyFont="1" applyAlignment="1">
      <alignment horizontal="center"/>
    </xf>
    <xf numFmtId="174" fontId="47" fillId="0" borderId="0" xfId="0" applyNumberFormat="1" applyFont="1" applyAlignment="1"/>
    <xf numFmtId="3" fontId="47" fillId="0" borderId="0" xfId="0" applyNumberFormat="1" applyFont="1" applyBorder="1" applyAlignment="1"/>
    <xf numFmtId="3" fontId="47" fillId="4" borderId="13" xfId="0" applyNumberFormat="1" applyFont="1" applyFill="1" applyBorder="1" applyAlignment="1"/>
    <xf numFmtId="166" fontId="47" fillId="0" borderId="0" xfId="0" applyNumberFormat="1" applyFont="1" applyAlignment="1">
      <alignment horizontal="center"/>
    </xf>
    <xf numFmtId="0" fontId="47" fillId="2" borderId="0" xfId="0" applyNumberFormat="1" applyFont="1" applyFill="1" applyAlignment="1"/>
    <xf numFmtId="3" fontId="47" fillId="2" borderId="0" xfId="0" applyNumberFormat="1" applyFont="1" applyFill="1" applyAlignment="1"/>
    <xf numFmtId="164" fontId="47" fillId="0" borderId="0" xfId="13" applyFont="1" applyFill="1" applyAlignment="1"/>
    <xf numFmtId="0" fontId="47" fillId="2" borderId="0" xfId="13" applyNumberFormat="1" applyFont="1" applyFill="1" applyAlignment="1"/>
    <xf numFmtId="3" fontId="47" fillId="2" borderId="0" xfId="13" applyNumberFormat="1" applyFont="1" applyFill="1" applyAlignment="1"/>
    <xf numFmtId="3" fontId="47" fillId="4" borderId="0" xfId="13" applyNumberFormat="1" applyFont="1" applyFill="1" applyAlignment="1"/>
    <xf numFmtId="38" fontId="47" fillId="0" borderId="0" xfId="0" applyNumberFormat="1" applyFont="1" applyAlignment="1">
      <alignment horizontal="left"/>
    </xf>
    <xf numFmtId="37" fontId="47" fillId="4" borderId="0" xfId="0" applyNumberFormat="1" applyFont="1" applyFill="1" applyAlignment="1"/>
    <xf numFmtId="174" fontId="47" fillId="0" borderId="0" xfId="0" applyNumberFormat="1" applyFont="1" applyFill="1" applyAlignment="1">
      <alignment horizontal="right"/>
    </xf>
    <xf numFmtId="37" fontId="47" fillId="0" borderId="0" xfId="0" applyNumberFormat="1" applyFont="1" applyAlignment="1"/>
    <xf numFmtId="37" fontId="47" fillId="4" borderId="0" xfId="0" applyNumberFormat="1" applyFont="1" applyFill="1" applyBorder="1" applyAlignment="1"/>
    <xf numFmtId="37" fontId="47" fillId="0" borderId="0" xfId="0" applyNumberFormat="1" applyFont="1" applyBorder="1" applyAlignment="1"/>
    <xf numFmtId="37" fontId="47" fillId="4" borderId="8" xfId="0" applyNumberFormat="1" applyFont="1" applyFill="1" applyBorder="1" applyAlignment="1"/>
    <xf numFmtId="37" fontId="47" fillId="0" borderId="8" xfId="0" applyNumberFormat="1" applyFont="1" applyBorder="1" applyAlignment="1"/>
    <xf numFmtId="0" fontId="47" fillId="0" borderId="0" xfId="13" applyNumberFormat="1" applyFont="1" applyFill="1" applyAlignment="1" applyProtection="1">
      <protection locked="0"/>
    </xf>
    <xf numFmtId="3" fontId="47" fillId="0" borderId="0" xfId="0" applyNumberFormat="1" applyFont="1" applyBorder="1" applyAlignment="1">
      <alignment horizontal="left"/>
    </xf>
    <xf numFmtId="164" fontId="47" fillId="0" borderId="13" xfId="0" applyNumberFormat="1" applyFont="1" applyBorder="1" applyAlignment="1"/>
    <xf numFmtId="0" fontId="47" fillId="0" borderId="0" xfId="13" applyNumberFormat="1" applyFont="1" applyAlignment="1"/>
    <xf numFmtId="3" fontId="47" fillId="0" borderId="1" xfId="0" applyNumberFormat="1" applyFont="1" applyBorder="1" applyAlignment="1"/>
    <xf numFmtId="166" fontId="47" fillId="0" borderId="0" xfId="0" applyNumberFormat="1" applyFont="1" applyFill="1" applyAlignment="1">
      <alignment horizontal="center"/>
    </xf>
    <xf numFmtId="0" fontId="48" fillId="0" borderId="0" xfId="0" applyNumberFormat="1" applyFont="1" applyFill="1" applyAlignment="1" applyProtection="1">
      <alignment horizontal="center"/>
      <protection locked="0"/>
    </xf>
    <xf numFmtId="0" fontId="51" fillId="0" borderId="0" xfId="0" applyNumberFormat="1" applyFont="1" applyAlignment="1">
      <alignment horizontal="center"/>
    </xf>
    <xf numFmtId="3" fontId="51" fillId="0" borderId="0" xfId="0" applyNumberFormat="1" applyFont="1" applyAlignment="1"/>
    <xf numFmtId="0" fontId="48" fillId="0" borderId="0" xfId="0" applyNumberFormat="1" applyFont="1" applyAlignment="1">
      <alignment horizontal="center"/>
    </xf>
    <xf numFmtId="3" fontId="52" fillId="0" borderId="0" xfId="0" applyNumberFormat="1" applyFont="1" applyAlignment="1"/>
    <xf numFmtId="175" fontId="47" fillId="0" borderId="0" xfId="0" applyNumberFormat="1" applyFont="1" applyFill="1" applyAlignment="1">
      <alignment horizontal="left"/>
    </xf>
    <xf numFmtId="174" fontId="47" fillId="0" borderId="0" xfId="0" applyNumberFormat="1" applyFont="1" applyFill="1" applyAlignment="1"/>
    <xf numFmtId="164" fontId="47" fillId="0" borderId="0" xfId="0" applyNumberFormat="1" applyFont="1" applyBorder="1" applyAlignment="1">
      <alignment horizontal="left"/>
    </xf>
    <xf numFmtId="0" fontId="47" fillId="0" borderId="0" xfId="13" applyNumberFormat="1" applyFont="1" applyAlignment="1" applyProtection="1">
      <alignment horizontal="center"/>
      <protection locked="0"/>
    </xf>
    <xf numFmtId="164" fontId="47" fillId="0" borderId="0" xfId="13" applyFont="1" applyAlignment="1"/>
    <xf numFmtId="3" fontId="47" fillId="0" borderId="0" xfId="13" applyNumberFormat="1" applyFont="1" applyAlignment="1"/>
    <xf numFmtId="174" fontId="47" fillId="0" borderId="0" xfId="13" applyNumberFormat="1" applyFont="1" applyAlignment="1"/>
    <xf numFmtId="170" fontId="47" fillId="0" borderId="0" xfId="0" applyNumberFormat="1" applyFont="1" applyFill="1" applyAlignment="1">
      <alignment horizontal="right"/>
    </xf>
    <xf numFmtId="3" fontId="47" fillId="0" borderId="0" xfId="0" applyNumberFormat="1" applyFont="1" applyAlignment="1">
      <alignment horizontal="left"/>
    </xf>
    <xf numFmtId="170" fontId="47" fillId="0" borderId="0" xfId="0" applyNumberFormat="1" applyFont="1" applyAlignment="1">
      <alignment horizontal="center"/>
    </xf>
    <xf numFmtId="166" fontId="47" fillId="0" borderId="0" xfId="0" applyNumberFormat="1" applyFont="1" applyAlignment="1">
      <alignment horizontal="left"/>
    </xf>
    <xf numFmtId="10" fontId="47" fillId="0" borderId="0" xfId="0" applyNumberFormat="1" applyFont="1" applyFill="1" applyAlignment="1">
      <alignment horizontal="right"/>
    </xf>
    <xf numFmtId="176" fontId="47" fillId="0" borderId="0" xfId="0" applyNumberFormat="1" applyFont="1" applyFill="1" applyAlignment="1">
      <alignment horizontal="right"/>
    </xf>
    <xf numFmtId="3" fontId="50" fillId="0" borderId="0" xfId="0" applyNumberFormat="1" applyFont="1" applyAlignment="1"/>
    <xf numFmtId="10" fontId="47" fillId="0" borderId="0" xfId="0" applyNumberFormat="1" applyFont="1" applyAlignment="1">
      <alignment horizontal="left"/>
    </xf>
    <xf numFmtId="37" fontId="47" fillId="0" borderId="13" xfId="0" applyNumberFormat="1" applyFont="1" applyBorder="1" applyAlignment="1"/>
    <xf numFmtId="166" fontId="47" fillId="0" borderId="0" xfId="0" applyNumberFormat="1" applyFont="1" applyAlignment="1" applyProtection="1">
      <alignment horizontal="left"/>
      <protection locked="0"/>
    </xf>
    <xf numFmtId="3" fontId="47" fillId="0" borderId="0" xfId="0" applyNumberFormat="1" applyFont="1" applyFill="1" applyAlignment="1">
      <alignment horizontal="right"/>
    </xf>
    <xf numFmtId="177" fontId="47" fillId="0" borderId="0" xfId="0" applyNumberFormat="1" applyFont="1" applyAlignment="1"/>
    <xf numFmtId="3" fontId="47" fillId="5" borderId="0" xfId="0" applyNumberFormat="1" applyFont="1" applyFill="1" applyBorder="1" applyAlignment="1"/>
    <xf numFmtId="3" fontId="47" fillId="5" borderId="0" xfId="0" applyNumberFormat="1" applyFont="1" applyFill="1" applyAlignment="1"/>
    <xf numFmtId="3" fontId="47" fillId="0" borderId="14" xfId="0" applyNumberFormat="1" applyFont="1" applyBorder="1" applyAlignment="1"/>
    <xf numFmtId="0" fontId="47" fillId="0" borderId="0" xfId="0" applyNumberFormat="1" applyFont="1" applyFill="1" applyAlignment="1" applyProtection="1">
      <protection locked="0"/>
    </xf>
    <xf numFmtId="0" fontId="47" fillId="2" borderId="13" xfId="0" applyNumberFormat="1" applyFont="1" applyFill="1" applyBorder="1" applyProtection="1">
      <protection locked="0"/>
    </xf>
    <xf numFmtId="0" fontId="47" fillId="2" borderId="13" xfId="0" applyNumberFormat="1" applyFont="1" applyFill="1" applyBorder="1"/>
    <xf numFmtId="3" fontId="47" fillId="0" borderId="13" xfId="0" applyNumberFormat="1" applyFont="1" applyFill="1" applyBorder="1" applyAlignment="1"/>
    <xf numFmtId="3" fontId="47" fillId="0" borderId="0" xfId="0" applyNumberFormat="1" applyFont="1" applyFill="1" applyAlignment="1">
      <alignment horizontal="center"/>
    </xf>
    <xf numFmtId="49" fontId="47" fillId="0" borderId="0" xfId="0" applyNumberFormat="1" applyFont="1" applyFill="1"/>
    <xf numFmtId="49" fontId="47" fillId="0" borderId="0" xfId="0" applyNumberFormat="1" applyFont="1" applyFill="1" applyAlignment="1"/>
    <xf numFmtId="49" fontId="47" fillId="0" borderId="0" xfId="0" applyNumberFormat="1" applyFont="1" applyFill="1" applyAlignment="1">
      <alignment horizontal="center"/>
    </xf>
    <xf numFmtId="164" fontId="53" fillId="0" borderId="0" xfId="0" applyNumberFormat="1" applyFont="1" applyAlignment="1"/>
    <xf numFmtId="0" fontId="31" fillId="0" borderId="0" xfId="0" applyNumberFormat="1" applyFont="1" applyAlignment="1"/>
    <xf numFmtId="3" fontId="31" fillId="0" borderId="0" xfId="0" applyNumberFormat="1" applyFont="1" applyAlignment="1"/>
    <xf numFmtId="164" fontId="0" fillId="0" borderId="5" xfId="0" applyNumberFormat="1" applyBorder="1" applyAlignment="1"/>
    <xf numFmtId="164" fontId="0" fillId="0" borderId="0" xfId="0" applyNumberFormat="1" applyFont="1" applyBorder="1" applyAlignment="1"/>
    <xf numFmtId="3" fontId="0" fillId="0" borderId="0" xfId="0" applyNumberFormat="1" applyFont="1" applyBorder="1" applyAlignment="1"/>
    <xf numFmtId="0" fontId="0" fillId="0" borderId="0" xfId="0" applyNumberFormat="1" applyFont="1" applyBorder="1" applyAlignment="1"/>
    <xf numFmtId="164" fontId="0" fillId="0" borderId="6" xfId="0" applyNumberFormat="1" applyFont="1" applyBorder="1" applyAlignment="1"/>
    <xf numFmtId="0" fontId="47" fillId="0" borderId="13" xfId="0" applyNumberFormat="1" applyFont="1" applyFill="1" applyBorder="1" applyProtection="1">
      <protection locked="0"/>
    </xf>
    <xf numFmtId="0" fontId="47" fillId="0" borderId="13" xfId="0" applyNumberFormat="1" applyFont="1" applyFill="1" applyBorder="1"/>
    <xf numFmtId="178" fontId="0" fillId="4" borderId="5" xfId="12" applyNumberFormat="1" applyFont="1" applyFill="1" applyBorder="1" applyAlignment="1"/>
    <xf numFmtId="3" fontId="49" fillId="0" borderId="0" xfId="0" applyNumberFormat="1" applyFont="1" applyBorder="1" applyAlignment="1"/>
    <xf numFmtId="179" fontId="0" fillId="4" borderId="7" xfId="11" applyNumberFormat="1" applyFont="1" applyFill="1" applyBorder="1" applyAlignment="1"/>
    <xf numFmtId="164" fontId="49" fillId="0" borderId="0" xfId="0" applyNumberFormat="1" applyFont="1" applyAlignment="1"/>
    <xf numFmtId="164" fontId="54" fillId="0" borderId="0" xfId="0" applyNumberFormat="1" applyFont="1" applyAlignment="1"/>
    <xf numFmtId="164" fontId="0" fillId="0" borderId="0" xfId="0" applyNumberFormat="1" applyAlignment="1"/>
    <xf numFmtId="164" fontId="0" fillId="0" borderId="6" xfId="0" applyNumberFormat="1" applyBorder="1" applyAlignment="1"/>
    <xf numFmtId="178" fontId="0" fillId="0" borderId="5" xfId="12" applyNumberFormat="1" applyFont="1" applyBorder="1" applyAlignment="1"/>
    <xf numFmtId="0" fontId="0" fillId="0" borderId="5" xfId="0" applyNumberFormat="1" applyFont="1" applyBorder="1" applyAlignment="1"/>
    <xf numFmtId="164" fontId="55" fillId="0" borderId="0" xfId="0" applyNumberFormat="1" applyFont="1" applyBorder="1"/>
    <xf numFmtId="164" fontId="49" fillId="0" borderId="0" xfId="0" applyNumberFormat="1" applyFont="1" applyBorder="1"/>
    <xf numFmtId="174" fontId="47" fillId="0" borderId="0" xfId="0" applyNumberFormat="1" applyFont="1" applyFill="1"/>
    <xf numFmtId="164" fontId="0" fillId="0" borderId="0" xfId="0" applyNumberFormat="1" applyBorder="1" applyAlignment="1"/>
    <xf numFmtId="170" fontId="47" fillId="0" borderId="0" xfId="0" applyNumberFormat="1" applyFont="1" applyFill="1"/>
    <xf numFmtId="179" fontId="0" fillId="4" borderId="5" xfId="11" applyNumberFormat="1" applyFont="1" applyFill="1" applyBorder="1" applyAlignment="1"/>
    <xf numFmtId="3" fontId="47" fillId="0" borderId="0" xfId="0" applyNumberFormat="1" applyFont="1" applyAlignment="1">
      <alignment horizontal="center"/>
    </xf>
    <xf numFmtId="164" fontId="49" fillId="0" borderId="0" xfId="0" applyNumberFormat="1" applyFont="1" applyBorder="1" applyAlignment="1">
      <alignment horizontal="left" wrapText="1"/>
    </xf>
    <xf numFmtId="164" fontId="49" fillId="0" borderId="0" xfId="0" applyNumberFormat="1" applyFont="1" applyBorder="1" applyAlignment="1"/>
    <xf numFmtId="3" fontId="47" fillId="0" borderId="13" xfId="0" applyNumberFormat="1" applyFont="1" applyBorder="1" applyAlignment="1">
      <alignment horizontal="center"/>
    </xf>
    <xf numFmtId="178" fontId="0" fillId="0" borderId="7" xfId="12" applyNumberFormat="1" applyFont="1" applyBorder="1" applyAlignment="1"/>
    <xf numFmtId="164" fontId="49" fillId="0" borderId="8" xfId="0" applyNumberFormat="1" applyFont="1" applyBorder="1" applyAlignment="1"/>
    <xf numFmtId="3" fontId="0" fillId="0" borderId="8" xfId="0" applyNumberFormat="1" applyFont="1" applyBorder="1" applyAlignment="1"/>
    <xf numFmtId="0" fontId="0" fillId="0" borderId="8" xfId="0" applyNumberFormat="1" applyFont="1" applyBorder="1" applyAlignment="1"/>
    <xf numFmtId="164" fontId="0" fillId="0" borderId="8" xfId="0" applyNumberFormat="1" applyFont="1" applyBorder="1" applyAlignment="1"/>
    <xf numFmtId="164" fontId="0" fillId="0" borderId="9" xfId="0" applyNumberFormat="1" applyFont="1" applyBorder="1" applyAlignment="1"/>
    <xf numFmtId="4" fontId="47" fillId="0" borderId="0" xfId="0" applyNumberFormat="1" applyFont="1" applyAlignment="1"/>
    <xf numFmtId="3" fontId="47" fillId="0" borderId="0" xfId="0" applyNumberFormat="1" applyFont="1" applyBorder="1" applyAlignment="1">
      <alignment horizontal="center"/>
    </xf>
    <xf numFmtId="170" fontId="47" fillId="0" borderId="0" xfId="0" applyNumberFormat="1" applyFont="1" applyAlignment="1" applyProtection="1">
      <alignment horizontal="center"/>
      <protection locked="0"/>
    </xf>
    <xf numFmtId="170" fontId="47" fillId="0" borderId="0" xfId="0" applyNumberFormat="1" applyFont="1" applyFill="1" applyAlignment="1"/>
    <xf numFmtId="0" fontId="47" fillId="0" borderId="13" xfId="0" applyNumberFormat="1" applyFont="1" applyBorder="1" applyAlignment="1"/>
    <xf numFmtId="180" fontId="47" fillId="4" borderId="0" xfId="0" applyNumberFormat="1" applyFont="1" applyFill="1" applyAlignment="1"/>
    <xf numFmtId="42" fontId="47" fillId="4" borderId="0" xfId="0" applyNumberFormat="1" applyFont="1" applyFill="1" applyAlignment="1"/>
    <xf numFmtId="3" fontId="47" fillId="0" borderId="0" xfId="0" applyNumberFormat="1" applyFont="1" applyFill="1" applyAlignment="1" applyProtection="1">
      <protection locked="0"/>
    </xf>
    <xf numFmtId="0" fontId="47" fillId="2" borderId="0" xfId="0" applyNumberFormat="1" applyFont="1" applyFill="1" applyAlignment="1" applyProtection="1">
      <protection locked="0"/>
    </xf>
    <xf numFmtId="9" fontId="47" fillId="0" borderId="0" xfId="0" applyNumberFormat="1" applyFont="1" applyAlignment="1"/>
    <xf numFmtId="176" fontId="47" fillId="0" borderId="0" xfId="0" applyNumberFormat="1" applyFont="1" applyAlignment="1"/>
    <xf numFmtId="3" fontId="47" fillId="0" borderId="0" xfId="0" quotePrefix="1" applyNumberFormat="1" applyFont="1" applyAlignment="1"/>
    <xf numFmtId="176" fontId="47" fillId="4" borderId="0" xfId="0" applyNumberFormat="1" applyFont="1" applyFill="1" applyAlignment="1"/>
    <xf numFmtId="176" fontId="47" fillId="0" borderId="13" xfId="0" applyNumberFormat="1" applyFont="1" applyBorder="1" applyAlignment="1"/>
    <xf numFmtId="0" fontId="47" fillId="0" borderId="0" xfId="0" applyNumberFormat="1" applyFont="1" applyBorder="1" applyAlignment="1" applyProtection="1">
      <alignment horizontal="center"/>
      <protection locked="0"/>
    </xf>
    <xf numFmtId="0" fontId="56" fillId="0" borderId="0" xfId="0" applyNumberFormat="1" applyFont="1" applyProtection="1">
      <protection locked="0"/>
    </xf>
    <xf numFmtId="164" fontId="56" fillId="0" borderId="0" xfId="0" applyNumberFormat="1" applyFont="1" applyAlignment="1"/>
    <xf numFmtId="164" fontId="47" fillId="0" borderId="0" xfId="0" applyNumberFormat="1" applyFont="1" applyFill="1" applyAlignment="1" applyProtection="1"/>
    <xf numFmtId="38" fontId="47" fillId="4" borderId="0" xfId="0" applyNumberFormat="1" applyFont="1" applyFill="1" applyBorder="1" applyProtection="1">
      <protection locked="0"/>
    </xf>
    <xf numFmtId="38" fontId="47" fillId="0" borderId="0" xfId="0" applyNumberFormat="1" applyFont="1" applyAlignment="1" applyProtection="1"/>
    <xf numFmtId="0" fontId="47" fillId="0" borderId="13" xfId="0" applyNumberFormat="1" applyFont="1" applyBorder="1"/>
    <xf numFmtId="0" fontId="47" fillId="0" borderId="13" xfId="0" applyNumberFormat="1" applyFont="1" applyBorder="1" applyProtection="1">
      <protection locked="0"/>
    </xf>
    <xf numFmtId="38" fontId="47" fillId="4" borderId="13" xfId="0" applyNumberFormat="1" applyFont="1" applyFill="1" applyBorder="1" applyProtection="1">
      <protection locked="0"/>
    </xf>
    <xf numFmtId="38" fontId="47" fillId="0" borderId="0" xfId="0" applyNumberFormat="1" applyFont="1" applyAlignment="1"/>
    <xf numFmtId="38" fontId="47" fillId="0" borderId="0" xfId="0" applyNumberFormat="1" applyFont="1" applyFill="1" applyBorder="1" applyProtection="1"/>
    <xf numFmtId="180" fontId="47" fillId="0" borderId="0" xfId="0" applyNumberFormat="1" applyFont="1" applyFill="1" applyBorder="1" applyProtection="1"/>
    <xf numFmtId="1" fontId="47" fillId="0" borderId="0" xfId="0" applyNumberFormat="1" applyFont="1" applyFill="1" applyProtection="1"/>
    <xf numFmtId="172" fontId="47" fillId="0" borderId="0" xfId="0" applyNumberFormat="1" applyFont="1" applyProtection="1">
      <protection locked="0"/>
    </xf>
    <xf numFmtId="180" fontId="47" fillId="4" borderId="0" xfId="0" applyNumberFormat="1" applyFont="1" applyFill="1" applyBorder="1" applyProtection="1"/>
    <xf numFmtId="1" fontId="47" fillId="0" borderId="0" xfId="0" applyNumberFormat="1" applyFont="1" applyFill="1" applyBorder="1" applyProtection="1"/>
    <xf numFmtId="180" fontId="47" fillId="4" borderId="0" xfId="0" applyNumberFormat="1" applyFont="1" applyFill="1" applyBorder="1" applyAlignment="1" applyProtection="1">
      <protection locked="0"/>
    </xf>
    <xf numFmtId="3" fontId="47" fillId="0" borderId="0" xfId="0" applyNumberFormat="1" applyFont="1" applyAlignment="1" applyProtection="1"/>
    <xf numFmtId="0" fontId="47" fillId="0" borderId="0" xfId="0" applyNumberFormat="1" applyFont="1" applyBorder="1" applyAlignment="1" applyProtection="1">
      <protection locked="0"/>
    </xf>
    <xf numFmtId="0" fontId="47" fillId="0" borderId="0" xfId="0" applyNumberFormat="1" applyFont="1" applyBorder="1" applyProtection="1">
      <protection locked="0"/>
    </xf>
    <xf numFmtId="0" fontId="47" fillId="2" borderId="0" xfId="0" applyNumberFormat="1" applyFont="1" applyFill="1" applyBorder="1" applyAlignment="1" applyProtection="1">
      <protection locked="0"/>
    </xf>
    <xf numFmtId="0" fontId="47" fillId="2" borderId="0" xfId="0" applyNumberFormat="1" applyFont="1" applyFill="1" applyBorder="1" applyProtection="1">
      <protection locked="0"/>
    </xf>
    <xf numFmtId="0" fontId="47" fillId="2" borderId="13" xfId="0" applyNumberFormat="1" applyFont="1" applyFill="1" applyBorder="1" applyAlignment="1" applyProtection="1">
      <protection locked="0"/>
    </xf>
    <xf numFmtId="180" fontId="47" fillId="4" borderId="13" xfId="0" applyNumberFormat="1" applyFont="1" applyFill="1" applyBorder="1" applyAlignment="1" applyProtection="1">
      <protection locked="0"/>
    </xf>
    <xf numFmtId="164" fontId="47" fillId="0" borderId="0" xfId="13" applyNumberFormat="1" applyFont="1" applyAlignment="1" applyProtection="1">
      <protection locked="0"/>
    </xf>
    <xf numFmtId="180" fontId="47" fillId="0" borderId="0" xfId="0" applyNumberFormat="1" applyFont="1" applyFill="1" applyBorder="1" applyAlignment="1" applyProtection="1"/>
    <xf numFmtId="164" fontId="47" fillId="0" borderId="0" xfId="0" applyNumberFormat="1" applyFont="1" applyAlignment="1" applyProtection="1">
      <protection locked="0"/>
    </xf>
    <xf numFmtId="3" fontId="47" fillId="0" borderId="0" xfId="0" applyNumberFormat="1" applyFont="1" applyFill="1" applyBorder="1" applyAlignment="1" applyProtection="1"/>
    <xf numFmtId="180" fontId="47" fillId="0" borderId="0" xfId="0" applyNumberFormat="1" applyFont="1" applyProtection="1">
      <protection locked="0"/>
    </xf>
    <xf numFmtId="3" fontId="47" fillId="0" borderId="0" xfId="0" applyNumberFormat="1" applyFont="1" applyFill="1" applyAlignment="1" applyProtection="1"/>
    <xf numFmtId="0" fontId="47" fillId="2" borderId="0" xfId="0" applyNumberFormat="1" applyFont="1" applyFill="1" applyProtection="1">
      <protection locked="0"/>
    </xf>
    <xf numFmtId="10" fontId="47" fillId="4" borderId="0" xfId="0" applyNumberFormat="1" applyFont="1" applyFill="1" applyProtection="1">
      <protection locked="0"/>
    </xf>
    <xf numFmtId="0" fontId="57" fillId="0" borderId="0" xfId="0" applyNumberFormat="1" applyFont="1" applyFill="1" applyProtection="1">
      <protection locked="0"/>
    </xf>
    <xf numFmtId="10" fontId="47" fillId="0" borderId="0" xfId="0" applyNumberFormat="1" applyFont="1" applyFill="1"/>
    <xf numFmtId="164" fontId="47" fillId="0" borderId="0" xfId="0" applyNumberFormat="1" applyFont="1" applyFill="1" applyAlignment="1">
      <alignment horizontal="center"/>
    </xf>
    <xf numFmtId="0" fontId="47" fillId="0" borderId="0" xfId="13" applyNumberFormat="1" applyFont="1"/>
    <xf numFmtId="164" fontId="47" fillId="0" borderId="0" xfId="13" applyFont="1" applyFill="1" applyAlignment="1">
      <alignment horizontal="center"/>
    </xf>
    <xf numFmtId="164" fontId="47" fillId="0" borderId="0" xfId="13" applyFont="1" applyFill="1" applyAlignment="1">
      <alignment horizontal="center" vertical="top" wrapText="1"/>
    </xf>
    <xf numFmtId="164" fontId="47" fillId="0" borderId="0" xfId="13" applyFont="1" applyAlignment="1">
      <alignment horizontal="center"/>
    </xf>
    <xf numFmtId="37" fontId="58" fillId="0" borderId="0" xfId="13" applyNumberFormat="1" applyFont="1" applyFill="1" applyAlignment="1"/>
    <xf numFmtId="37" fontId="58" fillId="0" borderId="8" xfId="13" applyNumberFormat="1" applyFont="1" applyFill="1" applyBorder="1" applyAlignment="1"/>
    <xf numFmtId="181" fontId="58" fillId="0" borderId="8" xfId="13" applyNumberFormat="1" applyFont="1" applyFill="1" applyBorder="1" applyAlignment="1"/>
    <xf numFmtId="37" fontId="47" fillId="0" borderId="0" xfId="13" applyNumberFormat="1" applyFont="1" applyFill="1" applyAlignment="1"/>
    <xf numFmtId="0" fontId="3" fillId="0" borderId="0" xfId="0" applyFont="1"/>
    <xf numFmtId="38" fontId="4" fillId="0" borderId="10" xfId="0" applyNumberFormat="1" applyFont="1" applyBorder="1"/>
    <xf numFmtId="0" fontId="59" fillId="0" borderId="0" xfId="14" applyAlignment="1">
      <alignment wrapText="1"/>
    </xf>
    <xf numFmtId="0" fontId="59" fillId="0" borderId="0" xfId="14" applyAlignment="1">
      <alignment vertical="center" wrapText="1"/>
    </xf>
    <xf numFmtId="0" fontId="59" fillId="0" borderId="0" xfId="14" applyBorder="1" applyAlignment="1">
      <alignment wrapText="1"/>
    </xf>
    <xf numFmtId="14" fontId="59" fillId="0" borderId="0" xfId="14" applyNumberFormat="1" applyBorder="1" applyAlignment="1">
      <alignment horizontal="center" vertical="center" wrapText="1"/>
    </xf>
    <xf numFmtId="14" fontId="59" fillId="0" borderId="12" xfId="14" applyNumberFormat="1" applyBorder="1" applyAlignment="1">
      <alignment horizontal="right" vertical="center" wrapText="1"/>
    </xf>
    <xf numFmtId="0" fontId="33" fillId="0" borderId="12" xfId="14" applyFont="1" applyBorder="1" applyAlignment="1">
      <alignment horizontal="left" vertical="center" wrapText="1"/>
    </xf>
    <xf numFmtId="14" fontId="33" fillId="0" borderId="0" xfId="14" applyNumberFormat="1" applyFont="1" applyBorder="1" applyAlignment="1">
      <alignment horizontal="center" vertical="center" wrapText="1"/>
    </xf>
    <xf numFmtId="14" fontId="33" fillId="0" borderId="12" xfId="14" applyNumberFormat="1" applyFont="1" applyBorder="1" applyAlignment="1">
      <alignment vertical="center" wrapText="1"/>
    </xf>
    <xf numFmtId="0" fontId="33" fillId="0" borderId="12" xfId="14" applyFont="1" applyFill="1" applyBorder="1" applyAlignment="1">
      <alignment vertical="center" wrapText="1"/>
    </xf>
    <xf numFmtId="14" fontId="33" fillId="0" borderId="12" xfId="14" applyNumberFormat="1" applyFont="1" applyBorder="1" applyAlignment="1">
      <alignment horizontal="right" vertical="center" wrapText="1"/>
    </xf>
    <xf numFmtId="0" fontId="33" fillId="0" borderId="12" xfId="14" applyFont="1" applyFill="1" applyBorder="1" applyAlignment="1">
      <alignment horizontal="left" vertical="center" wrapText="1"/>
    </xf>
    <xf numFmtId="0" fontId="33" fillId="0" borderId="0" xfId="14" applyFont="1" applyAlignment="1">
      <alignment wrapText="1"/>
    </xf>
    <xf numFmtId="0" fontId="33" fillId="0" borderId="12" xfId="14" applyFont="1" applyBorder="1" applyAlignment="1">
      <alignment vertical="center" wrapText="1"/>
    </xf>
    <xf numFmtId="14" fontId="59" fillId="0" borderId="12" xfId="14" applyNumberFormat="1" applyBorder="1" applyAlignment="1">
      <alignment vertical="center" wrapText="1"/>
    </xf>
    <xf numFmtId="0" fontId="59" fillId="0" borderId="12" xfId="14" applyFill="1" applyBorder="1" applyAlignment="1">
      <alignment vertical="center" wrapText="1"/>
    </xf>
    <xf numFmtId="0" fontId="59" fillId="0" borderId="12" xfId="14" applyBorder="1" applyAlignment="1">
      <alignment vertical="center" wrapText="1"/>
    </xf>
    <xf numFmtId="14" fontId="59" fillId="0" borderId="15" xfId="14" applyNumberFormat="1" applyBorder="1" applyAlignment="1">
      <alignment vertical="center" wrapText="1"/>
    </xf>
    <xf numFmtId="0" fontId="59" fillId="0" borderId="0" xfId="14" applyAlignment="1">
      <alignment horizontal="center" vertical="center" wrapText="1"/>
    </xf>
    <xf numFmtId="0" fontId="60" fillId="6" borderId="16" xfId="14" applyFont="1" applyFill="1" applyBorder="1" applyAlignment="1">
      <alignment horizontal="center" vertical="center" wrapText="1"/>
    </xf>
    <xf numFmtId="0" fontId="60" fillId="0" borderId="0" xfId="14" applyFont="1" applyAlignment="1">
      <alignment vertical="center" wrapText="1"/>
    </xf>
    <xf numFmtId="38" fontId="2" fillId="0" borderId="0" xfId="0" applyNumberFormat="1" applyFont="1"/>
    <xf numFmtId="0" fontId="47" fillId="0" borderId="0" xfId="13" applyNumberFormat="1" applyFont="1" applyFill="1" applyAlignment="1">
      <alignment horizontal="left" wrapText="1"/>
    </xf>
    <xf numFmtId="0" fontId="0" fillId="0" borderId="2" xfId="0" applyNumberFormat="1" applyBorder="1" applyAlignment="1">
      <alignment horizontal="center"/>
    </xf>
    <xf numFmtId="0" fontId="0" fillId="0" borderId="3" xfId="0" applyNumberFormat="1" applyFont="1" applyBorder="1" applyAlignment="1">
      <alignment horizontal="center"/>
    </xf>
    <xf numFmtId="0" fontId="0" fillId="0" borderId="4" xfId="0" applyNumberFormat="1" applyFont="1" applyBorder="1" applyAlignment="1">
      <alignment horizontal="center"/>
    </xf>
    <xf numFmtId="0" fontId="47" fillId="0" borderId="0" xfId="13" applyNumberFormat="1" applyFont="1" applyFill="1" applyAlignment="1">
      <alignment vertical="top" wrapText="1"/>
    </xf>
    <xf numFmtId="0" fontId="1" fillId="0" borderId="0" xfId="0" applyFont="1"/>
    <xf numFmtId="0" fontId="1" fillId="0" borderId="0" xfId="0" applyFont="1" applyAlignment="1">
      <alignment wrapText="1"/>
    </xf>
    <xf numFmtId="0" fontId="1" fillId="0" borderId="0" xfId="0" applyFont="1" applyAlignment="1">
      <alignment vertical="top" wrapText="1"/>
    </xf>
    <xf numFmtId="0" fontId="45" fillId="0" borderId="0" xfId="0" applyFont="1" applyAlignment="1">
      <alignment horizontal="center" vertical="top" wrapText="1"/>
    </xf>
    <xf numFmtId="0" fontId="61" fillId="0" borderId="0" xfId="0" applyFont="1" applyAlignment="1">
      <alignment horizontal="center" vertical="top" wrapText="1"/>
    </xf>
    <xf numFmtId="0" fontId="61" fillId="0" borderId="0" xfId="0" applyFont="1" applyAlignment="1">
      <alignment vertical="top" wrapText="1"/>
    </xf>
    <xf numFmtId="0" fontId="62" fillId="0" borderId="0" xfId="0" applyFont="1" applyAlignment="1">
      <alignment horizontal="left" vertical="top" wrapText="1"/>
    </xf>
    <xf numFmtId="0" fontId="61" fillId="0" borderId="0" xfId="0" applyFont="1" applyAlignment="1">
      <alignment horizontal="left" vertical="top" wrapText="1"/>
    </xf>
  </cellXfs>
  <cellStyles count="15">
    <cellStyle name="Comma" xfId="11" builtinId="3"/>
    <cellStyle name="Comma 2" xfId="4"/>
    <cellStyle name="Comma 3" xfId="2"/>
    <cellStyle name="Currency" xfId="12" builtinId="4"/>
    <cellStyle name="Currency 2" xfId="5"/>
    <cellStyle name="Currency 3" xfId="3"/>
    <cellStyle name="Normal" xfId="0" builtinId="0"/>
    <cellStyle name="Normal 2" xfId="6"/>
    <cellStyle name="Normal 3" xfId="1"/>
    <cellStyle name="Normal 4" xfId="7"/>
    <cellStyle name="Normal 4 2" xfId="9"/>
    <cellStyle name="Normal 5" xfId="8"/>
    <cellStyle name="Normal 6" xfId="14"/>
    <cellStyle name="Normal_Attachment O &amp; GG Final 11_11_09" xfId="13"/>
    <cellStyle name="Percent 2" xfId="1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7"/>
  <sheetViews>
    <sheetView showGridLines="0" tabSelected="1" workbookViewId="0">
      <selection activeCell="G33" sqref="G33"/>
    </sheetView>
  </sheetViews>
  <sheetFormatPr defaultRowHeight="12.75"/>
  <cols>
    <col min="1" max="16384" width="9.140625" style="270"/>
  </cols>
  <sheetData>
    <row r="4" spans="1:9" ht="15.75">
      <c r="A4" s="269"/>
    </row>
    <row r="5" spans="1:9" ht="15.75">
      <c r="A5" s="271" t="s">
        <v>22</v>
      </c>
      <c r="B5" s="11"/>
      <c r="C5" s="11"/>
      <c r="D5" s="11"/>
      <c r="E5" s="11"/>
      <c r="F5" s="11"/>
      <c r="G5" s="11"/>
      <c r="H5" s="11"/>
      <c r="I5" s="11"/>
    </row>
    <row r="6" spans="1:9" ht="15.75">
      <c r="A6" s="271" t="s">
        <v>0</v>
      </c>
      <c r="B6" s="11"/>
      <c r="C6" s="11"/>
      <c r="D6" s="11"/>
      <c r="E6" s="11"/>
      <c r="F6" s="11"/>
      <c r="G6" s="11"/>
      <c r="H6" s="11"/>
      <c r="I6" s="11"/>
    </row>
    <row r="7" spans="1:9" ht="15.75">
      <c r="A7" s="271" t="s">
        <v>398</v>
      </c>
      <c r="B7" s="11"/>
      <c r="C7" s="11"/>
      <c r="D7" s="11"/>
      <c r="E7" s="11"/>
      <c r="F7" s="11"/>
      <c r="G7" s="11"/>
      <c r="H7" s="11"/>
      <c r="I7" s="11"/>
    </row>
  </sheetData>
  <printOptions horizontalCentered="1"/>
  <pageMargins left="0.17" right="0.17" top="1"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2.75"/>
  <cols>
    <col min="1" max="1" width="16.7109375" style="83" customWidth="1"/>
    <col min="2" max="2" width="2.7109375" style="83" customWidth="1"/>
    <col min="3" max="3" width="14.42578125" style="83" bestFit="1" customWidth="1"/>
    <col min="4" max="4" width="2.7109375" style="83" customWidth="1"/>
    <col min="5" max="5" width="14.140625" style="84" bestFit="1" customWidth="1"/>
    <col min="6" max="6" width="2.7109375" style="84" customWidth="1"/>
    <col min="7" max="7" width="12.7109375" style="84" bestFit="1" customWidth="1"/>
    <col min="8" max="8" width="2.7109375" style="84" customWidth="1"/>
    <col min="9" max="9" width="11.85546875" style="84" bestFit="1" customWidth="1"/>
    <col min="10" max="10" width="2.5703125" style="84" bestFit="1" customWidth="1"/>
    <col min="11" max="11" width="9.7109375" style="84" bestFit="1" customWidth="1"/>
    <col min="12" max="25" width="9.140625" style="84"/>
    <col min="26" max="16384" width="9.140625" style="83"/>
  </cols>
  <sheetData>
    <row r="1" spans="1:14">
      <c r="I1" s="201" t="s">
        <v>329</v>
      </c>
    </row>
    <row r="3" spans="1:14">
      <c r="A3" s="11" t="s">
        <v>22</v>
      </c>
      <c r="B3" s="90"/>
      <c r="C3" s="90"/>
      <c r="D3" s="90"/>
      <c r="E3" s="91"/>
      <c r="F3" s="91"/>
      <c r="G3" s="91"/>
      <c r="H3" s="91"/>
      <c r="I3" s="91"/>
    </row>
    <row r="4" spans="1:14">
      <c r="A4" s="11" t="s">
        <v>327</v>
      </c>
      <c r="B4" s="90"/>
      <c r="C4" s="90"/>
      <c r="D4" s="90"/>
      <c r="E4" s="91"/>
      <c r="F4" s="91"/>
      <c r="G4" s="91"/>
      <c r="H4" s="91"/>
      <c r="I4" s="91"/>
    </row>
    <row r="5" spans="1:14">
      <c r="A5" s="11" t="s">
        <v>328</v>
      </c>
      <c r="B5" s="90"/>
      <c r="C5" s="90"/>
      <c r="D5" s="90"/>
      <c r="E5" s="91"/>
      <c r="F5" s="91"/>
      <c r="G5" s="91"/>
      <c r="H5" s="91"/>
      <c r="I5" s="91"/>
    </row>
    <row r="6" spans="1:14">
      <c r="A6" s="11" t="s">
        <v>399</v>
      </c>
      <c r="B6" s="90"/>
      <c r="C6" s="90"/>
      <c r="D6" s="90"/>
      <c r="E6" s="91"/>
      <c r="F6" s="91"/>
      <c r="G6" s="91"/>
      <c r="H6" s="91"/>
      <c r="I6" s="91"/>
    </row>
    <row r="7" spans="1:14">
      <c r="A7" s="11" t="str">
        <f>'Reconcile FF1 to Plant (1)'!A7</f>
        <v>Twelve Months Ended December 31, 2013</v>
      </c>
      <c r="B7" s="90"/>
      <c r="C7" s="90"/>
      <c r="D7" s="90"/>
      <c r="E7" s="91"/>
      <c r="F7" s="91"/>
      <c r="G7" s="91"/>
      <c r="H7" s="91"/>
      <c r="I7" s="91"/>
    </row>
    <row r="8" spans="1:14">
      <c r="A8" s="5"/>
    </row>
    <row r="10" spans="1:14">
      <c r="C10" s="2" t="s">
        <v>30</v>
      </c>
      <c r="D10" s="1"/>
      <c r="E10" s="7" t="s">
        <v>30</v>
      </c>
      <c r="G10" s="89"/>
      <c r="I10" s="89"/>
    </row>
    <row r="11" spans="1:14">
      <c r="C11" s="3" t="s">
        <v>3</v>
      </c>
      <c r="D11" s="1"/>
      <c r="E11" s="9" t="s">
        <v>31</v>
      </c>
      <c r="G11" s="273" t="s">
        <v>412</v>
      </c>
      <c r="I11" s="273" t="s">
        <v>413</v>
      </c>
    </row>
    <row r="12" spans="1:14">
      <c r="A12" s="83" t="s">
        <v>173</v>
      </c>
      <c r="C12" s="83" t="s">
        <v>175</v>
      </c>
      <c r="E12" s="88">
        <v>222163669</v>
      </c>
      <c r="G12" s="88">
        <v>221603422</v>
      </c>
      <c r="I12" s="88">
        <f>E12-G12</f>
        <v>560247</v>
      </c>
    </row>
    <row r="13" spans="1:14">
      <c r="A13" s="83" t="s">
        <v>174</v>
      </c>
      <c r="C13" s="83" t="s">
        <v>176</v>
      </c>
      <c r="E13" s="84">
        <v>37277088</v>
      </c>
      <c r="G13" s="84">
        <v>36709311</v>
      </c>
      <c r="I13" s="84">
        <f t="shared" ref="I13" si="0">E13-G13</f>
        <v>567777</v>
      </c>
    </row>
    <row r="14" spans="1:14">
      <c r="A14" s="200" t="s">
        <v>359</v>
      </c>
      <c r="E14" s="85">
        <f>SUM(E12:E13)</f>
        <v>259440757</v>
      </c>
      <c r="G14" s="85">
        <f>SUM(G12:G13)</f>
        <v>258312733</v>
      </c>
      <c r="I14" s="85">
        <f>SUM(I12:I13)</f>
        <v>1128024</v>
      </c>
      <c r="K14" s="121"/>
      <c r="L14" s="122"/>
      <c r="M14" s="122"/>
      <c r="N14" s="122"/>
    </row>
    <row r="15" spans="1:14">
      <c r="A15" s="83" t="s">
        <v>2</v>
      </c>
      <c r="C15" s="83" t="s">
        <v>8</v>
      </c>
      <c r="E15" s="84">
        <v>91945558</v>
      </c>
      <c r="G15" s="84">
        <v>91945096</v>
      </c>
      <c r="I15" s="84">
        <f>E15-G15</f>
        <v>462</v>
      </c>
    </row>
    <row r="16" spans="1:14">
      <c r="A16" s="83" t="s">
        <v>27</v>
      </c>
      <c r="C16" s="83" t="s">
        <v>9</v>
      </c>
      <c r="E16" s="84">
        <v>130709243</v>
      </c>
      <c r="G16" s="84">
        <v>130676177</v>
      </c>
      <c r="I16" s="84">
        <f>E16-G16</f>
        <v>33066</v>
      </c>
      <c r="L16" s="94"/>
    </row>
    <row r="17" spans="1:11">
      <c r="A17" s="83" t="s">
        <v>103</v>
      </c>
      <c r="C17" s="83" t="s">
        <v>177</v>
      </c>
      <c r="E17" s="84">
        <v>10980004</v>
      </c>
      <c r="G17" s="84">
        <v>10980004</v>
      </c>
      <c r="I17" s="122">
        <f>E17-G17</f>
        <v>0</v>
      </c>
    </row>
    <row r="18" spans="1:11">
      <c r="A18" s="83" t="s">
        <v>178</v>
      </c>
      <c r="C18" s="1" t="s">
        <v>45</v>
      </c>
      <c r="E18" s="84">
        <v>6774890</v>
      </c>
      <c r="G18" s="84">
        <v>6774890</v>
      </c>
      <c r="I18" s="84">
        <f>E18-G18</f>
        <v>0</v>
      </c>
      <c r="K18" s="123"/>
    </row>
    <row r="19" spans="1:11">
      <c r="C19" s="86"/>
      <c r="E19" s="85">
        <f>SUM(E14:E18)</f>
        <v>499850452</v>
      </c>
      <c r="G19" s="85">
        <f>SUM(G14:G18)</f>
        <v>498688900</v>
      </c>
      <c r="I19" s="85">
        <f>SUM(I14:I18)</f>
        <v>1161552</v>
      </c>
      <c r="K19" s="123"/>
    </row>
    <row r="20" spans="1:11">
      <c r="A20" s="83" t="s">
        <v>29</v>
      </c>
      <c r="C20" s="4">
        <v>356.1</v>
      </c>
      <c r="E20" s="87">
        <v>47516194</v>
      </c>
      <c r="G20" s="87">
        <v>47511471</v>
      </c>
      <c r="I20" s="84">
        <f>E20-G20</f>
        <v>4723</v>
      </c>
    </row>
    <row r="21" spans="1:11" ht="13.5" thickBot="1">
      <c r="E21" s="92">
        <f>SUM(E19:E20)</f>
        <v>547366646</v>
      </c>
      <c r="G21" s="92">
        <f>SUM(G19:G20)</f>
        <v>546200371</v>
      </c>
      <c r="I21" s="93">
        <f>SUM(I19:I20)</f>
        <v>1166275</v>
      </c>
    </row>
    <row r="22" spans="1:11" ht="13.5" thickTop="1"/>
    <row r="25" spans="1:11">
      <c r="A25" s="275" t="s">
        <v>414</v>
      </c>
    </row>
  </sheetData>
  <printOptions horizontalCentered="1"/>
  <pageMargins left="0.17" right="0.17" top="1"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2.75"/>
  <cols>
    <col min="1" max="2" width="2.7109375" style="1" customWidth="1"/>
    <col min="3" max="3" width="20.85546875" style="1" customWidth="1"/>
    <col min="4" max="4" width="2.7109375" style="1" customWidth="1"/>
    <col min="5" max="5" width="11.7109375" style="6" bestFit="1" customWidth="1"/>
    <col min="6" max="6" width="2.7109375" style="6" customWidth="1"/>
    <col min="7" max="7" width="11.7109375" style="6" bestFit="1" customWidth="1"/>
    <col min="8" max="8" width="2.7109375" style="6" customWidth="1"/>
    <col min="9" max="9" width="11.85546875" style="6" bestFit="1" customWidth="1"/>
    <col min="10" max="10" width="2.7109375" style="6" customWidth="1"/>
    <col min="11" max="11" width="10.85546875" style="6" bestFit="1" customWidth="1"/>
    <col min="12" max="12" width="2.7109375" style="6" customWidth="1"/>
    <col min="13" max="13" width="10.85546875" style="6" bestFit="1" customWidth="1"/>
    <col min="14" max="14" width="2.7109375" style="6" customWidth="1"/>
    <col min="15" max="15" width="10.85546875" style="6" bestFit="1" customWidth="1"/>
    <col min="16" max="16" width="2.7109375" style="6" customWidth="1"/>
    <col min="17" max="17" width="10.85546875" style="6" bestFit="1" customWidth="1"/>
    <col min="18" max="16384" width="9.140625" style="1"/>
  </cols>
  <sheetData>
    <row r="1" spans="1:17">
      <c r="Q1" s="201" t="s">
        <v>330</v>
      </c>
    </row>
    <row r="3" spans="1:17">
      <c r="A3" s="11" t="s">
        <v>22</v>
      </c>
      <c r="B3" s="11"/>
      <c r="C3" s="11"/>
      <c r="D3" s="11"/>
      <c r="E3" s="18"/>
      <c r="F3" s="18"/>
      <c r="G3" s="18"/>
      <c r="H3" s="18"/>
      <c r="I3" s="18"/>
      <c r="J3" s="18"/>
      <c r="K3" s="18"/>
      <c r="L3" s="18"/>
      <c r="M3" s="18"/>
      <c r="N3" s="18"/>
      <c r="O3" s="18"/>
      <c r="P3" s="18"/>
      <c r="Q3" s="18"/>
    </row>
    <row r="4" spans="1:17">
      <c r="A4" s="11" t="s">
        <v>322</v>
      </c>
      <c r="B4" s="11"/>
      <c r="C4" s="11"/>
      <c r="D4" s="11"/>
      <c r="E4" s="18"/>
      <c r="F4" s="18"/>
      <c r="G4" s="18"/>
      <c r="H4" s="18"/>
      <c r="I4" s="18"/>
      <c r="J4" s="18"/>
      <c r="K4" s="18"/>
      <c r="L4" s="18"/>
      <c r="M4" s="18"/>
      <c r="N4" s="18"/>
      <c r="O4" s="18"/>
      <c r="P4" s="18"/>
      <c r="Q4" s="18"/>
    </row>
    <row r="5" spans="1:17">
      <c r="A5" s="11" t="s">
        <v>332</v>
      </c>
      <c r="B5" s="11"/>
      <c r="C5" s="11"/>
      <c r="D5" s="11"/>
      <c r="E5" s="18"/>
      <c r="F5" s="18"/>
      <c r="G5" s="18"/>
      <c r="H5" s="18"/>
      <c r="I5" s="18"/>
      <c r="J5" s="18"/>
      <c r="K5" s="18"/>
      <c r="L5" s="18"/>
      <c r="M5" s="18"/>
      <c r="N5" s="18"/>
      <c r="O5" s="18"/>
      <c r="P5" s="18"/>
      <c r="Q5" s="18"/>
    </row>
    <row r="6" spans="1:17">
      <c r="A6" s="11" t="s">
        <v>399</v>
      </c>
      <c r="B6" s="11"/>
      <c r="C6" s="11"/>
      <c r="D6" s="11"/>
      <c r="E6" s="18"/>
      <c r="F6" s="18"/>
      <c r="G6" s="18"/>
      <c r="H6" s="18"/>
      <c r="I6" s="18"/>
      <c r="J6" s="18"/>
      <c r="K6" s="18"/>
      <c r="L6" s="18"/>
      <c r="M6" s="18"/>
      <c r="N6" s="18"/>
      <c r="O6" s="18"/>
      <c r="P6" s="18"/>
      <c r="Q6" s="18"/>
    </row>
    <row r="7" spans="1:17">
      <c r="A7" s="11" t="s">
        <v>49</v>
      </c>
      <c r="B7" s="11"/>
      <c r="C7" s="11"/>
      <c r="D7" s="11"/>
      <c r="E7" s="18"/>
      <c r="F7" s="18"/>
      <c r="G7" s="18"/>
      <c r="H7" s="18"/>
      <c r="I7" s="18"/>
      <c r="J7" s="18"/>
      <c r="K7" s="18"/>
      <c r="L7" s="18"/>
      <c r="M7" s="18"/>
      <c r="N7" s="18"/>
      <c r="O7" s="18"/>
      <c r="P7" s="18"/>
      <c r="Q7" s="18"/>
    </row>
    <row r="9" spans="1:17">
      <c r="E9" s="8"/>
      <c r="G9" s="8"/>
      <c r="I9" s="8" t="s">
        <v>55</v>
      </c>
      <c r="K9" s="8" t="s">
        <v>57</v>
      </c>
      <c r="M9" s="8" t="s">
        <v>60</v>
      </c>
      <c r="O9" s="8"/>
      <c r="Q9" s="8"/>
    </row>
    <row r="10" spans="1:17">
      <c r="E10" s="9" t="s">
        <v>1</v>
      </c>
      <c r="G10" s="9" t="s">
        <v>48</v>
      </c>
      <c r="I10" s="9" t="s">
        <v>56</v>
      </c>
      <c r="K10" s="9" t="s">
        <v>56</v>
      </c>
      <c r="M10" s="9" t="s">
        <v>61</v>
      </c>
      <c r="O10" s="9" t="s">
        <v>32</v>
      </c>
      <c r="Q10" s="9" t="s">
        <v>58</v>
      </c>
    </row>
    <row r="11" spans="1:17">
      <c r="A11" s="1" t="s">
        <v>54</v>
      </c>
    </row>
    <row r="12" spans="1:17">
      <c r="B12" s="1" t="s">
        <v>50</v>
      </c>
      <c r="E12" s="1"/>
      <c r="F12" s="19"/>
      <c r="G12" s="19"/>
      <c r="H12" s="19"/>
      <c r="I12" s="19"/>
      <c r="J12" s="19"/>
      <c r="K12" s="19"/>
      <c r="L12" s="19"/>
      <c r="M12" s="19"/>
      <c r="N12" s="19"/>
      <c r="O12" s="19"/>
      <c r="P12" s="19"/>
      <c r="Q12" s="19"/>
    </row>
    <row r="13" spans="1:17">
      <c r="C13" s="1" t="s">
        <v>29</v>
      </c>
      <c r="E13" s="19">
        <f>SUM(G13:O13)</f>
        <v>15613681</v>
      </c>
      <c r="F13" s="19"/>
      <c r="G13" s="19">
        <v>3086656</v>
      </c>
      <c r="H13" s="19"/>
      <c r="I13" s="19">
        <v>10290965</v>
      </c>
      <c r="J13" s="19"/>
      <c r="K13" s="19">
        <v>656439</v>
      </c>
      <c r="L13" s="19"/>
      <c r="M13" s="19"/>
      <c r="N13" s="19"/>
      <c r="O13" s="19">
        <v>1579621</v>
      </c>
      <c r="P13" s="19"/>
      <c r="Q13" s="19"/>
    </row>
    <row r="14" spans="1:17">
      <c r="C14" s="1" t="s">
        <v>59</v>
      </c>
      <c r="E14" s="6">
        <f>SUM(G14:O14)</f>
        <v>12169449</v>
      </c>
      <c r="F14" s="21"/>
      <c r="G14" s="21">
        <v>2455948</v>
      </c>
      <c r="H14" s="21"/>
      <c r="I14" s="21">
        <v>7689692</v>
      </c>
      <c r="J14" s="21"/>
      <c r="K14" s="21">
        <v>686408</v>
      </c>
      <c r="L14" s="21"/>
      <c r="M14" s="21"/>
      <c r="N14" s="21"/>
      <c r="O14" s="21">
        <v>1337401</v>
      </c>
      <c r="P14" s="21"/>
      <c r="Q14" s="21"/>
    </row>
    <row r="15" spans="1:17">
      <c r="B15" s="1" t="s">
        <v>51</v>
      </c>
      <c r="E15" s="1"/>
    </row>
    <row r="16" spans="1:17">
      <c r="C16" s="1" t="s">
        <v>29</v>
      </c>
      <c r="E16" s="6">
        <f>SUM(G16:O16)</f>
        <v>9277467</v>
      </c>
      <c r="G16" s="6">
        <v>3266099</v>
      </c>
      <c r="I16" s="6">
        <v>3853642</v>
      </c>
      <c r="K16" s="6">
        <v>922622</v>
      </c>
      <c r="M16" s="6">
        <v>420814</v>
      </c>
      <c r="O16" s="6">
        <v>814290</v>
      </c>
    </row>
    <row r="17" spans="1:18">
      <c r="C17" s="1" t="s">
        <v>59</v>
      </c>
      <c r="E17" s="6">
        <f>SUM(G17:O17)</f>
        <v>9394146</v>
      </c>
      <c r="G17" s="6">
        <v>2664064</v>
      </c>
      <c r="I17" s="6">
        <v>3569876</v>
      </c>
      <c r="K17" s="6">
        <v>1941865</v>
      </c>
      <c r="M17" s="6">
        <v>466528</v>
      </c>
      <c r="O17" s="6">
        <v>751813</v>
      </c>
    </row>
    <row r="18" spans="1:18">
      <c r="B18" s="1" t="s">
        <v>52</v>
      </c>
      <c r="E18" s="1"/>
    </row>
    <row r="19" spans="1:18">
      <c r="C19" s="1" t="s">
        <v>29</v>
      </c>
      <c r="E19" s="6">
        <f>SUM(G19:Q19)</f>
        <v>456890</v>
      </c>
      <c r="Q19" s="6">
        <v>456890</v>
      </c>
    </row>
    <row r="20" spans="1:18" s="105" customFormat="1">
      <c r="A20" s="1"/>
      <c r="B20" s="1"/>
      <c r="C20" s="1" t="s">
        <v>59</v>
      </c>
      <c r="D20" s="1"/>
      <c r="E20" s="6">
        <f>SUM(G20:Q20)</f>
        <v>617457</v>
      </c>
      <c r="F20" s="6"/>
      <c r="G20" s="6"/>
      <c r="H20" s="6"/>
      <c r="I20" s="6"/>
      <c r="J20" s="6"/>
      <c r="K20" s="6"/>
      <c r="L20" s="6"/>
      <c r="M20" s="6"/>
      <c r="N20" s="6"/>
      <c r="O20" s="6"/>
      <c r="P20" s="6"/>
      <c r="Q20" s="6">
        <v>617457</v>
      </c>
      <c r="R20" s="1"/>
    </row>
    <row r="21" spans="1:18" s="105" customFormat="1">
      <c r="A21" s="1"/>
      <c r="B21" s="1"/>
      <c r="C21" s="1"/>
      <c r="D21" s="1"/>
      <c r="E21" s="10">
        <f>SUM(E13:E20)</f>
        <v>47529090</v>
      </c>
      <c r="F21" s="6"/>
      <c r="G21" s="10">
        <f>SUM(G13:G20)</f>
        <v>11472767</v>
      </c>
      <c r="H21" s="6"/>
      <c r="I21" s="10">
        <f>SUM(I13:I20)</f>
        <v>25404175</v>
      </c>
      <c r="J21" s="6"/>
      <c r="K21" s="10">
        <f>SUM(K13:K20)</f>
        <v>4207334</v>
      </c>
      <c r="L21" s="6"/>
      <c r="M21" s="10">
        <f>SUM(M13:M20)</f>
        <v>887342</v>
      </c>
      <c r="N21" s="6"/>
      <c r="O21" s="10">
        <f>SUM(O13:O20)</f>
        <v>4483125</v>
      </c>
      <c r="P21" s="6"/>
      <c r="Q21" s="10">
        <f>SUM(Q13:Q20)</f>
        <v>1074347</v>
      </c>
      <c r="R21" s="1"/>
    </row>
    <row r="22" spans="1:18">
      <c r="A22" s="105"/>
      <c r="B22" s="105"/>
      <c r="C22" s="105"/>
      <c r="D22" s="105"/>
      <c r="E22" s="105"/>
      <c r="F22" s="105"/>
      <c r="G22" s="105"/>
      <c r="H22" s="105"/>
      <c r="I22" s="105"/>
      <c r="J22" s="105"/>
      <c r="K22" s="105"/>
      <c r="L22" s="105"/>
      <c r="M22" s="105"/>
      <c r="N22" s="105"/>
      <c r="O22" s="105"/>
      <c r="P22" s="105"/>
      <c r="Q22" s="105"/>
      <c r="R22" s="105"/>
    </row>
    <row r="23" spans="1:18">
      <c r="A23" s="105"/>
      <c r="B23" s="126" t="s">
        <v>207</v>
      </c>
      <c r="C23" s="105"/>
      <c r="D23" s="105"/>
      <c r="E23" s="113"/>
      <c r="F23" s="113"/>
      <c r="G23" s="113"/>
      <c r="H23" s="113"/>
      <c r="I23" s="113"/>
      <c r="J23" s="113"/>
      <c r="K23" s="113"/>
      <c r="L23" s="113"/>
      <c r="M23" s="113"/>
      <c r="N23" s="113"/>
      <c r="O23" s="113"/>
      <c r="P23" s="113"/>
      <c r="Q23" s="113"/>
      <c r="R23" s="105"/>
    </row>
    <row r="24" spans="1:18">
      <c r="A24" s="105"/>
      <c r="B24" s="105"/>
      <c r="C24" s="127" t="s">
        <v>205</v>
      </c>
      <c r="D24" s="105"/>
      <c r="E24" s="6">
        <f>SUM(G24:Q24)</f>
        <v>10485</v>
      </c>
      <c r="F24" s="113"/>
      <c r="G24" s="113">
        <v>-3852</v>
      </c>
      <c r="H24" s="113"/>
      <c r="I24" s="113">
        <v>11425</v>
      </c>
      <c r="J24" s="113"/>
      <c r="K24" s="113">
        <v>918</v>
      </c>
      <c r="L24" s="113"/>
      <c r="M24" s="113"/>
      <c r="N24" s="113"/>
      <c r="O24" s="113">
        <v>1994</v>
      </c>
      <c r="P24" s="113"/>
      <c r="Q24" s="113"/>
      <c r="R24" s="113"/>
    </row>
    <row r="25" spans="1:18">
      <c r="C25" s="128" t="s">
        <v>206</v>
      </c>
      <c r="E25" s="6">
        <f>SUM(G25:Q25)</f>
        <v>7134</v>
      </c>
      <c r="G25" s="6">
        <v>-3268</v>
      </c>
      <c r="I25" s="6">
        <v>4817</v>
      </c>
      <c r="K25" s="6">
        <v>2655</v>
      </c>
      <c r="M25" s="6">
        <v>570</v>
      </c>
      <c r="O25" s="6">
        <v>1033</v>
      </c>
      <c r="Q25" s="6">
        <f>1190+137</f>
        <v>1327</v>
      </c>
      <c r="R25" s="6"/>
    </row>
    <row r="26" spans="1:18">
      <c r="E26" s="10">
        <f>SUM(E24:E25)</f>
        <v>17619</v>
      </c>
      <c r="G26" s="10">
        <f>SUM(G24:G25)</f>
        <v>-7120</v>
      </c>
      <c r="I26" s="10">
        <f>SUM(I24:I25)</f>
        <v>16242</v>
      </c>
      <c r="K26" s="10">
        <f>SUM(K24:K25)</f>
        <v>3573</v>
      </c>
      <c r="M26" s="10">
        <f>SUM(M24:M25)</f>
        <v>570</v>
      </c>
      <c r="O26" s="10">
        <f>SUM(O24:O25)</f>
        <v>3027</v>
      </c>
      <c r="Q26" s="10">
        <f>SUM(Q24:Q25)</f>
        <v>1327</v>
      </c>
      <c r="R26" s="6"/>
    </row>
    <row r="27" spans="1:18">
      <c r="R27" s="6"/>
    </row>
    <row r="28" spans="1:18" ht="13.5" thickBot="1">
      <c r="A28" s="279" t="s">
        <v>415</v>
      </c>
      <c r="B28" s="105"/>
      <c r="C28" s="105"/>
      <c r="D28" s="105"/>
      <c r="E28" s="129">
        <f>SUM(G28:Q28)</f>
        <v>47511471</v>
      </c>
      <c r="F28" s="113"/>
      <c r="G28" s="129">
        <f>G21-G26</f>
        <v>11479887</v>
      </c>
      <c r="H28" s="113"/>
      <c r="I28" s="129">
        <f>I21-I26</f>
        <v>25387933</v>
      </c>
      <c r="J28" s="113"/>
      <c r="K28" s="129">
        <f>K21-K26</f>
        <v>4203761</v>
      </c>
      <c r="L28" s="113"/>
      <c r="M28" s="129">
        <f>M21-M26</f>
        <v>886772</v>
      </c>
      <c r="N28" s="113"/>
      <c r="O28" s="129">
        <f>O21-O26</f>
        <v>4480098</v>
      </c>
      <c r="P28" s="113"/>
      <c r="Q28" s="129">
        <f>Q21-Q26</f>
        <v>1073020</v>
      </c>
      <c r="R28" s="113"/>
    </row>
    <row r="29" spans="1:18" ht="13.5" thickTop="1"/>
    <row r="30" spans="1:18" s="105" customFormat="1">
      <c r="A30" s="1"/>
      <c r="B30" s="1"/>
      <c r="C30" s="1"/>
      <c r="D30" s="1"/>
      <c r="E30" s="6"/>
      <c r="F30" s="6"/>
      <c r="G30" s="6"/>
      <c r="H30" s="6"/>
      <c r="I30" s="6"/>
      <c r="J30" s="6"/>
      <c r="K30" s="6"/>
      <c r="L30" s="6"/>
      <c r="M30" s="6"/>
      <c r="N30" s="6"/>
      <c r="O30" s="6"/>
      <c r="P30" s="6"/>
      <c r="Q30" s="6"/>
      <c r="R30" s="1"/>
    </row>
    <row r="31" spans="1:18" s="105" customFormat="1">
      <c r="A31" s="82" t="s">
        <v>172</v>
      </c>
      <c r="B31" s="1"/>
      <c r="C31" s="1"/>
      <c r="D31" s="1"/>
      <c r="E31" s="6"/>
      <c r="F31" s="6"/>
      <c r="G31" s="6"/>
      <c r="H31" s="6"/>
      <c r="I31" s="6"/>
      <c r="J31" s="6"/>
      <c r="K31" s="6"/>
      <c r="L31" s="6"/>
      <c r="M31" s="6"/>
      <c r="N31" s="6"/>
      <c r="O31" s="6"/>
      <c r="P31" s="6"/>
      <c r="Q31" s="6"/>
      <c r="R31" s="1"/>
    </row>
    <row r="32" spans="1:18">
      <c r="A32" s="242"/>
      <c r="B32" s="242" t="s">
        <v>395</v>
      </c>
    </row>
  </sheetData>
  <printOptions horizontalCentered="1"/>
  <pageMargins left="0.17" right="0.17" top="1" bottom="0.17" header="0.3" footer="0.3"/>
  <pageSetup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2.75"/>
  <cols>
    <col min="1" max="1" width="17.140625" style="133" customWidth="1"/>
    <col min="2" max="2" width="2.7109375" style="133" customWidth="1"/>
    <col min="3" max="3" width="13.42578125" style="133" bestFit="1" customWidth="1"/>
    <col min="4" max="4" width="2.7109375" style="142" customWidth="1"/>
    <col min="5" max="17" width="13.42578125" style="133" bestFit="1" customWidth="1"/>
    <col min="18" max="18" width="2.7109375" style="133" customWidth="1"/>
    <col min="19" max="16384" width="9.140625" style="133"/>
  </cols>
  <sheetData>
    <row r="1" spans="1:19">
      <c r="A1" s="202" t="s">
        <v>333</v>
      </c>
    </row>
    <row r="3" spans="1:19">
      <c r="A3" s="139" t="s">
        <v>22</v>
      </c>
      <c r="B3" s="11"/>
      <c r="C3" s="11"/>
      <c r="D3" s="141"/>
      <c r="E3" s="11"/>
      <c r="F3" s="11"/>
      <c r="G3" s="11"/>
      <c r="H3" s="11"/>
      <c r="I3" s="11"/>
      <c r="J3" s="11"/>
      <c r="K3" s="11"/>
      <c r="L3" s="11"/>
      <c r="M3" s="11"/>
      <c r="N3" s="11"/>
      <c r="O3" s="11"/>
      <c r="P3" s="11"/>
      <c r="Q3" s="11"/>
      <c r="R3" s="11"/>
    </row>
    <row r="4" spans="1:19">
      <c r="A4" s="139" t="s">
        <v>322</v>
      </c>
      <c r="B4" s="11"/>
      <c r="C4" s="11"/>
      <c r="D4" s="141"/>
      <c r="E4" s="11"/>
      <c r="F4" s="11"/>
      <c r="G4" s="11"/>
      <c r="H4" s="11"/>
      <c r="I4" s="11"/>
      <c r="J4" s="11"/>
      <c r="K4" s="11"/>
      <c r="L4" s="11"/>
      <c r="M4" s="11"/>
      <c r="N4" s="11"/>
      <c r="O4" s="11"/>
      <c r="P4" s="11"/>
      <c r="Q4" s="11"/>
      <c r="R4" s="11"/>
    </row>
    <row r="5" spans="1:19">
      <c r="A5" s="139" t="s">
        <v>331</v>
      </c>
      <c r="B5" s="11"/>
      <c r="C5" s="11"/>
      <c r="D5" s="141"/>
      <c r="E5" s="11"/>
      <c r="F5" s="11"/>
      <c r="G5" s="11"/>
      <c r="H5" s="11"/>
      <c r="I5" s="11"/>
      <c r="J5" s="11"/>
      <c r="K5" s="11"/>
      <c r="L5" s="11"/>
      <c r="M5" s="11"/>
      <c r="N5" s="11"/>
      <c r="O5" s="11"/>
      <c r="P5" s="11"/>
      <c r="Q5" s="11"/>
      <c r="R5" s="11"/>
    </row>
    <row r="6" spans="1:19">
      <c r="A6" s="139" t="s">
        <v>239</v>
      </c>
      <c r="B6" s="11"/>
      <c r="C6" s="11"/>
      <c r="D6" s="141"/>
      <c r="E6" s="11"/>
      <c r="F6" s="11"/>
      <c r="G6" s="11"/>
      <c r="H6" s="11"/>
      <c r="I6" s="11"/>
      <c r="J6" s="11"/>
      <c r="K6" s="11"/>
      <c r="L6" s="11"/>
      <c r="M6" s="11"/>
      <c r="N6" s="11"/>
      <c r="O6" s="11"/>
      <c r="P6" s="11"/>
      <c r="Q6" s="11"/>
      <c r="R6" s="11"/>
    </row>
    <row r="7" spans="1:19">
      <c r="A7" s="139" t="s">
        <v>228</v>
      </c>
    </row>
    <row r="8" spans="1:19">
      <c r="A8" s="140"/>
    </row>
    <row r="10" spans="1:19" ht="24.75" customHeight="1">
      <c r="C10" s="138" t="s">
        <v>161</v>
      </c>
      <c r="D10" s="143"/>
      <c r="E10" s="134" t="s">
        <v>148</v>
      </c>
      <c r="F10" s="134" t="s">
        <v>149</v>
      </c>
      <c r="G10" s="134" t="s">
        <v>216</v>
      </c>
      <c r="H10" s="134" t="s">
        <v>217</v>
      </c>
      <c r="I10" s="134" t="s">
        <v>218</v>
      </c>
      <c r="J10" s="134" t="s">
        <v>219</v>
      </c>
      <c r="K10" s="134" t="s">
        <v>220</v>
      </c>
      <c r="L10" s="134" t="s">
        <v>221</v>
      </c>
      <c r="M10" s="134" t="s">
        <v>222</v>
      </c>
      <c r="N10" s="134" t="s">
        <v>223</v>
      </c>
      <c r="O10" s="134" t="s">
        <v>224</v>
      </c>
      <c r="P10" s="134" t="s">
        <v>225</v>
      </c>
      <c r="Q10" s="134" t="s">
        <v>226</v>
      </c>
      <c r="R10" s="146"/>
      <c r="S10" s="158" t="s">
        <v>253</v>
      </c>
    </row>
    <row r="11" spans="1:19">
      <c r="A11" s="278" t="s">
        <v>232</v>
      </c>
      <c r="C11" s="143"/>
      <c r="D11" s="143"/>
      <c r="E11" s="146"/>
      <c r="F11" s="146"/>
      <c r="G11" s="146"/>
      <c r="H11" s="146"/>
      <c r="I11" s="146"/>
      <c r="J11" s="146"/>
      <c r="K11" s="146"/>
      <c r="L11" s="146"/>
      <c r="M11" s="146"/>
      <c r="N11" s="146"/>
      <c r="O11" s="146"/>
      <c r="P11" s="146"/>
      <c r="Q11" s="146"/>
      <c r="R11" s="146"/>
      <c r="S11" s="156"/>
    </row>
    <row r="12" spans="1:19">
      <c r="A12" s="133" t="s">
        <v>173</v>
      </c>
      <c r="C12" s="137">
        <f>ROUND(AVERAGE(E12:Q12),0)</f>
        <v>216389313</v>
      </c>
      <c r="D12" s="144"/>
      <c r="E12" s="137">
        <v>212025868</v>
      </c>
      <c r="F12" s="137">
        <v>212829299</v>
      </c>
      <c r="G12" s="137">
        <v>213633071</v>
      </c>
      <c r="H12" s="137">
        <v>214215579</v>
      </c>
      <c r="I12" s="137">
        <v>214822698</v>
      </c>
      <c r="J12" s="137">
        <v>215829190</v>
      </c>
      <c r="K12" s="137">
        <v>216512008</v>
      </c>
      <c r="L12" s="137">
        <v>217317256</v>
      </c>
      <c r="M12" s="137">
        <v>217657960</v>
      </c>
      <c r="N12" s="137">
        <v>218371418</v>
      </c>
      <c r="O12" s="137">
        <v>219134311</v>
      </c>
      <c r="P12" s="137">
        <v>219108991</v>
      </c>
      <c r="Q12" s="137">
        <v>221603422</v>
      </c>
      <c r="R12" s="137"/>
      <c r="S12" s="156">
        <f>ROUND(Q12/C12,3)</f>
        <v>1.024</v>
      </c>
    </row>
    <row r="13" spans="1:19">
      <c r="A13" s="133" t="s">
        <v>174</v>
      </c>
      <c r="C13" s="135">
        <f t="shared" ref="C13:C23" si="0">ROUND(AVERAGE(E13:Q13),0)</f>
        <v>33362593</v>
      </c>
      <c r="D13" s="145"/>
      <c r="E13" s="135">
        <v>29999471</v>
      </c>
      <c r="F13" s="135">
        <v>30557885</v>
      </c>
      <c r="G13" s="135">
        <v>31114715</v>
      </c>
      <c r="H13" s="135">
        <v>31672158</v>
      </c>
      <c r="I13" s="135">
        <v>32224007</v>
      </c>
      <c r="J13" s="135">
        <v>32787978</v>
      </c>
      <c r="K13" s="135">
        <v>33387818</v>
      </c>
      <c r="L13" s="135">
        <v>33944897</v>
      </c>
      <c r="M13" s="135">
        <v>34496327</v>
      </c>
      <c r="N13" s="135">
        <v>35053946</v>
      </c>
      <c r="O13" s="135">
        <v>35609744</v>
      </c>
      <c r="P13" s="135">
        <v>36155452</v>
      </c>
      <c r="Q13" s="135">
        <v>36709312</v>
      </c>
      <c r="R13" s="135"/>
      <c r="S13" s="156">
        <f t="shared" ref="S13:S22" si="1">ROUND(Q13/C13,3)</f>
        <v>1.1000000000000001</v>
      </c>
    </row>
    <row r="14" spans="1:19">
      <c r="A14" s="133" t="s">
        <v>227</v>
      </c>
      <c r="C14" s="136">
        <f>SUM(C12:C13)</f>
        <v>249751906</v>
      </c>
      <c r="D14" s="145"/>
      <c r="E14" s="136">
        <f t="shared" ref="E14:Q14" si="2">SUM(E12:E13)</f>
        <v>242025339</v>
      </c>
      <c r="F14" s="136">
        <f t="shared" si="2"/>
        <v>243387184</v>
      </c>
      <c r="G14" s="136">
        <f t="shared" si="2"/>
        <v>244747786</v>
      </c>
      <c r="H14" s="136">
        <f t="shared" si="2"/>
        <v>245887737</v>
      </c>
      <c r="I14" s="136">
        <f t="shared" si="2"/>
        <v>247046705</v>
      </c>
      <c r="J14" s="136">
        <f t="shared" si="2"/>
        <v>248617168</v>
      </c>
      <c r="K14" s="136">
        <f t="shared" si="2"/>
        <v>249899826</v>
      </c>
      <c r="L14" s="136">
        <f t="shared" si="2"/>
        <v>251262153</v>
      </c>
      <c r="M14" s="136">
        <f t="shared" si="2"/>
        <v>252154287</v>
      </c>
      <c r="N14" s="136">
        <f t="shared" si="2"/>
        <v>253425364</v>
      </c>
      <c r="O14" s="136">
        <f t="shared" si="2"/>
        <v>254744055</v>
      </c>
      <c r="P14" s="136">
        <f t="shared" si="2"/>
        <v>255264443</v>
      </c>
      <c r="Q14" s="136">
        <f t="shared" si="2"/>
        <v>258312734</v>
      </c>
      <c r="R14" s="145"/>
      <c r="S14" s="156">
        <f t="shared" si="1"/>
        <v>1.034</v>
      </c>
    </row>
    <row r="15" spans="1:19">
      <c r="A15" s="133" t="s">
        <v>2</v>
      </c>
      <c r="C15" s="135">
        <f t="shared" si="0"/>
        <v>89618366</v>
      </c>
      <c r="D15" s="145"/>
      <c r="E15" s="135">
        <v>87721430</v>
      </c>
      <c r="F15" s="135">
        <v>87998995</v>
      </c>
      <c r="G15" s="135">
        <v>88270258</v>
      </c>
      <c r="H15" s="135">
        <v>88761037</v>
      </c>
      <c r="I15" s="135">
        <v>89012938</v>
      </c>
      <c r="J15" s="135">
        <v>89138339</v>
      </c>
      <c r="K15" s="135">
        <v>89457953</v>
      </c>
      <c r="L15" s="135">
        <v>89736110</v>
      </c>
      <c r="M15" s="135">
        <v>90115446</v>
      </c>
      <c r="N15" s="135">
        <v>90418560</v>
      </c>
      <c r="O15" s="135">
        <v>90619062</v>
      </c>
      <c r="P15" s="135">
        <v>91843537</v>
      </c>
      <c r="Q15" s="135">
        <v>91945097</v>
      </c>
      <c r="R15" s="135"/>
      <c r="S15" s="156">
        <f t="shared" si="1"/>
        <v>1.026</v>
      </c>
    </row>
    <row r="16" spans="1:19">
      <c r="A16" s="133" t="s">
        <v>27</v>
      </c>
      <c r="C16" s="135">
        <f t="shared" si="0"/>
        <v>128755929</v>
      </c>
      <c r="D16" s="145"/>
      <c r="E16" s="135">
        <v>126140945</v>
      </c>
      <c r="F16" s="135">
        <v>126711214</v>
      </c>
      <c r="G16" s="135">
        <v>126922752</v>
      </c>
      <c r="H16" s="135">
        <v>127124594</v>
      </c>
      <c r="I16" s="135">
        <v>127532376</v>
      </c>
      <c r="J16" s="135">
        <v>129413135</v>
      </c>
      <c r="K16" s="135">
        <v>129437615</v>
      </c>
      <c r="L16" s="135">
        <v>129814468</v>
      </c>
      <c r="M16" s="135">
        <v>129581439</v>
      </c>
      <c r="N16" s="135">
        <v>129964015</v>
      </c>
      <c r="O16" s="135">
        <v>130197683</v>
      </c>
      <c r="P16" s="135">
        <v>130310664</v>
      </c>
      <c r="Q16" s="135">
        <v>130676177</v>
      </c>
      <c r="R16" s="135"/>
      <c r="S16" s="156">
        <f t="shared" si="1"/>
        <v>1.0149999999999999</v>
      </c>
    </row>
    <row r="17" spans="1:19">
      <c r="A17" s="133" t="s">
        <v>103</v>
      </c>
      <c r="C17" s="135">
        <f t="shared" si="0"/>
        <v>10666773</v>
      </c>
      <c r="D17" s="145"/>
      <c r="E17" s="135">
        <v>9950069</v>
      </c>
      <c r="F17" s="135">
        <v>10097178</v>
      </c>
      <c r="G17" s="135">
        <v>10229519</v>
      </c>
      <c r="H17" s="135">
        <v>10368878</v>
      </c>
      <c r="I17" s="135">
        <v>10504707</v>
      </c>
      <c r="J17" s="135">
        <v>10625360</v>
      </c>
      <c r="K17" s="135">
        <v>10758161</v>
      </c>
      <c r="L17" s="135">
        <v>10892822</v>
      </c>
      <c r="M17" s="135">
        <v>11080932</v>
      </c>
      <c r="N17" s="135">
        <v>11186862</v>
      </c>
      <c r="O17" s="135">
        <v>11194109</v>
      </c>
      <c r="P17" s="135">
        <v>10799444</v>
      </c>
      <c r="Q17" s="135">
        <v>10980003</v>
      </c>
      <c r="R17" s="135"/>
      <c r="S17" s="156">
        <f t="shared" si="1"/>
        <v>1.0289999999999999</v>
      </c>
    </row>
    <row r="18" spans="1:19">
      <c r="A18" s="133" t="s">
        <v>215</v>
      </c>
      <c r="C18" s="135">
        <f t="shared" si="0"/>
        <v>6618535</v>
      </c>
      <c r="D18" s="145"/>
      <c r="E18" s="135">
        <v>6462259</v>
      </c>
      <c r="F18" s="135">
        <v>6488290.0700000003</v>
      </c>
      <c r="G18" s="135">
        <v>6514321.1900000004</v>
      </c>
      <c r="H18" s="135">
        <v>6540352.3099999996</v>
      </c>
      <c r="I18" s="135">
        <v>6566383.4299999997</v>
      </c>
      <c r="J18" s="135">
        <v>6592447</v>
      </c>
      <c r="K18" s="135">
        <v>6618510</v>
      </c>
      <c r="L18" s="135">
        <v>6644573</v>
      </c>
      <c r="M18" s="135">
        <v>6670637</v>
      </c>
      <c r="N18" s="135">
        <v>6696700</v>
      </c>
      <c r="O18" s="135">
        <v>6722763</v>
      </c>
      <c r="P18" s="135">
        <v>6748826</v>
      </c>
      <c r="Q18" s="135">
        <v>6774890</v>
      </c>
      <c r="R18" s="135"/>
      <c r="S18" s="156">
        <f t="shared" si="1"/>
        <v>1.024</v>
      </c>
    </row>
    <row r="19" spans="1:19">
      <c r="C19" s="136">
        <f>SUM(C14:C18)</f>
        <v>485411509</v>
      </c>
      <c r="D19" s="145"/>
      <c r="E19" s="136">
        <f t="shared" ref="E19:Q19" si="3">SUM(E14:E18)</f>
        <v>472300042</v>
      </c>
      <c r="F19" s="136">
        <f t="shared" si="3"/>
        <v>474682861.06999999</v>
      </c>
      <c r="G19" s="136">
        <f t="shared" si="3"/>
        <v>476684636.19</v>
      </c>
      <c r="H19" s="136">
        <f t="shared" si="3"/>
        <v>478682598.31</v>
      </c>
      <c r="I19" s="136">
        <f t="shared" si="3"/>
        <v>480663109.43000001</v>
      </c>
      <c r="J19" s="136">
        <f t="shared" si="3"/>
        <v>484386449</v>
      </c>
      <c r="K19" s="136">
        <f t="shared" si="3"/>
        <v>486172065</v>
      </c>
      <c r="L19" s="136">
        <f t="shared" si="3"/>
        <v>488350126</v>
      </c>
      <c r="M19" s="136">
        <f t="shared" si="3"/>
        <v>489602741</v>
      </c>
      <c r="N19" s="136">
        <f t="shared" si="3"/>
        <v>491691501</v>
      </c>
      <c r="O19" s="136">
        <f t="shared" si="3"/>
        <v>493477672</v>
      </c>
      <c r="P19" s="136">
        <f t="shared" si="3"/>
        <v>494966914</v>
      </c>
      <c r="Q19" s="136">
        <f t="shared" si="3"/>
        <v>498688901</v>
      </c>
      <c r="R19" s="145"/>
      <c r="S19" s="156">
        <f t="shared" si="1"/>
        <v>1.0269999999999999</v>
      </c>
    </row>
    <row r="20" spans="1:19">
      <c r="C20" s="145"/>
      <c r="D20" s="145"/>
      <c r="E20" s="145"/>
      <c r="F20" s="145"/>
      <c r="G20" s="145"/>
      <c r="H20" s="145"/>
      <c r="I20" s="145"/>
      <c r="J20" s="145"/>
      <c r="K20" s="145"/>
      <c r="L20" s="145"/>
      <c r="M20" s="145"/>
      <c r="N20" s="145"/>
      <c r="O20" s="145"/>
      <c r="P20" s="145"/>
      <c r="Q20" s="145"/>
      <c r="R20" s="145"/>
      <c r="S20" s="156"/>
    </row>
    <row r="21" spans="1:19">
      <c r="A21" s="275" t="s">
        <v>407</v>
      </c>
      <c r="C21" s="135">
        <f t="shared" si="0"/>
        <v>25016291</v>
      </c>
      <c r="D21" s="145"/>
      <c r="E21" s="145">
        <v>24283759</v>
      </c>
      <c r="F21" s="145">
        <v>24478183</v>
      </c>
      <c r="G21" s="145">
        <v>24681171</v>
      </c>
      <c r="H21" s="145">
        <v>24898528</v>
      </c>
      <c r="I21" s="145">
        <v>24588966</v>
      </c>
      <c r="J21" s="145">
        <v>24853746</v>
      </c>
      <c r="K21" s="145">
        <v>24986522</v>
      </c>
      <c r="L21" s="145">
        <v>25195815</v>
      </c>
      <c r="M21" s="145">
        <v>25400063</v>
      </c>
      <c r="N21" s="145">
        <v>25588230</v>
      </c>
      <c r="O21" s="145">
        <v>25726069</v>
      </c>
      <c r="P21" s="145">
        <v>25182689</v>
      </c>
      <c r="Q21" s="145">
        <v>25348037</v>
      </c>
      <c r="R21" s="145"/>
      <c r="S21" s="156">
        <f t="shared" si="1"/>
        <v>1.0129999999999999</v>
      </c>
    </row>
    <row r="22" spans="1:19">
      <c r="A22" s="275" t="s">
        <v>416</v>
      </c>
      <c r="C22" s="135">
        <f t="shared" si="0"/>
        <v>20838717</v>
      </c>
      <c r="D22" s="145"/>
      <c r="E22" s="145">
        <v>19814566</v>
      </c>
      <c r="F22" s="145">
        <v>19882163</v>
      </c>
      <c r="G22" s="145">
        <v>19949760</v>
      </c>
      <c r="H22" s="145">
        <v>20150771</v>
      </c>
      <c r="I22" s="145">
        <v>20352890</v>
      </c>
      <c r="J22" s="145">
        <v>20555754</v>
      </c>
      <c r="K22" s="145">
        <v>20775207</v>
      </c>
      <c r="L22" s="145">
        <v>20995200</v>
      </c>
      <c r="M22" s="145">
        <v>21215210</v>
      </c>
      <c r="N22" s="145">
        <v>21449115</v>
      </c>
      <c r="O22" s="145">
        <v>21676460</v>
      </c>
      <c r="P22" s="145">
        <v>21905174</v>
      </c>
      <c r="Q22" s="145">
        <v>22181053</v>
      </c>
      <c r="R22" s="145"/>
      <c r="S22" s="156">
        <f t="shared" si="1"/>
        <v>1.0640000000000001</v>
      </c>
    </row>
    <row r="23" spans="1:19">
      <c r="A23" s="180" t="s">
        <v>266</v>
      </c>
      <c r="C23" s="148">
        <f t="shared" si="0"/>
        <v>12303</v>
      </c>
      <c r="E23" s="148">
        <v>4438</v>
      </c>
      <c r="F23" s="148">
        <v>29378</v>
      </c>
      <c r="G23" s="148">
        <v>35647</v>
      </c>
      <c r="H23" s="148">
        <v>8048</v>
      </c>
      <c r="I23" s="148">
        <v>8048</v>
      </c>
      <c r="J23" s="148">
        <v>74148</v>
      </c>
      <c r="K23" s="148">
        <v>-66000</v>
      </c>
      <c r="L23" s="148">
        <v>4113</v>
      </c>
      <c r="M23" s="148">
        <v>1854</v>
      </c>
      <c r="N23" s="148">
        <v>1766</v>
      </c>
      <c r="O23" s="148">
        <v>5019</v>
      </c>
      <c r="P23" s="148">
        <v>35867</v>
      </c>
      <c r="Q23" s="148">
        <v>17619</v>
      </c>
      <c r="R23" s="145"/>
      <c r="S23" s="156">
        <f>ROUND(Q26/C26,3)</f>
        <v>1.028</v>
      </c>
    </row>
    <row r="24" spans="1:19">
      <c r="C24" s="135">
        <f>C21+C22-C23</f>
        <v>45842705</v>
      </c>
      <c r="E24" s="135">
        <f t="shared" ref="E24:Q24" si="4">E21+E22-E23</f>
        <v>44093887</v>
      </c>
      <c r="F24" s="135">
        <f t="shared" si="4"/>
        <v>44330968</v>
      </c>
      <c r="G24" s="135">
        <f t="shared" si="4"/>
        <v>44595284</v>
      </c>
      <c r="H24" s="135">
        <f t="shared" si="4"/>
        <v>45041251</v>
      </c>
      <c r="I24" s="135">
        <f t="shared" si="4"/>
        <v>44933808</v>
      </c>
      <c r="J24" s="135">
        <f t="shared" si="4"/>
        <v>45335352</v>
      </c>
      <c r="K24" s="135">
        <f t="shared" si="4"/>
        <v>45827729</v>
      </c>
      <c r="L24" s="135">
        <f t="shared" si="4"/>
        <v>46186902</v>
      </c>
      <c r="M24" s="135">
        <f t="shared" si="4"/>
        <v>46613419</v>
      </c>
      <c r="N24" s="135">
        <f t="shared" si="4"/>
        <v>47035579</v>
      </c>
      <c r="O24" s="135">
        <f t="shared" si="4"/>
        <v>47397510</v>
      </c>
      <c r="P24" s="135">
        <f t="shared" si="4"/>
        <v>47051996</v>
      </c>
      <c r="Q24" s="135">
        <f t="shared" si="4"/>
        <v>47511471</v>
      </c>
      <c r="R24" s="145"/>
    </row>
    <row r="25" spans="1:19">
      <c r="C25" s="135"/>
      <c r="E25" s="135"/>
      <c r="F25" s="135"/>
      <c r="G25" s="135"/>
      <c r="H25" s="135"/>
      <c r="I25" s="135"/>
      <c r="J25" s="135"/>
      <c r="K25" s="135"/>
      <c r="L25" s="135"/>
      <c r="M25" s="135"/>
      <c r="N25" s="135"/>
      <c r="O25" s="135"/>
      <c r="P25" s="135"/>
      <c r="Q25" s="135"/>
      <c r="R25" s="145"/>
    </row>
    <row r="26" spans="1:19" s="142" customFormat="1">
      <c r="A26" s="242" t="s">
        <v>396</v>
      </c>
      <c r="B26" s="133"/>
      <c r="C26" s="136">
        <f>C19+C24</f>
        <v>531254214</v>
      </c>
      <c r="D26" s="145"/>
      <c r="E26" s="136">
        <f t="shared" ref="E26:Q26" si="5">E19+E24</f>
        <v>516393929</v>
      </c>
      <c r="F26" s="136">
        <f t="shared" si="5"/>
        <v>519013829.06999999</v>
      </c>
      <c r="G26" s="136">
        <f t="shared" si="5"/>
        <v>521279920.19</v>
      </c>
      <c r="H26" s="136">
        <f t="shared" si="5"/>
        <v>523723849.31</v>
      </c>
      <c r="I26" s="136">
        <f t="shared" si="5"/>
        <v>525596917.43000001</v>
      </c>
      <c r="J26" s="136">
        <f t="shared" si="5"/>
        <v>529721801</v>
      </c>
      <c r="K26" s="136">
        <f t="shared" si="5"/>
        <v>531999794</v>
      </c>
      <c r="L26" s="136">
        <f t="shared" si="5"/>
        <v>534537028</v>
      </c>
      <c r="M26" s="136">
        <f t="shared" si="5"/>
        <v>536216160</v>
      </c>
      <c r="N26" s="136">
        <f t="shared" si="5"/>
        <v>538727080</v>
      </c>
      <c r="O26" s="136">
        <f t="shared" si="5"/>
        <v>540875182</v>
      </c>
      <c r="P26" s="136">
        <f t="shared" si="5"/>
        <v>542018910</v>
      </c>
      <c r="Q26" s="136">
        <f t="shared" si="5"/>
        <v>546200372</v>
      </c>
    </row>
    <row r="27" spans="1:19">
      <c r="C27" s="145"/>
      <c r="D27" s="145"/>
      <c r="E27" s="145"/>
      <c r="F27" s="145"/>
      <c r="G27" s="145"/>
      <c r="H27" s="145"/>
      <c r="I27" s="145"/>
      <c r="J27" s="145"/>
      <c r="K27" s="145"/>
      <c r="L27" s="145"/>
      <c r="M27" s="145"/>
      <c r="N27" s="145"/>
      <c r="O27" s="145"/>
      <c r="P27" s="145"/>
      <c r="Q27" s="145"/>
      <c r="R27" s="146"/>
    </row>
    <row r="28" spans="1:19">
      <c r="A28" s="142"/>
      <c r="B28" s="142"/>
      <c r="C28" s="142"/>
      <c r="E28" s="142"/>
      <c r="F28" s="142"/>
      <c r="G28" s="142"/>
      <c r="H28" s="142"/>
      <c r="I28" s="142"/>
      <c r="J28" s="142"/>
      <c r="K28" s="142"/>
      <c r="L28" s="142"/>
      <c r="M28" s="142"/>
      <c r="N28" s="142"/>
      <c r="O28" s="142"/>
      <c r="P28" s="142"/>
      <c r="Q28" s="142"/>
      <c r="R28" s="135"/>
    </row>
    <row r="29" spans="1:19">
      <c r="A29" s="138" t="s">
        <v>233</v>
      </c>
      <c r="C29" s="143"/>
      <c r="D29" s="143"/>
      <c r="E29" s="146"/>
      <c r="F29" s="146"/>
      <c r="G29" s="146"/>
      <c r="H29" s="146"/>
      <c r="I29" s="146"/>
      <c r="J29" s="146"/>
      <c r="K29" s="146"/>
      <c r="L29" s="146"/>
      <c r="M29" s="146"/>
      <c r="N29" s="146"/>
      <c r="O29" s="146"/>
      <c r="P29" s="146"/>
      <c r="Q29" s="146"/>
      <c r="R29" s="135"/>
    </row>
    <row r="30" spans="1:19">
      <c r="A30" s="133" t="s">
        <v>173</v>
      </c>
      <c r="C30" s="137">
        <f>ROUND(AVERAGE(E30:Q30),0)</f>
        <v>3997025</v>
      </c>
      <c r="D30" s="144"/>
      <c r="E30" s="135">
        <v>3363852</v>
      </c>
      <c r="F30" s="135">
        <v>3469372</v>
      </c>
      <c r="G30" s="135">
        <v>3574892</v>
      </c>
      <c r="H30" s="135">
        <v>3680399</v>
      </c>
      <c r="I30" s="135">
        <v>3785905</v>
      </c>
      <c r="J30" s="135">
        <v>3891412</v>
      </c>
      <c r="K30" s="135">
        <v>3996918</v>
      </c>
      <c r="L30" s="135">
        <v>4102394</v>
      </c>
      <c r="M30" s="135">
        <v>4207870</v>
      </c>
      <c r="N30" s="135">
        <v>4313346</v>
      </c>
      <c r="O30" s="135">
        <v>4419166</v>
      </c>
      <c r="P30" s="135">
        <v>4524987</v>
      </c>
      <c r="Q30" s="135">
        <v>4630807</v>
      </c>
      <c r="R30" s="145"/>
    </row>
    <row r="31" spans="1:19">
      <c r="A31" s="133" t="s">
        <v>174</v>
      </c>
      <c r="C31" s="135"/>
      <c r="D31" s="145"/>
      <c r="E31" s="135"/>
      <c r="F31" s="135"/>
      <c r="G31" s="135"/>
      <c r="H31" s="135"/>
      <c r="I31" s="135"/>
      <c r="J31" s="135"/>
      <c r="K31" s="135"/>
      <c r="L31" s="135"/>
      <c r="M31" s="135"/>
      <c r="N31" s="135"/>
      <c r="O31" s="135"/>
      <c r="P31" s="135"/>
      <c r="Q31" s="135"/>
      <c r="R31" s="135"/>
    </row>
    <row r="32" spans="1:19">
      <c r="A32" s="133" t="s">
        <v>227</v>
      </c>
      <c r="C32" s="136">
        <f>SUM(C30:C31)</f>
        <v>3997025</v>
      </c>
      <c r="D32" s="145"/>
      <c r="E32" s="136">
        <f t="shared" ref="E32:Q32" si="6">SUM(E30:E31)</f>
        <v>3363852</v>
      </c>
      <c r="F32" s="136">
        <f t="shared" si="6"/>
        <v>3469372</v>
      </c>
      <c r="G32" s="136">
        <f t="shared" si="6"/>
        <v>3574892</v>
      </c>
      <c r="H32" s="136">
        <f t="shared" si="6"/>
        <v>3680399</v>
      </c>
      <c r="I32" s="136">
        <f t="shared" si="6"/>
        <v>3785905</v>
      </c>
      <c r="J32" s="136">
        <f t="shared" si="6"/>
        <v>3891412</v>
      </c>
      <c r="K32" s="136">
        <f t="shared" si="6"/>
        <v>3996918</v>
      </c>
      <c r="L32" s="136">
        <f t="shared" si="6"/>
        <v>4102394</v>
      </c>
      <c r="M32" s="136">
        <f t="shared" si="6"/>
        <v>4207870</v>
      </c>
      <c r="N32" s="136">
        <f t="shared" si="6"/>
        <v>4313346</v>
      </c>
      <c r="O32" s="136">
        <f t="shared" si="6"/>
        <v>4419166</v>
      </c>
      <c r="P32" s="136">
        <f t="shared" si="6"/>
        <v>4524987</v>
      </c>
      <c r="Q32" s="136">
        <f t="shared" si="6"/>
        <v>4630807</v>
      </c>
      <c r="R32" s="135"/>
    </row>
    <row r="33" spans="1:18">
      <c r="A33" s="133" t="s">
        <v>2</v>
      </c>
      <c r="C33" s="135">
        <f t="shared" ref="C33:C36" si="7">ROUND(AVERAGE(E33:Q33),0)</f>
        <v>2560018</v>
      </c>
      <c r="D33" s="145"/>
      <c r="E33" s="135">
        <v>2529514</v>
      </c>
      <c r="F33" s="135">
        <v>2534600</v>
      </c>
      <c r="G33" s="135">
        <v>2539685</v>
      </c>
      <c r="H33" s="135">
        <v>2544770</v>
      </c>
      <c r="I33" s="135">
        <v>2549857</v>
      </c>
      <c r="J33" s="135">
        <v>2554942</v>
      </c>
      <c r="K33" s="135">
        <v>2560028</v>
      </c>
      <c r="L33" s="135">
        <v>2565113</v>
      </c>
      <c r="M33" s="135">
        <v>2570199</v>
      </c>
      <c r="N33" s="135">
        <v>2575285</v>
      </c>
      <c r="O33" s="135">
        <v>2580329</v>
      </c>
      <c r="P33" s="135">
        <v>2585414</v>
      </c>
      <c r="Q33" s="135">
        <v>2590500</v>
      </c>
      <c r="R33" s="135"/>
    </row>
    <row r="34" spans="1:18">
      <c r="A34" s="133" t="s">
        <v>27</v>
      </c>
      <c r="C34" s="135">
        <f t="shared" si="7"/>
        <v>22307425</v>
      </c>
      <c r="D34" s="145"/>
      <c r="E34" s="135">
        <v>21809475</v>
      </c>
      <c r="F34" s="135">
        <v>21849071</v>
      </c>
      <c r="G34" s="135">
        <v>21952715</v>
      </c>
      <c r="H34" s="135">
        <v>22050791</v>
      </c>
      <c r="I34" s="135">
        <v>22151107</v>
      </c>
      <c r="J34" s="135">
        <v>22344763</v>
      </c>
      <c r="K34" s="135">
        <v>22356560</v>
      </c>
      <c r="L34" s="135">
        <v>22434941</v>
      </c>
      <c r="M34" s="135">
        <v>22457477</v>
      </c>
      <c r="N34" s="135">
        <v>22549356</v>
      </c>
      <c r="O34" s="135">
        <v>22619432</v>
      </c>
      <c r="P34" s="135">
        <v>22689528</v>
      </c>
      <c r="Q34" s="135">
        <v>22731305</v>
      </c>
      <c r="R34" s="135"/>
    </row>
    <row r="35" spans="1:18">
      <c r="A35" s="133" t="s">
        <v>103</v>
      </c>
      <c r="C35" s="135">
        <f t="shared" si="7"/>
        <v>942260</v>
      </c>
      <c r="D35" s="145"/>
      <c r="E35" s="135">
        <v>872447</v>
      </c>
      <c r="F35" s="135">
        <v>878926</v>
      </c>
      <c r="G35" s="135">
        <v>889443</v>
      </c>
      <c r="H35" s="135">
        <v>906135</v>
      </c>
      <c r="I35" s="135">
        <v>910350</v>
      </c>
      <c r="J35" s="135">
        <v>924225</v>
      </c>
      <c r="K35" s="135">
        <v>934749</v>
      </c>
      <c r="L35" s="135">
        <v>945465</v>
      </c>
      <c r="M35" s="135">
        <v>1018332</v>
      </c>
      <c r="N35" s="135">
        <v>1029055</v>
      </c>
      <c r="O35" s="135">
        <v>988585</v>
      </c>
      <c r="P35" s="135">
        <v>976321</v>
      </c>
      <c r="Q35" s="135">
        <v>975351</v>
      </c>
      <c r="R35" s="145"/>
    </row>
    <row r="36" spans="1:18">
      <c r="A36" s="133" t="s">
        <v>215</v>
      </c>
      <c r="C36" s="135">
        <f t="shared" si="7"/>
        <v>98037</v>
      </c>
      <c r="D36" s="145"/>
      <c r="E36" s="135">
        <v>82427</v>
      </c>
      <c r="F36" s="135">
        <v>83019</v>
      </c>
      <c r="G36" s="135">
        <v>85984</v>
      </c>
      <c r="H36" s="135">
        <v>88950</v>
      </c>
      <c r="I36" s="135">
        <v>91915</v>
      </c>
      <c r="J36" s="135">
        <v>94883</v>
      </c>
      <c r="K36" s="135">
        <v>97852</v>
      </c>
      <c r="L36" s="135">
        <v>100820</v>
      </c>
      <c r="M36" s="135">
        <v>103789</v>
      </c>
      <c r="N36" s="135">
        <v>106758</v>
      </c>
      <c r="O36" s="135">
        <v>109726</v>
      </c>
      <c r="P36" s="135">
        <v>112695</v>
      </c>
      <c r="Q36" s="135">
        <v>115663</v>
      </c>
      <c r="R36" s="145"/>
    </row>
    <row r="37" spans="1:18">
      <c r="C37" s="136">
        <f>SUM(C32:C36)</f>
        <v>29904765</v>
      </c>
      <c r="D37" s="145"/>
      <c r="E37" s="136">
        <f t="shared" ref="E37:Q37" si="8">SUM(E32:E36)</f>
        <v>28657715</v>
      </c>
      <c r="F37" s="136">
        <f t="shared" si="8"/>
        <v>28814988</v>
      </c>
      <c r="G37" s="136">
        <f t="shared" si="8"/>
        <v>29042719</v>
      </c>
      <c r="H37" s="136">
        <f t="shared" si="8"/>
        <v>29271045</v>
      </c>
      <c r="I37" s="136">
        <f t="shared" si="8"/>
        <v>29489134</v>
      </c>
      <c r="J37" s="136">
        <f t="shared" si="8"/>
        <v>29810225</v>
      </c>
      <c r="K37" s="136">
        <f t="shared" si="8"/>
        <v>29946107</v>
      </c>
      <c r="L37" s="136">
        <f t="shared" si="8"/>
        <v>30148733</v>
      </c>
      <c r="M37" s="136">
        <f t="shared" si="8"/>
        <v>30357667</v>
      </c>
      <c r="N37" s="136">
        <f t="shared" si="8"/>
        <v>30573800</v>
      </c>
      <c r="O37" s="136">
        <f t="shared" si="8"/>
        <v>30717238</v>
      </c>
      <c r="P37" s="136">
        <f t="shared" si="8"/>
        <v>30888945</v>
      </c>
      <c r="Q37" s="136">
        <f t="shared" si="8"/>
        <v>31043626</v>
      </c>
      <c r="R37" s="145"/>
    </row>
    <row r="38" spans="1:18">
      <c r="A38" s="275" t="s">
        <v>230</v>
      </c>
      <c r="C38" s="135"/>
      <c r="D38" s="145"/>
      <c r="E38" s="145"/>
      <c r="F38" s="145"/>
      <c r="G38" s="145"/>
      <c r="H38" s="145"/>
      <c r="I38" s="145"/>
      <c r="J38" s="145"/>
      <c r="K38" s="145"/>
      <c r="L38" s="145"/>
      <c r="M38" s="145"/>
      <c r="N38" s="145"/>
      <c r="O38" s="145"/>
      <c r="P38" s="145"/>
      <c r="Q38" s="145"/>
      <c r="R38" s="145"/>
    </row>
    <row r="39" spans="1:18">
      <c r="A39" s="133" t="s">
        <v>235</v>
      </c>
      <c r="C39" s="145"/>
      <c r="D39" s="145"/>
      <c r="E39" s="145"/>
      <c r="F39" s="145"/>
      <c r="G39" s="145"/>
      <c r="H39" s="145"/>
      <c r="I39" s="145"/>
      <c r="J39" s="145"/>
      <c r="K39" s="145"/>
      <c r="L39" s="145"/>
      <c r="M39" s="145"/>
      <c r="N39" s="145"/>
      <c r="O39" s="145"/>
      <c r="P39" s="145"/>
      <c r="Q39" s="145"/>
      <c r="R39" s="145"/>
    </row>
    <row r="40" spans="1:18">
      <c r="A40" s="133" t="s">
        <v>237</v>
      </c>
      <c r="C40" s="145">
        <f t="shared" ref="C40:C41" si="9">ROUND(AVERAGE(E40:Q40),0)</f>
        <v>1562066</v>
      </c>
      <c r="D40" s="145"/>
      <c r="E40" s="145">
        <v>1541532</v>
      </c>
      <c r="F40" s="145">
        <v>1517785</v>
      </c>
      <c r="G40" s="145">
        <v>1530853</v>
      </c>
      <c r="H40" s="145">
        <v>1543768</v>
      </c>
      <c r="I40" s="145">
        <v>1537268</v>
      </c>
      <c r="J40" s="145">
        <v>1554490</v>
      </c>
      <c r="K40" s="145">
        <v>1563307</v>
      </c>
      <c r="L40" s="145">
        <v>1576594</v>
      </c>
      <c r="M40" s="145">
        <v>1589679</v>
      </c>
      <c r="N40" s="145">
        <v>1595398</v>
      </c>
      <c r="O40" s="145">
        <v>1606344</v>
      </c>
      <c r="P40" s="145">
        <v>1570213</v>
      </c>
      <c r="Q40" s="145">
        <v>1579621</v>
      </c>
      <c r="R40" s="145"/>
    </row>
    <row r="41" spans="1:18" s="142" customFormat="1">
      <c r="A41" s="133" t="s">
        <v>238</v>
      </c>
      <c r="B41" s="133"/>
      <c r="C41" s="145">
        <f t="shared" si="9"/>
        <v>1277661</v>
      </c>
      <c r="D41" s="145"/>
      <c r="E41" s="145">
        <v>1264978</v>
      </c>
      <c r="F41" s="145">
        <v>1229315</v>
      </c>
      <c r="G41" s="145">
        <v>1233495</v>
      </c>
      <c r="H41" s="145">
        <v>1242720</v>
      </c>
      <c r="I41" s="145">
        <v>1252154</v>
      </c>
      <c r="J41" s="145">
        <v>1261285</v>
      </c>
      <c r="K41" s="145">
        <v>1271607</v>
      </c>
      <c r="L41" s="145">
        <v>1281963</v>
      </c>
      <c r="M41" s="145">
        <v>1292319</v>
      </c>
      <c r="N41" s="145">
        <v>1303424</v>
      </c>
      <c r="O41" s="145">
        <v>1314099</v>
      </c>
      <c r="P41" s="145">
        <v>1324837</v>
      </c>
      <c r="Q41" s="145">
        <v>1337401</v>
      </c>
      <c r="R41" s="145"/>
    </row>
    <row r="42" spans="1:18" s="142" customFormat="1">
      <c r="A42" s="133" t="s">
        <v>236</v>
      </c>
      <c r="B42" s="133"/>
      <c r="C42" s="145"/>
      <c r="D42" s="145"/>
      <c r="E42" s="145"/>
      <c r="F42" s="145"/>
      <c r="G42" s="145"/>
      <c r="H42" s="145"/>
      <c r="I42" s="145"/>
      <c r="J42" s="145"/>
      <c r="K42" s="145"/>
      <c r="L42" s="145"/>
      <c r="M42" s="145"/>
      <c r="N42" s="145"/>
      <c r="O42" s="145"/>
      <c r="P42" s="145"/>
      <c r="Q42" s="145"/>
      <c r="R42" s="145"/>
    </row>
    <row r="43" spans="1:18">
      <c r="A43" s="142" t="s">
        <v>237</v>
      </c>
      <c r="B43" s="142"/>
      <c r="C43" s="145">
        <f t="shared" ref="C43:C44" si="10">ROUND(AVERAGE(E43:Q43),0)</f>
        <v>803786</v>
      </c>
      <c r="D43" s="145"/>
      <c r="E43" s="145">
        <v>770377</v>
      </c>
      <c r="F43" s="145">
        <v>782539</v>
      </c>
      <c r="G43" s="145">
        <v>789383</v>
      </c>
      <c r="H43" s="145">
        <v>796155</v>
      </c>
      <c r="I43" s="145">
        <v>792758</v>
      </c>
      <c r="J43" s="145">
        <v>801771</v>
      </c>
      <c r="K43" s="145">
        <v>806432</v>
      </c>
      <c r="L43" s="145">
        <v>813409</v>
      </c>
      <c r="M43" s="145">
        <v>820281</v>
      </c>
      <c r="N43" s="145">
        <v>823448</v>
      </c>
      <c r="O43" s="145">
        <v>829184</v>
      </c>
      <c r="P43" s="145">
        <v>809196</v>
      </c>
      <c r="Q43" s="145">
        <v>814289</v>
      </c>
      <c r="R43" s="145"/>
    </row>
    <row r="44" spans="1:18">
      <c r="A44" s="142" t="s">
        <v>238</v>
      </c>
      <c r="B44" s="142"/>
      <c r="C44" s="148">
        <f t="shared" si="10"/>
        <v>696179</v>
      </c>
      <c r="D44" s="145"/>
      <c r="E44" s="145">
        <v>659135</v>
      </c>
      <c r="F44" s="145">
        <v>656202</v>
      </c>
      <c r="G44" s="145">
        <v>658367</v>
      </c>
      <c r="H44" s="145">
        <v>666873</v>
      </c>
      <c r="I44" s="145">
        <v>675323</v>
      </c>
      <c r="J44" s="145">
        <v>684023</v>
      </c>
      <c r="K44" s="145">
        <v>693148</v>
      </c>
      <c r="L44" s="145">
        <v>702289</v>
      </c>
      <c r="M44" s="145">
        <v>711432</v>
      </c>
      <c r="N44" s="145">
        <v>721091</v>
      </c>
      <c r="O44" s="145">
        <v>730555</v>
      </c>
      <c r="P44" s="145">
        <v>740077</v>
      </c>
      <c r="Q44" s="145">
        <v>751813</v>
      </c>
      <c r="R44" s="145"/>
    </row>
    <row r="45" spans="1:18">
      <c r="C45" s="135">
        <f>SUM(C40:C44)</f>
        <v>4339692</v>
      </c>
      <c r="D45" s="145"/>
      <c r="E45" s="136">
        <f>SUM(E40:E44)</f>
        <v>4236022</v>
      </c>
      <c r="F45" s="136">
        <f t="shared" ref="F45:Q45" si="11">SUM(F40:F44)</f>
        <v>4185841</v>
      </c>
      <c r="G45" s="136">
        <f t="shared" si="11"/>
        <v>4212098</v>
      </c>
      <c r="H45" s="136">
        <f t="shared" si="11"/>
        <v>4249516</v>
      </c>
      <c r="I45" s="136">
        <f t="shared" si="11"/>
        <v>4257503</v>
      </c>
      <c r="J45" s="136">
        <f t="shared" si="11"/>
        <v>4301569</v>
      </c>
      <c r="K45" s="136">
        <f t="shared" si="11"/>
        <v>4334494</v>
      </c>
      <c r="L45" s="136">
        <f t="shared" si="11"/>
        <v>4374255</v>
      </c>
      <c r="M45" s="136">
        <f t="shared" si="11"/>
        <v>4413711</v>
      </c>
      <c r="N45" s="136">
        <f t="shared" si="11"/>
        <v>4443361</v>
      </c>
      <c r="O45" s="136">
        <f t="shared" si="11"/>
        <v>4480182</v>
      </c>
      <c r="P45" s="136">
        <f t="shared" si="11"/>
        <v>4444323</v>
      </c>
      <c r="Q45" s="136">
        <f t="shared" si="11"/>
        <v>4483124</v>
      </c>
      <c r="R45" s="145"/>
    </row>
    <row r="46" spans="1:18">
      <c r="C46" s="135"/>
      <c r="D46" s="145"/>
      <c r="E46" s="135"/>
      <c r="F46" s="135"/>
      <c r="G46" s="135"/>
      <c r="H46" s="135"/>
      <c r="I46" s="135"/>
      <c r="J46" s="135"/>
      <c r="K46" s="135"/>
      <c r="L46" s="135"/>
      <c r="M46" s="135"/>
      <c r="N46" s="135"/>
      <c r="O46" s="135"/>
      <c r="P46" s="135"/>
      <c r="Q46" s="135"/>
      <c r="R46" s="145"/>
    </row>
    <row r="47" spans="1:18">
      <c r="A47" s="242" t="s">
        <v>396</v>
      </c>
      <c r="C47" s="145">
        <f>C37+C45</f>
        <v>34244457</v>
      </c>
      <c r="D47" s="145"/>
      <c r="E47" s="145">
        <f t="shared" ref="E47:Q47" si="12">E37+E45</f>
        <v>32893737</v>
      </c>
      <c r="F47" s="145">
        <f t="shared" si="12"/>
        <v>33000829</v>
      </c>
      <c r="G47" s="145">
        <f t="shared" si="12"/>
        <v>33254817</v>
      </c>
      <c r="H47" s="145">
        <f t="shared" si="12"/>
        <v>33520561</v>
      </c>
      <c r="I47" s="145">
        <f t="shared" si="12"/>
        <v>33746637</v>
      </c>
      <c r="J47" s="145">
        <f t="shared" si="12"/>
        <v>34111794</v>
      </c>
      <c r="K47" s="145">
        <f t="shared" si="12"/>
        <v>34280601</v>
      </c>
      <c r="L47" s="145">
        <f t="shared" si="12"/>
        <v>34522988</v>
      </c>
      <c r="M47" s="145">
        <f t="shared" si="12"/>
        <v>34771378</v>
      </c>
      <c r="N47" s="145">
        <f t="shared" si="12"/>
        <v>35017161</v>
      </c>
      <c r="O47" s="145">
        <f t="shared" si="12"/>
        <v>35197420</v>
      </c>
      <c r="P47" s="145">
        <f t="shared" si="12"/>
        <v>35333268</v>
      </c>
      <c r="Q47" s="145">
        <f t="shared" si="12"/>
        <v>35526750</v>
      </c>
      <c r="R47" s="135"/>
    </row>
    <row r="48" spans="1:18">
      <c r="C48" s="145"/>
      <c r="D48" s="145"/>
      <c r="E48" s="145"/>
      <c r="F48" s="145"/>
      <c r="G48" s="145"/>
      <c r="H48" s="145"/>
      <c r="I48" s="145"/>
      <c r="J48" s="145"/>
      <c r="K48" s="145"/>
      <c r="L48" s="145"/>
      <c r="M48" s="145"/>
      <c r="N48" s="145"/>
      <c r="O48" s="145"/>
      <c r="P48" s="145"/>
      <c r="Q48" s="145"/>
      <c r="R48" s="147"/>
    </row>
    <row r="49" spans="1:19">
      <c r="E49" s="135"/>
      <c r="F49" s="135"/>
      <c r="G49" s="135"/>
      <c r="H49" s="135"/>
      <c r="I49" s="135"/>
      <c r="J49" s="135"/>
      <c r="K49" s="135"/>
      <c r="L49" s="135"/>
      <c r="M49" s="135"/>
      <c r="N49" s="135"/>
      <c r="O49" s="135"/>
      <c r="P49" s="135"/>
      <c r="Q49" s="135"/>
      <c r="R49" s="135"/>
    </row>
    <row r="50" spans="1:19">
      <c r="A50" s="138" t="s">
        <v>234</v>
      </c>
      <c r="C50" s="143"/>
      <c r="D50" s="143"/>
      <c r="E50" s="147"/>
      <c r="F50" s="147"/>
      <c r="G50" s="147"/>
      <c r="H50" s="147"/>
      <c r="I50" s="147"/>
      <c r="J50" s="147"/>
      <c r="K50" s="147"/>
      <c r="L50" s="147"/>
      <c r="M50" s="147"/>
      <c r="N50" s="147"/>
      <c r="O50" s="147"/>
      <c r="P50" s="147"/>
      <c r="Q50" s="147"/>
      <c r="R50" s="135"/>
    </row>
    <row r="51" spans="1:19">
      <c r="A51" s="133" t="s">
        <v>173</v>
      </c>
      <c r="C51" s="137">
        <f>ROUND(AVERAGE(E51:Q51),0)</f>
        <v>212392289</v>
      </c>
      <c r="D51" s="144"/>
      <c r="E51" s="135">
        <f t="shared" ref="E51:Q51" si="13">E12-E30</f>
        <v>208662016</v>
      </c>
      <c r="F51" s="135">
        <f t="shared" si="13"/>
        <v>209359927</v>
      </c>
      <c r="G51" s="135">
        <f t="shared" si="13"/>
        <v>210058179</v>
      </c>
      <c r="H51" s="135">
        <f t="shared" si="13"/>
        <v>210535180</v>
      </c>
      <c r="I51" s="135">
        <f t="shared" si="13"/>
        <v>211036793</v>
      </c>
      <c r="J51" s="135">
        <f t="shared" si="13"/>
        <v>211937778</v>
      </c>
      <c r="K51" s="135">
        <f t="shared" si="13"/>
        <v>212515090</v>
      </c>
      <c r="L51" s="135">
        <f t="shared" si="13"/>
        <v>213214862</v>
      </c>
      <c r="M51" s="135">
        <f t="shared" si="13"/>
        <v>213450090</v>
      </c>
      <c r="N51" s="135">
        <f t="shared" si="13"/>
        <v>214058072</v>
      </c>
      <c r="O51" s="135">
        <f t="shared" si="13"/>
        <v>214715145</v>
      </c>
      <c r="P51" s="135">
        <f t="shared" si="13"/>
        <v>214584004</v>
      </c>
      <c r="Q51" s="135">
        <f t="shared" si="13"/>
        <v>216972615</v>
      </c>
      <c r="R51" s="145"/>
      <c r="S51" s="156">
        <f t="shared" ref="S51:S60" si="14">ROUND(Q51/C51,3)</f>
        <v>1.022</v>
      </c>
    </row>
    <row r="52" spans="1:19">
      <c r="A52" s="133" t="s">
        <v>174</v>
      </c>
      <c r="C52" s="135">
        <f t="shared" ref="C52" si="15">ROUND(AVERAGE(E52:Q52),0)</f>
        <v>33362593</v>
      </c>
      <c r="D52" s="145"/>
      <c r="E52" s="135">
        <f t="shared" ref="E52:Q52" si="16">E13-E31</f>
        <v>29999471</v>
      </c>
      <c r="F52" s="135">
        <f t="shared" si="16"/>
        <v>30557885</v>
      </c>
      <c r="G52" s="135">
        <f t="shared" si="16"/>
        <v>31114715</v>
      </c>
      <c r="H52" s="135">
        <f t="shared" si="16"/>
        <v>31672158</v>
      </c>
      <c r="I52" s="135">
        <f t="shared" si="16"/>
        <v>32224007</v>
      </c>
      <c r="J52" s="135">
        <f t="shared" si="16"/>
        <v>32787978</v>
      </c>
      <c r="K52" s="135">
        <f t="shared" si="16"/>
        <v>33387818</v>
      </c>
      <c r="L52" s="135">
        <f t="shared" si="16"/>
        <v>33944897</v>
      </c>
      <c r="M52" s="135">
        <f t="shared" si="16"/>
        <v>34496327</v>
      </c>
      <c r="N52" s="135">
        <f t="shared" si="16"/>
        <v>35053946</v>
      </c>
      <c r="O52" s="135">
        <f t="shared" si="16"/>
        <v>35609744</v>
      </c>
      <c r="P52" s="135">
        <f t="shared" si="16"/>
        <v>36155452</v>
      </c>
      <c r="Q52" s="135">
        <f t="shared" si="16"/>
        <v>36709312</v>
      </c>
      <c r="R52" s="135"/>
      <c r="S52" s="156">
        <f>ROUND(Q52/C52,3)</f>
        <v>1.1000000000000001</v>
      </c>
    </row>
    <row r="53" spans="1:19">
      <c r="A53" s="133" t="s">
        <v>227</v>
      </c>
      <c r="C53" s="136">
        <f>SUM(C51:C52)</f>
        <v>245754882</v>
      </c>
      <c r="D53" s="145"/>
      <c r="E53" s="136">
        <f t="shared" ref="E53:Q53" si="17">SUM(E51:E52)</f>
        <v>238661487</v>
      </c>
      <c r="F53" s="136">
        <f t="shared" si="17"/>
        <v>239917812</v>
      </c>
      <c r="G53" s="136">
        <f t="shared" si="17"/>
        <v>241172894</v>
      </c>
      <c r="H53" s="136">
        <f t="shared" si="17"/>
        <v>242207338</v>
      </c>
      <c r="I53" s="136">
        <f t="shared" si="17"/>
        <v>243260800</v>
      </c>
      <c r="J53" s="136">
        <f t="shared" si="17"/>
        <v>244725756</v>
      </c>
      <c r="K53" s="136">
        <f t="shared" si="17"/>
        <v>245902908</v>
      </c>
      <c r="L53" s="136">
        <f t="shared" si="17"/>
        <v>247159759</v>
      </c>
      <c r="M53" s="136">
        <f t="shared" si="17"/>
        <v>247946417</v>
      </c>
      <c r="N53" s="136">
        <f t="shared" si="17"/>
        <v>249112018</v>
      </c>
      <c r="O53" s="136">
        <f t="shared" si="17"/>
        <v>250324889</v>
      </c>
      <c r="P53" s="136">
        <f t="shared" si="17"/>
        <v>250739456</v>
      </c>
      <c r="Q53" s="136">
        <f t="shared" si="17"/>
        <v>253681927</v>
      </c>
      <c r="R53" s="135"/>
      <c r="S53" s="156">
        <f t="shared" si="14"/>
        <v>1.032</v>
      </c>
    </row>
    <row r="54" spans="1:19">
      <c r="A54" s="133" t="s">
        <v>2</v>
      </c>
      <c r="C54" s="135">
        <f t="shared" ref="C54:C57" si="18">ROUND(AVERAGE(E54:Q54),0)</f>
        <v>87058348</v>
      </c>
      <c r="D54" s="145"/>
      <c r="E54" s="135">
        <f t="shared" ref="E54:Q54" si="19">E15-E33</f>
        <v>85191916</v>
      </c>
      <c r="F54" s="135">
        <f t="shared" si="19"/>
        <v>85464395</v>
      </c>
      <c r="G54" s="135">
        <f t="shared" si="19"/>
        <v>85730573</v>
      </c>
      <c r="H54" s="135">
        <f t="shared" si="19"/>
        <v>86216267</v>
      </c>
      <c r="I54" s="135">
        <f t="shared" si="19"/>
        <v>86463081</v>
      </c>
      <c r="J54" s="135">
        <f t="shared" si="19"/>
        <v>86583397</v>
      </c>
      <c r="K54" s="135">
        <f t="shared" si="19"/>
        <v>86897925</v>
      </c>
      <c r="L54" s="135">
        <f t="shared" si="19"/>
        <v>87170997</v>
      </c>
      <c r="M54" s="135">
        <f t="shared" si="19"/>
        <v>87545247</v>
      </c>
      <c r="N54" s="135">
        <f t="shared" si="19"/>
        <v>87843275</v>
      </c>
      <c r="O54" s="135">
        <f t="shared" si="19"/>
        <v>88038733</v>
      </c>
      <c r="P54" s="135">
        <f t="shared" si="19"/>
        <v>89258123</v>
      </c>
      <c r="Q54" s="135">
        <f t="shared" si="19"/>
        <v>89354597</v>
      </c>
      <c r="R54" s="135"/>
      <c r="S54" s="156">
        <f t="shared" si="14"/>
        <v>1.026</v>
      </c>
    </row>
    <row r="55" spans="1:19">
      <c r="A55" s="133" t="s">
        <v>27</v>
      </c>
      <c r="C55" s="135">
        <f t="shared" si="18"/>
        <v>106448504</v>
      </c>
      <c r="D55" s="145"/>
      <c r="E55" s="135">
        <f t="shared" ref="E55:Q55" si="20">E16-E34</f>
        <v>104331470</v>
      </c>
      <c r="F55" s="135">
        <f t="shared" si="20"/>
        <v>104862143</v>
      </c>
      <c r="G55" s="135">
        <f t="shared" si="20"/>
        <v>104970037</v>
      </c>
      <c r="H55" s="135">
        <f t="shared" si="20"/>
        <v>105073803</v>
      </c>
      <c r="I55" s="135">
        <f t="shared" si="20"/>
        <v>105381269</v>
      </c>
      <c r="J55" s="135">
        <f t="shared" si="20"/>
        <v>107068372</v>
      </c>
      <c r="K55" s="135">
        <f t="shared" si="20"/>
        <v>107081055</v>
      </c>
      <c r="L55" s="135">
        <f t="shared" si="20"/>
        <v>107379527</v>
      </c>
      <c r="M55" s="135">
        <f t="shared" si="20"/>
        <v>107123962</v>
      </c>
      <c r="N55" s="135">
        <f t="shared" si="20"/>
        <v>107414659</v>
      </c>
      <c r="O55" s="135">
        <f t="shared" si="20"/>
        <v>107578251</v>
      </c>
      <c r="P55" s="135">
        <f t="shared" si="20"/>
        <v>107621136</v>
      </c>
      <c r="Q55" s="135">
        <f t="shared" si="20"/>
        <v>107944872</v>
      </c>
      <c r="R55" s="135"/>
      <c r="S55" s="156">
        <f t="shared" si="14"/>
        <v>1.014</v>
      </c>
    </row>
    <row r="56" spans="1:19">
      <c r="A56" s="133" t="s">
        <v>103</v>
      </c>
      <c r="C56" s="135">
        <f t="shared" si="18"/>
        <v>9724512</v>
      </c>
      <c r="D56" s="145"/>
      <c r="E56" s="135">
        <f t="shared" ref="E56:Q56" si="21">E17-E35</f>
        <v>9077622</v>
      </c>
      <c r="F56" s="135">
        <f t="shared" si="21"/>
        <v>9218252</v>
      </c>
      <c r="G56" s="135">
        <f t="shared" si="21"/>
        <v>9340076</v>
      </c>
      <c r="H56" s="135">
        <f t="shared" si="21"/>
        <v>9462743</v>
      </c>
      <c r="I56" s="135">
        <f t="shared" si="21"/>
        <v>9594357</v>
      </c>
      <c r="J56" s="135">
        <f t="shared" si="21"/>
        <v>9701135</v>
      </c>
      <c r="K56" s="135">
        <f t="shared" si="21"/>
        <v>9823412</v>
      </c>
      <c r="L56" s="135">
        <f t="shared" si="21"/>
        <v>9947357</v>
      </c>
      <c r="M56" s="135">
        <f t="shared" si="21"/>
        <v>10062600</v>
      </c>
      <c r="N56" s="135">
        <f t="shared" si="21"/>
        <v>10157807</v>
      </c>
      <c r="O56" s="135">
        <f t="shared" si="21"/>
        <v>10205524</v>
      </c>
      <c r="P56" s="135">
        <f t="shared" si="21"/>
        <v>9823123</v>
      </c>
      <c r="Q56" s="135">
        <f t="shared" si="21"/>
        <v>10004652</v>
      </c>
      <c r="R56" s="145"/>
      <c r="S56" s="156">
        <f t="shared" si="14"/>
        <v>1.0289999999999999</v>
      </c>
    </row>
    <row r="57" spans="1:19">
      <c r="A57" s="133" t="s">
        <v>215</v>
      </c>
      <c r="C57" s="135">
        <f t="shared" si="18"/>
        <v>6520498</v>
      </c>
      <c r="D57" s="145"/>
      <c r="E57" s="135">
        <f t="shared" ref="E57:Q57" si="22">E18-E36</f>
        <v>6379832</v>
      </c>
      <c r="F57" s="135">
        <f t="shared" si="22"/>
        <v>6405271.0700000003</v>
      </c>
      <c r="G57" s="135">
        <f t="shared" si="22"/>
        <v>6428337.1900000004</v>
      </c>
      <c r="H57" s="135">
        <f t="shared" si="22"/>
        <v>6451402.3099999996</v>
      </c>
      <c r="I57" s="135">
        <f t="shared" si="22"/>
        <v>6474468.4299999997</v>
      </c>
      <c r="J57" s="135">
        <f t="shared" si="22"/>
        <v>6497564</v>
      </c>
      <c r="K57" s="135">
        <f t="shared" si="22"/>
        <v>6520658</v>
      </c>
      <c r="L57" s="135">
        <f t="shared" si="22"/>
        <v>6543753</v>
      </c>
      <c r="M57" s="135">
        <f t="shared" si="22"/>
        <v>6566848</v>
      </c>
      <c r="N57" s="135">
        <f t="shared" si="22"/>
        <v>6589942</v>
      </c>
      <c r="O57" s="135">
        <f t="shared" si="22"/>
        <v>6613037</v>
      </c>
      <c r="P57" s="135">
        <f t="shared" si="22"/>
        <v>6636131</v>
      </c>
      <c r="Q57" s="135">
        <f t="shared" si="22"/>
        <v>6659227</v>
      </c>
      <c r="R57" s="145"/>
      <c r="S57" s="156">
        <f t="shared" si="14"/>
        <v>1.0209999999999999</v>
      </c>
    </row>
    <row r="58" spans="1:19">
      <c r="C58" s="136">
        <f>SUM(C53:C57)</f>
        <v>455506744</v>
      </c>
      <c r="D58" s="145"/>
      <c r="E58" s="136">
        <f t="shared" ref="E58:Q58" si="23">SUM(E53:E57)</f>
        <v>443642327</v>
      </c>
      <c r="F58" s="136">
        <f t="shared" si="23"/>
        <v>445867873.06999999</v>
      </c>
      <c r="G58" s="136">
        <f t="shared" si="23"/>
        <v>447641917.19</v>
      </c>
      <c r="H58" s="136">
        <f t="shared" si="23"/>
        <v>449411553.31</v>
      </c>
      <c r="I58" s="136">
        <f t="shared" si="23"/>
        <v>451173975.43000001</v>
      </c>
      <c r="J58" s="136">
        <f t="shared" si="23"/>
        <v>454576224</v>
      </c>
      <c r="K58" s="136">
        <f t="shared" si="23"/>
        <v>456225958</v>
      </c>
      <c r="L58" s="136">
        <f t="shared" si="23"/>
        <v>458201393</v>
      </c>
      <c r="M58" s="136">
        <f t="shared" si="23"/>
        <v>459245074</v>
      </c>
      <c r="N58" s="136">
        <f t="shared" si="23"/>
        <v>461117701</v>
      </c>
      <c r="O58" s="136">
        <f t="shared" si="23"/>
        <v>462760434</v>
      </c>
      <c r="P58" s="136">
        <f t="shared" si="23"/>
        <v>464077969</v>
      </c>
      <c r="Q58" s="136">
        <f t="shared" si="23"/>
        <v>467645275</v>
      </c>
      <c r="R58" s="145"/>
      <c r="S58" s="156">
        <f t="shared" si="14"/>
        <v>1.0269999999999999</v>
      </c>
    </row>
    <row r="59" spans="1:19">
      <c r="A59" s="275" t="s">
        <v>231</v>
      </c>
      <c r="C59" s="135">
        <f t="shared" ref="C59" si="24">ROUND(AVERAGE(E59:Q59),0)</f>
        <v>41503012</v>
      </c>
      <c r="D59" s="145"/>
      <c r="E59" s="135">
        <f>E24-E45</f>
        <v>39857865</v>
      </c>
      <c r="F59" s="135">
        <f t="shared" ref="F59:Q59" si="25">F24-F45</f>
        <v>40145127</v>
      </c>
      <c r="G59" s="135">
        <f t="shared" si="25"/>
        <v>40383186</v>
      </c>
      <c r="H59" s="135">
        <f t="shared" si="25"/>
        <v>40791735</v>
      </c>
      <c r="I59" s="135">
        <f t="shared" si="25"/>
        <v>40676305</v>
      </c>
      <c r="J59" s="135">
        <f t="shared" si="25"/>
        <v>41033783</v>
      </c>
      <c r="K59" s="135">
        <f t="shared" si="25"/>
        <v>41493235</v>
      </c>
      <c r="L59" s="135">
        <f t="shared" si="25"/>
        <v>41812647</v>
      </c>
      <c r="M59" s="135">
        <f t="shared" si="25"/>
        <v>42199708</v>
      </c>
      <c r="N59" s="135">
        <f t="shared" si="25"/>
        <v>42592218</v>
      </c>
      <c r="O59" s="135">
        <f t="shared" si="25"/>
        <v>42917328</v>
      </c>
      <c r="P59" s="135">
        <f t="shared" si="25"/>
        <v>42607673</v>
      </c>
      <c r="Q59" s="135">
        <f t="shared" si="25"/>
        <v>43028347</v>
      </c>
      <c r="R59" s="135"/>
      <c r="S59" s="156">
        <f t="shared" si="14"/>
        <v>1.0369999999999999</v>
      </c>
    </row>
    <row r="60" spans="1:19">
      <c r="A60" s="242" t="s">
        <v>396</v>
      </c>
      <c r="C60" s="136">
        <f>C58+C59</f>
        <v>497009756</v>
      </c>
      <c r="D60" s="145"/>
      <c r="E60" s="136">
        <f t="shared" ref="E60:Q60" si="26">E58+E59</f>
        <v>483500192</v>
      </c>
      <c r="F60" s="136">
        <f t="shared" si="26"/>
        <v>486013000.06999999</v>
      </c>
      <c r="G60" s="136">
        <f t="shared" si="26"/>
        <v>488025103.19</v>
      </c>
      <c r="H60" s="136">
        <f t="shared" si="26"/>
        <v>490203288.31</v>
      </c>
      <c r="I60" s="136">
        <f t="shared" si="26"/>
        <v>491850280.43000001</v>
      </c>
      <c r="J60" s="136">
        <f t="shared" si="26"/>
        <v>495610007</v>
      </c>
      <c r="K60" s="136">
        <f t="shared" si="26"/>
        <v>497719193</v>
      </c>
      <c r="L60" s="136">
        <f t="shared" si="26"/>
        <v>500014040</v>
      </c>
      <c r="M60" s="136">
        <f t="shared" si="26"/>
        <v>501444782</v>
      </c>
      <c r="N60" s="136">
        <f t="shared" si="26"/>
        <v>503709919</v>
      </c>
      <c r="O60" s="136">
        <f t="shared" si="26"/>
        <v>505677762</v>
      </c>
      <c r="P60" s="136">
        <f t="shared" si="26"/>
        <v>506685642</v>
      </c>
      <c r="Q60" s="136">
        <f t="shared" si="26"/>
        <v>510673622</v>
      </c>
      <c r="S60" s="156">
        <f t="shared" si="14"/>
        <v>1.0269999999999999</v>
      </c>
    </row>
    <row r="61" spans="1:19">
      <c r="E61" s="135"/>
      <c r="F61" s="135"/>
      <c r="G61" s="135"/>
      <c r="H61" s="135"/>
      <c r="I61" s="135"/>
      <c r="J61" s="135"/>
      <c r="K61" s="135"/>
      <c r="L61" s="135"/>
      <c r="M61" s="135"/>
      <c r="N61" s="135"/>
      <c r="O61" s="135"/>
      <c r="P61" s="135"/>
      <c r="Q61" s="135"/>
    </row>
    <row r="64" spans="1:19">
      <c r="D64" s="133"/>
    </row>
    <row r="65" spans="1:4">
      <c r="D65" s="133"/>
    </row>
    <row r="66" spans="1:4">
      <c r="D66" s="133"/>
    </row>
    <row r="67" spans="1:4">
      <c r="A67" s="242"/>
    </row>
    <row r="68" spans="1:4">
      <c r="A68" s="275" t="s">
        <v>409</v>
      </c>
    </row>
    <row r="69" spans="1:4">
      <c r="A69" s="275" t="s">
        <v>410</v>
      </c>
    </row>
    <row r="70" spans="1:4">
      <c r="A70" s="275" t="s">
        <v>411</v>
      </c>
    </row>
  </sheetData>
  <printOptions horizontalCentered="1"/>
  <pageMargins left="0.17" right="0.17" top="1" bottom="0.68" header="0.3" footer="0.17"/>
  <pageSetup pageOrder="overThenDown" orientation="landscape" r:id="rId1"/>
  <headerFooter>
    <oddFooter>&amp;C&amp;F - &amp;A
Page &amp;P of &amp;N</oddFooter>
  </headerFooter>
  <rowBreaks count="2" manualBreakCount="2">
    <brk id="28" max="16" man="1"/>
    <brk id="49"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election activeCell="K69" sqref="K69"/>
    </sheetView>
  </sheetViews>
  <sheetFormatPr defaultRowHeight="12.75"/>
  <cols>
    <col min="1" max="2" width="2.7109375" style="22" customWidth="1"/>
    <col min="3" max="3" width="31.28515625" style="22" customWidth="1"/>
    <col min="4" max="4" width="2.7109375" style="22" customWidth="1"/>
    <col min="5" max="5" width="12.28515625" style="22" bestFit="1" customWidth="1"/>
    <col min="6" max="6" width="2.7109375" style="22" customWidth="1"/>
    <col min="7" max="7" width="14.28515625" style="22" bestFit="1" customWidth="1"/>
    <col min="8" max="8" width="2.7109375" style="22" customWidth="1"/>
    <col min="9" max="9" width="14.28515625" style="22" bestFit="1" customWidth="1"/>
    <col min="10" max="10" width="2.7109375" style="22" customWidth="1"/>
    <col min="11" max="11" width="13.42578125" style="22" bestFit="1" customWidth="1"/>
    <col min="12" max="12" width="2.7109375" style="22" customWidth="1"/>
    <col min="13" max="13" width="12.28515625" style="22" bestFit="1" customWidth="1"/>
    <col min="14" max="14" width="2.5703125" style="22" bestFit="1" customWidth="1"/>
    <col min="15" max="15" width="13.5703125" style="22" bestFit="1" customWidth="1"/>
    <col min="16" max="16" width="2.7109375" style="22" customWidth="1"/>
    <col min="17" max="17" width="10.5703125" style="22" bestFit="1" customWidth="1"/>
    <col min="18" max="18" width="10.28515625" style="22" bestFit="1" customWidth="1"/>
    <col min="19" max="16384" width="9.140625" style="22"/>
  </cols>
  <sheetData>
    <row r="1" spans="1:15" s="1" customFormat="1">
      <c r="O1" s="277" t="s">
        <v>405</v>
      </c>
    </row>
    <row r="2" spans="1:15" s="1" customFormat="1"/>
    <row r="3" spans="1:15" s="1" customFormat="1">
      <c r="A3" s="11" t="s">
        <v>22</v>
      </c>
      <c r="B3" s="11"/>
      <c r="C3" s="12"/>
      <c r="D3" s="12"/>
      <c r="E3" s="12"/>
      <c r="F3" s="12"/>
      <c r="G3" s="13"/>
      <c r="H3" s="13"/>
      <c r="I3" s="13"/>
      <c r="J3" s="13"/>
      <c r="K3" s="13"/>
      <c r="L3" s="13"/>
      <c r="M3" s="13"/>
      <c r="N3" s="13"/>
      <c r="O3" s="13"/>
    </row>
    <row r="4" spans="1:15" s="1" customFormat="1">
      <c r="A4" s="11" t="s">
        <v>23</v>
      </c>
      <c r="B4" s="11"/>
      <c r="C4" s="12"/>
      <c r="D4" s="12"/>
      <c r="E4" s="12"/>
      <c r="F4" s="12"/>
      <c r="G4" s="13"/>
      <c r="H4" s="13"/>
      <c r="I4" s="13"/>
      <c r="J4" s="13"/>
      <c r="K4" s="13"/>
      <c r="L4" s="13"/>
      <c r="M4" s="13"/>
      <c r="N4" s="13"/>
      <c r="O4" s="13"/>
    </row>
    <row r="5" spans="1:15" s="1" customFormat="1">
      <c r="A5" s="11" t="s">
        <v>334</v>
      </c>
      <c r="B5" s="11"/>
      <c r="C5" s="12"/>
      <c r="D5" s="12"/>
      <c r="E5" s="12"/>
      <c r="F5" s="12"/>
      <c r="G5" s="13"/>
      <c r="H5" s="13"/>
      <c r="I5" s="13"/>
      <c r="J5" s="13"/>
      <c r="K5" s="13"/>
      <c r="L5" s="13"/>
      <c r="M5" s="13"/>
      <c r="N5" s="13"/>
      <c r="O5" s="13"/>
    </row>
    <row r="6" spans="1:15" s="1" customFormat="1">
      <c r="A6" s="11" t="s">
        <v>335</v>
      </c>
      <c r="B6" s="12"/>
      <c r="C6" s="12"/>
      <c r="D6" s="12"/>
      <c r="E6" s="12"/>
      <c r="F6" s="12"/>
      <c r="G6" s="13"/>
      <c r="H6" s="13"/>
      <c r="I6" s="13"/>
      <c r="J6" s="13"/>
      <c r="K6" s="13"/>
      <c r="L6" s="13"/>
      <c r="M6" s="13"/>
      <c r="N6" s="13"/>
      <c r="O6" s="13"/>
    </row>
    <row r="7" spans="1:15" s="1" customFormat="1">
      <c r="A7" s="11" t="s">
        <v>49</v>
      </c>
      <c r="B7" s="11"/>
      <c r="C7" s="12"/>
      <c r="D7" s="12"/>
      <c r="E7" s="12"/>
      <c r="F7" s="12"/>
      <c r="G7" s="13"/>
      <c r="H7" s="13"/>
      <c r="I7" s="13"/>
      <c r="J7" s="13"/>
      <c r="K7" s="13"/>
      <c r="L7" s="13"/>
      <c r="M7" s="13"/>
      <c r="N7" s="13"/>
      <c r="O7" s="13"/>
    </row>
    <row r="8" spans="1:15" s="1" customFormat="1">
      <c r="A8" s="11"/>
      <c r="B8" s="11"/>
      <c r="C8" s="12"/>
      <c r="D8" s="12"/>
      <c r="E8" s="12"/>
      <c r="F8" s="12"/>
      <c r="G8" s="13"/>
      <c r="H8" s="13"/>
      <c r="I8" s="13"/>
      <c r="J8" s="13"/>
      <c r="K8" s="13"/>
      <c r="L8" s="13"/>
      <c r="M8" s="13"/>
      <c r="N8" s="13"/>
      <c r="O8" s="13"/>
    </row>
    <row r="9" spans="1:15" s="1" customFormat="1">
      <c r="A9" s="5"/>
      <c r="B9" s="5"/>
      <c r="G9" s="6"/>
      <c r="H9" s="6"/>
      <c r="I9" s="6"/>
      <c r="J9" s="6"/>
      <c r="K9" s="6"/>
      <c r="L9" s="6"/>
      <c r="M9" s="6"/>
      <c r="N9" s="6"/>
      <c r="O9" s="6"/>
    </row>
    <row r="10" spans="1:15" s="1" customFormat="1">
      <c r="A10" s="5"/>
      <c r="B10" s="5"/>
      <c r="E10" s="106" t="s">
        <v>200</v>
      </c>
      <c r="G10" s="7" t="s">
        <v>30</v>
      </c>
      <c r="H10" s="14"/>
      <c r="J10" s="14"/>
      <c r="L10" s="14"/>
      <c r="M10" s="272" t="s">
        <v>400</v>
      </c>
      <c r="O10" s="274" t="s">
        <v>402</v>
      </c>
    </row>
    <row r="11" spans="1:15" s="1" customFormat="1">
      <c r="A11" s="5" t="s">
        <v>24</v>
      </c>
      <c r="B11" s="5"/>
      <c r="E11" s="104" t="s">
        <v>109</v>
      </c>
      <c r="G11" s="9" t="s">
        <v>31</v>
      </c>
      <c r="H11" s="15"/>
      <c r="I11" s="276" t="s">
        <v>197</v>
      </c>
      <c r="J11" s="15"/>
      <c r="K11" s="276" t="s">
        <v>1</v>
      </c>
      <c r="L11" s="15"/>
      <c r="M11" s="104" t="s">
        <v>32</v>
      </c>
      <c r="O11" s="276" t="s">
        <v>246</v>
      </c>
    </row>
    <row r="12" spans="1:15" s="1" customFormat="1">
      <c r="A12" s="5"/>
      <c r="B12" s="5" t="s">
        <v>37</v>
      </c>
      <c r="G12" s="108"/>
      <c r="H12" s="108"/>
      <c r="I12" s="108"/>
      <c r="J12" s="108"/>
      <c r="K12" s="108"/>
      <c r="L12" s="108"/>
      <c r="M12" s="108"/>
      <c r="N12" s="6"/>
    </row>
    <row r="13" spans="1:15" s="1" customFormat="1">
      <c r="A13" s="5"/>
      <c r="B13" s="5"/>
      <c r="G13" s="108"/>
      <c r="H13" s="108"/>
      <c r="I13" s="108"/>
      <c r="J13" s="108"/>
      <c r="K13" s="108"/>
      <c r="L13" s="108"/>
      <c r="M13" s="108"/>
      <c r="N13" s="6"/>
    </row>
    <row r="14" spans="1:15">
      <c r="A14" s="5"/>
      <c r="B14" s="5"/>
      <c r="C14" s="1" t="s">
        <v>38</v>
      </c>
      <c r="D14" s="1"/>
      <c r="E14" s="22" t="s">
        <v>10</v>
      </c>
      <c r="F14" s="1"/>
      <c r="G14" s="114">
        <v>0</v>
      </c>
      <c r="H14" s="114"/>
      <c r="I14" s="114">
        <v>0</v>
      </c>
      <c r="J14" s="114"/>
      <c r="K14" s="17">
        <f>G14-I14</f>
        <v>0</v>
      </c>
      <c r="L14" s="114"/>
      <c r="M14" s="114">
        <v>0</v>
      </c>
      <c r="N14" s="25"/>
      <c r="O14" s="17">
        <f>K14-M14</f>
        <v>0</v>
      </c>
    </row>
    <row r="15" spans="1:15">
      <c r="A15" s="5"/>
      <c r="B15" s="5"/>
      <c r="C15" s="1"/>
      <c r="D15" s="1"/>
      <c r="F15" s="1"/>
      <c r="G15" s="114"/>
      <c r="H15" s="114"/>
      <c r="I15" s="114"/>
      <c r="J15" s="114"/>
      <c r="K15" s="17"/>
      <c r="L15" s="114"/>
      <c r="M15" s="114"/>
      <c r="N15" s="25"/>
      <c r="O15" s="17"/>
    </row>
    <row r="16" spans="1:15">
      <c r="C16" s="128" t="s">
        <v>39</v>
      </c>
    </row>
    <row r="17" spans="1:15">
      <c r="C17" s="128" t="s">
        <v>208</v>
      </c>
      <c r="E17" s="22" t="s">
        <v>11</v>
      </c>
      <c r="G17" s="24">
        <v>-165429237</v>
      </c>
      <c r="H17" s="24"/>
      <c r="I17" s="24">
        <v>6096023</v>
      </c>
      <c r="J17" s="24"/>
      <c r="K17" s="6">
        <f>G17-I17</f>
        <v>-171525260</v>
      </c>
      <c r="L17" s="24"/>
      <c r="M17" s="24">
        <v>-21000121</v>
      </c>
      <c r="N17" s="24"/>
      <c r="O17" s="24">
        <f>K17-M17</f>
        <v>-150525139</v>
      </c>
    </row>
    <row r="18" spans="1:15">
      <c r="C18" s="128" t="s">
        <v>209</v>
      </c>
      <c r="G18" s="45"/>
      <c r="H18" s="45"/>
      <c r="I18" s="45"/>
      <c r="J18" s="24"/>
      <c r="K18" s="24">
        <v>4502432</v>
      </c>
      <c r="L18" s="24"/>
      <c r="M18" s="24">
        <v>262726</v>
      </c>
      <c r="N18" s="24"/>
      <c r="O18" s="24">
        <f>K18-M18</f>
        <v>4239706</v>
      </c>
    </row>
    <row r="19" spans="1:15">
      <c r="G19" s="45"/>
      <c r="H19" s="45"/>
      <c r="I19" s="45"/>
      <c r="J19" s="24"/>
      <c r="K19" s="34">
        <f>SUM(K17:K18)</f>
        <v>-167022828</v>
      </c>
      <c r="L19" s="24"/>
      <c r="M19" s="34">
        <f>SUM(M17:M18)</f>
        <v>-20737395</v>
      </c>
      <c r="N19" s="24"/>
      <c r="O19" s="34">
        <f>SUM(O17:O18)</f>
        <v>-146285433</v>
      </c>
    </row>
    <row r="20" spans="1:15">
      <c r="G20" s="24"/>
      <c r="H20" s="24"/>
      <c r="I20" s="24"/>
      <c r="J20" s="24"/>
      <c r="K20" s="24"/>
      <c r="L20" s="24"/>
      <c r="M20" s="24"/>
      <c r="N20" s="24"/>
      <c r="O20" s="24"/>
    </row>
    <row r="21" spans="1:15">
      <c r="C21" s="128" t="s">
        <v>40</v>
      </c>
    </row>
    <row r="22" spans="1:15">
      <c r="C22" s="128" t="s">
        <v>210</v>
      </c>
      <c r="E22" s="22" t="s">
        <v>12</v>
      </c>
      <c r="G22" s="24">
        <v>-14238798</v>
      </c>
      <c r="H22" s="24"/>
      <c r="I22" s="24">
        <v>3736342</v>
      </c>
      <c r="J22" s="24"/>
      <c r="K22" s="6">
        <f>G22-I22</f>
        <v>-17975140</v>
      </c>
      <c r="L22" s="24"/>
      <c r="M22" s="24">
        <v>-1500902</v>
      </c>
      <c r="N22" s="24"/>
      <c r="O22" s="24">
        <f>K22-M22</f>
        <v>-16474238</v>
      </c>
    </row>
    <row r="23" spans="1:15">
      <c r="C23" s="128" t="s">
        <v>211</v>
      </c>
      <c r="G23" s="45"/>
      <c r="H23" s="45"/>
      <c r="I23" s="45"/>
      <c r="J23" s="24"/>
      <c r="K23" s="24">
        <v>8092</v>
      </c>
      <c r="L23" s="24"/>
      <c r="M23" s="24">
        <v>-24841</v>
      </c>
      <c r="N23" s="24"/>
      <c r="O23" s="24">
        <f>K23-M23</f>
        <v>32933</v>
      </c>
    </row>
    <row r="24" spans="1:15">
      <c r="G24" s="45"/>
      <c r="H24" s="45"/>
      <c r="I24" s="45"/>
      <c r="J24" s="24"/>
      <c r="K24" s="34">
        <f>SUM(K22:K23)</f>
        <v>-17967048</v>
      </c>
      <c r="L24" s="24"/>
      <c r="M24" s="34">
        <f>SUM(M22:M23)</f>
        <v>-1525743</v>
      </c>
      <c r="N24" s="24"/>
      <c r="O24" s="34">
        <f>SUM(O22:O23)</f>
        <v>-16441305</v>
      </c>
    </row>
    <row r="25" spans="1:15">
      <c r="G25" s="24"/>
      <c r="H25" s="24"/>
      <c r="I25" s="24"/>
      <c r="J25" s="24"/>
      <c r="K25" s="24"/>
      <c r="L25" s="24"/>
      <c r="M25" s="24"/>
      <c r="N25" s="24"/>
      <c r="O25" s="24"/>
    </row>
    <row r="26" spans="1:15">
      <c r="C26" s="128" t="s">
        <v>41</v>
      </c>
      <c r="G26" s="24"/>
      <c r="H26" s="24"/>
      <c r="I26" s="24"/>
      <c r="J26" s="24"/>
      <c r="K26" s="24"/>
      <c r="L26" s="24"/>
      <c r="M26" s="24"/>
      <c r="N26" s="24"/>
      <c r="O26" s="24"/>
    </row>
    <row r="27" spans="1:15">
      <c r="C27" s="128" t="s">
        <v>212</v>
      </c>
      <c r="E27" s="149" t="s">
        <v>240</v>
      </c>
      <c r="G27" s="24">
        <v>13820331</v>
      </c>
      <c r="H27" s="24"/>
      <c r="I27" s="24">
        <f>291160-18706</f>
        <v>272454</v>
      </c>
      <c r="J27" s="24"/>
      <c r="K27" s="6">
        <f>G27+I27</f>
        <v>14092785</v>
      </c>
      <c r="L27" s="24"/>
      <c r="M27" s="24">
        <v>1690092</v>
      </c>
      <c r="N27" s="24"/>
      <c r="O27" s="24">
        <f>K27-M27</f>
        <v>12402693</v>
      </c>
    </row>
    <row r="28" spans="1:15">
      <c r="C28" s="128" t="s">
        <v>213</v>
      </c>
      <c r="G28" s="24"/>
      <c r="H28" s="24"/>
      <c r="I28" s="24"/>
      <c r="J28" s="24"/>
      <c r="K28" s="24">
        <v>18706</v>
      </c>
      <c r="L28" s="24"/>
      <c r="M28" s="24">
        <v>89277</v>
      </c>
      <c r="N28" s="24"/>
      <c r="O28" s="24">
        <f>K28-M28</f>
        <v>-70571</v>
      </c>
    </row>
    <row r="29" spans="1:15">
      <c r="G29" s="45"/>
      <c r="H29" s="45"/>
      <c r="I29" s="45"/>
      <c r="J29" s="24"/>
      <c r="K29" s="34">
        <f>SUM(K27:K28)</f>
        <v>14111491</v>
      </c>
      <c r="L29" s="24"/>
      <c r="M29" s="34">
        <f>SUM(M27:M28)</f>
        <v>1779369</v>
      </c>
      <c r="N29" s="24"/>
      <c r="O29" s="34">
        <f>SUM(O27:O28)</f>
        <v>12332122</v>
      </c>
    </row>
    <row r="30" spans="1:15">
      <c r="G30" s="45"/>
      <c r="H30" s="45"/>
      <c r="I30" s="45"/>
      <c r="J30" s="24"/>
      <c r="K30" s="45"/>
      <c r="L30" s="24"/>
      <c r="M30" s="45"/>
      <c r="N30" s="24"/>
      <c r="O30" s="45"/>
    </row>
    <row r="31" spans="1:15">
      <c r="A31" s="5"/>
      <c r="B31" s="5"/>
      <c r="C31" s="1" t="s">
        <v>42</v>
      </c>
      <c r="D31" s="1"/>
      <c r="E31" s="22" t="s">
        <v>13</v>
      </c>
      <c r="F31" s="1"/>
      <c r="G31" s="108">
        <v>0</v>
      </c>
      <c r="H31" s="108"/>
      <c r="I31" s="108">
        <v>0</v>
      </c>
      <c r="J31" s="108"/>
      <c r="K31" s="108">
        <f t="shared" ref="K31" si="0">G31-I31</f>
        <v>0</v>
      </c>
      <c r="L31" s="108"/>
      <c r="M31" s="108">
        <v>0</v>
      </c>
      <c r="N31" s="24"/>
      <c r="O31" s="6">
        <f t="shared" ref="O31" si="1">K31-M31</f>
        <v>0</v>
      </c>
    </row>
    <row r="32" spans="1:15">
      <c r="A32" s="5"/>
      <c r="B32" s="5"/>
      <c r="C32" s="1"/>
      <c r="D32" s="1"/>
      <c r="F32" s="1"/>
      <c r="G32" s="108"/>
      <c r="H32" s="108"/>
      <c r="I32" s="108"/>
      <c r="J32" s="108"/>
      <c r="K32" s="108"/>
      <c r="L32" s="108"/>
      <c r="M32" s="108"/>
      <c r="N32" s="24"/>
      <c r="O32" s="6"/>
    </row>
    <row r="33" spans="1:15">
      <c r="A33" s="5"/>
      <c r="B33" s="5"/>
      <c r="C33" s="1"/>
      <c r="D33" s="1"/>
      <c r="E33" s="1"/>
      <c r="F33" s="1"/>
      <c r="G33" s="108"/>
      <c r="H33" s="108"/>
      <c r="I33" s="108"/>
      <c r="J33" s="108"/>
      <c r="K33" s="108"/>
      <c r="L33" s="108"/>
      <c r="M33" s="108"/>
      <c r="N33" s="24"/>
      <c r="O33" s="6"/>
    </row>
    <row r="35" spans="1:15" s="1" customFormat="1">
      <c r="O35" s="277" t="s">
        <v>406</v>
      </c>
    </row>
    <row r="36" spans="1:15" s="1" customFormat="1"/>
    <row r="37" spans="1:15" s="1" customFormat="1">
      <c r="A37" s="11" t="s">
        <v>22</v>
      </c>
      <c r="B37" s="11"/>
      <c r="C37" s="12"/>
      <c r="D37" s="12"/>
      <c r="E37" s="12"/>
      <c r="F37" s="12"/>
      <c r="G37" s="13"/>
      <c r="H37" s="13"/>
      <c r="I37" s="13"/>
      <c r="J37" s="13"/>
      <c r="K37" s="13"/>
      <c r="L37" s="13"/>
      <c r="M37" s="13"/>
      <c r="N37" s="13"/>
      <c r="O37" s="13"/>
    </row>
    <row r="38" spans="1:15" s="1" customFormat="1">
      <c r="A38" s="11" t="s">
        <v>23</v>
      </c>
      <c r="B38" s="11"/>
      <c r="C38" s="12"/>
      <c r="D38" s="12"/>
      <c r="E38" s="12"/>
      <c r="F38" s="12"/>
      <c r="G38" s="13"/>
      <c r="H38" s="13"/>
      <c r="I38" s="13"/>
      <c r="J38" s="13"/>
      <c r="K38" s="13"/>
      <c r="L38" s="13"/>
      <c r="M38" s="13"/>
      <c r="N38" s="13"/>
      <c r="O38" s="13"/>
    </row>
    <row r="39" spans="1:15" s="1" customFormat="1">
      <c r="A39" s="11" t="s">
        <v>334</v>
      </c>
      <c r="B39" s="11"/>
      <c r="C39" s="12"/>
      <c r="D39" s="12"/>
      <c r="E39" s="12"/>
      <c r="F39" s="12"/>
      <c r="G39" s="13"/>
      <c r="H39" s="13"/>
      <c r="I39" s="13"/>
      <c r="J39" s="13"/>
      <c r="K39" s="13"/>
      <c r="L39" s="13"/>
      <c r="M39" s="13"/>
      <c r="N39" s="13"/>
      <c r="O39" s="13"/>
    </row>
    <row r="40" spans="1:15" s="1" customFormat="1">
      <c r="A40" s="11" t="s">
        <v>335</v>
      </c>
      <c r="B40" s="12"/>
      <c r="C40" s="12"/>
      <c r="D40" s="12"/>
      <c r="E40" s="12"/>
      <c r="F40" s="12"/>
      <c r="G40" s="13"/>
      <c r="H40" s="13"/>
      <c r="I40" s="13"/>
      <c r="J40" s="13"/>
      <c r="K40" s="13"/>
      <c r="L40" s="13"/>
      <c r="M40" s="13"/>
      <c r="N40" s="13"/>
      <c r="O40" s="13"/>
    </row>
    <row r="41" spans="1:15" s="1" customFormat="1">
      <c r="A41" s="11" t="s">
        <v>404</v>
      </c>
      <c r="B41" s="11"/>
      <c r="C41" s="12"/>
      <c r="D41" s="12"/>
      <c r="E41" s="12"/>
      <c r="F41" s="12"/>
      <c r="G41" s="13"/>
      <c r="H41" s="13"/>
      <c r="I41" s="13"/>
      <c r="J41" s="13"/>
      <c r="K41" s="13"/>
      <c r="L41" s="13"/>
      <c r="M41" s="13"/>
      <c r="N41" s="13"/>
      <c r="O41" s="13"/>
    </row>
    <row r="42" spans="1:15" s="1" customFormat="1">
      <c r="A42" s="11"/>
      <c r="B42" s="11"/>
      <c r="C42" s="12"/>
      <c r="D42" s="12"/>
      <c r="E42" s="12"/>
      <c r="F42" s="12"/>
      <c r="G42" s="13"/>
      <c r="H42" s="13"/>
      <c r="I42" s="13"/>
      <c r="J42" s="13"/>
      <c r="K42" s="13"/>
      <c r="L42" s="13"/>
      <c r="M42" s="13"/>
      <c r="N42" s="13"/>
      <c r="O42" s="13"/>
    </row>
    <row r="43" spans="1:15" s="1" customFormat="1">
      <c r="A43" s="5"/>
      <c r="B43" s="5"/>
      <c r="G43" s="6"/>
      <c r="H43" s="6"/>
      <c r="I43" s="6"/>
      <c r="J43" s="6"/>
      <c r="K43" s="6"/>
      <c r="L43" s="6"/>
      <c r="M43" s="6"/>
      <c r="N43" s="6"/>
      <c r="O43" s="6"/>
    </row>
    <row r="44" spans="1:15" s="1" customFormat="1">
      <c r="A44" s="5"/>
      <c r="B44" s="5"/>
      <c r="E44" s="106" t="s">
        <v>200</v>
      </c>
      <c r="G44" s="7" t="s">
        <v>30</v>
      </c>
      <c r="H44" s="14"/>
      <c r="J44" s="14"/>
      <c r="L44" s="14"/>
      <c r="M44" s="272" t="s">
        <v>400</v>
      </c>
      <c r="O44" s="274" t="s">
        <v>402</v>
      </c>
    </row>
    <row r="45" spans="1:15" s="1" customFormat="1">
      <c r="A45" s="5" t="s">
        <v>24</v>
      </c>
      <c r="B45" s="5"/>
      <c r="E45" s="104" t="s">
        <v>109</v>
      </c>
      <c r="G45" s="9" t="s">
        <v>31</v>
      </c>
      <c r="H45" s="15"/>
      <c r="I45" s="276" t="s">
        <v>197</v>
      </c>
      <c r="J45" s="15"/>
      <c r="K45" s="276" t="s">
        <v>1</v>
      </c>
      <c r="L45" s="15"/>
      <c r="M45" s="104" t="s">
        <v>32</v>
      </c>
      <c r="O45" s="276" t="s">
        <v>246</v>
      </c>
    </row>
    <row r="46" spans="1:15" s="1" customFormat="1">
      <c r="A46" s="5"/>
      <c r="B46" s="5" t="s">
        <v>37</v>
      </c>
      <c r="G46" s="108"/>
      <c r="H46" s="108"/>
      <c r="I46" s="108"/>
      <c r="J46" s="108"/>
      <c r="K46" s="108"/>
      <c r="L46" s="108"/>
      <c r="M46" s="108"/>
      <c r="N46" s="6"/>
    </row>
    <row r="47" spans="1:15" s="1" customFormat="1">
      <c r="A47" s="5"/>
      <c r="B47" s="5"/>
      <c r="G47" s="108"/>
      <c r="H47" s="108"/>
      <c r="I47" s="108"/>
      <c r="J47" s="108"/>
      <c r="K47" s="108"/>
      <c r="L47" s="108"/>
      <c r="M47" s="108"/>
      <c r="N47" s="6"/>
    </row>
    <row r="48" spans="1:15">
      <c r="A48" s="5"/>
      <c r="B48" s="5"/>
      <c r="C48" s="1" t="s">
        <v>38</v>
      </c>
      <c r="D48" s="1"/>
      <c r="E48" s="22" t="s">
        <v>10</v>
      </c>
      <c r="F48" s="1"/>
      <c r="G48" s="114">
        <v>0</v>
      </c>
      <c r="H48" s="114"/>
      <c r="I48" s="114">
        <v>0</v>
      </c>
      <c r="J48" s="114"/>
      <c r="K48" s="17">
        <f>G48-I48</f>
        <v>0</v>
      </c>
      <c r="L48" s="114"/>
      <c r="M48" s="114">
        <v>0</v>
      </c>
      <c r="N48" s="25"/>
      <c r="O48" s="17">
        <f>K48-M48</f>
        <v>0</v>
      </c>
    </row>
    <row r="49" spans="1:18">
      <c r="A49" s="5"/>
      <c r="B49" s="5"/>
      <c r="C49" s="1"/>
      <c r="D49" s="1"/>
      <c r="F49" s="1"/>
      <c r="G49" s="114"/>
      <c r="H49" s="114"/>
      <c r="I49" s="114"/>
      <c r="J49" s="114"/>
      <c r="K49" s="17"/>
      <c r="L49" s="114"/>
      <c r="M49" s="114"/>
      <c r="N49" s="25"/>
      <c r="O49" s="17"/>
    </row>
    <row r="50" spans="1:18">
      <c r="C50" s="128" t="s">
        <v>39</v>
      </c>
    </row>
    <row r="51" spans="1:18">
      <c r="C51" s="128" t="s">
        <v>208</v>
      </c>
      <c r="E51" s="22" t="s">
        <v>11</v>
      </c>
      <c r="G51" s="24">
        <v>-140731474</v>
      </c>
      <c r="H51" s="24"/>
      <c r="I51" s="24">
        <v>8532558</v>
      </c>
      <c r="J51" s="24"/>
      <c r="K51" s="6">
        <f>G51-I51</f>
        <v>-149264032</v>
      </c>
      <c r="L51" s="24"/>
      <c r="M51" s="24">
        <f>-17559507+-968632</f>
        <v>-18528139</v>
      </c>
      <c r="N51" s="24"/>
      <c r="O51" s="24">
        <f>K51-M51</f>
        <v>-130735893</v>
      </c>
      <c r="R51" s="24"/>
    </row>
    <row r="52" spans="1:18">
      <c r="C52" s="128" t="s">
        <v>209</v>
      </c>
      <c r="G52" s="45"/>
      <c r="H52" s="45"/>
      <c r="I52" s="45"/>
      <c r="J52" s="24"/>
      <c r="K52" s="24">
        <f>2093630-899613</f>
        <v>1194017</v>
      </c>
      <c r="L52" s="24"/>
      <c r="M52" s="24">
        <v>243432</v>
      </c>
      <c r="N52" s="24"/>
      <c r="O52" s="24">
        <f>K52-M52</f>
        <v>950585</v>
      </c>
    </row>
    <row r="53" spans="1:18">
      <c r="G53" s="45"/>
      <c r="H53" s="45"/>
      <c r="I53" s="45"/>
      <c r="J53" s="24"/>
      <c r="K53" s="34">
        <f>SUM(K51:K52)</f>
        <v>-148070015</v>
      </c>
      <c r="L53" s="24"/>
      <c r="M53" s="34">
        <f>SUM(M51:M52)</f>
        <v>-18284707</v>
      </c>
      <c r="N53" s="24"/>
      <c r="O53" s="34">
        <f>SUM(O51:O52)</f>
        <v>-129785308</v>
      </c>
    </row>
    <row r="54" spans="1:18">
      <c r="G54" s="24"/>
      <c r="H54" s="24"/>
      <c r="I54" s="24"/>
      <c r="J54" s="24"/>
      <c r="K54" s="24"/>
      <c r="L54" s="24"/>
      <c r="M54" s="24"/>
      <c r="N54" s="24"/>
      <c r="O54" s="24"/>
    </row>
    <row r="55" spans="1:18">
      <c r="C55" s="128" t="s">
        <v>40</v>
      </c>
    </row>
    <row r="56" spans="1:18">
      <c r="C56" s="128" t="s">
        <v>210</v>
      </c>
      <c r="E56" s="22" t="s">
        <v>12</v>
      </c>
      <c r="G56" s="24">
        <v>-2092733</v>
      </c>
      <c r="H56" s="24"/>
      <c r="I56" s="24">
        <f>14825244+1355451</f>
        <v>16180695</v>
      </c>
      <c r="J56" s="24"/>
      <c r="K56" s="6">
        <f>G56-I56</f>
        <v>-18273428</v>
      </c>
      <c r="L56" s="24"/>
      <c r="M56" s="24">
        <f>-411411+-1235190</f>
        <v>-1646601</v>
      </c>
      <c r="N56" s="24"/>
      <c r="O56" s="24">
        <f>K56-M56</f>
        <v>-16626827</v>
      </c>
    </row>
    <row r="57" spans="1:18">
      <c r="C57" s="128" t="s">
        <v>211</v>
      </c>
      <c r="G57" s="45"/>
      <c r="H57" s="45"/>
      <c r="I57" s="45"/>
      <c r="J57" s="24"/>
      <c r="K57" s="24">
        <f>-1071437+-92750</f>
        <v>-1164187</v>
      </c>
      <c r="L57" s="24"/>
      <c r="M57" s="24">
        <v>-124579</v>
      </c>
      <c r="N57" s="24"/>
      <c r="O57" s="24">
        <f>K57-M57</f>
        <v>-1039608</v>
      </c>
    </row>
    <row r="58" spans="1:18">
      <c r="G58" s="45"/>
      <c r="H58" s="45"/>
      <c r="I58" s="45"/>
      <c r="J58" s="24"/>
      <c r="K58" s="34">
        <f>SUM(K56:K57)</f>
        <v>-19437615</v>
      </c>
      <c r="L58" s="24"/>
      <c r="M58" s="34">
        <f>SUM(M56:M57)</f>
        <v>-1771180</v>
      </c>
      <c r="N58" s="24"/>
      <c r="O58" s="34">
        <f>SUM(O56:O57)</f>
        <v>-17666435</v>
      </c>
    </row>
    <row r="59" spans="1:18">
      <c r="G59" s="24"/>
      <c r="H59" s="24"/>
      <c r="I59" s="24"/>
      <c r="J59" s="24"/>
      <c r="K59" s="24"/>
      <c r="L59" s="24"/>
      <c r="M59" s="24"/>
      <c r="N59" s="24"/>
      <c r="O59" s="24"/>
    </row>
    <row r="60" spans="1:18">
      <c r="C60" s="128" t="s">
        <v>41</v>
      </c>
      <c r="G60" s="24"/>
      <c r="H60" s="24"/>
      <c r="I60" s="24"/>
      <c r="J60" s="24"/>
      <c r="K60" s="24"/>
      <c r="L60" s="24"/>
      <c r="M60" s="24"/>
      <c r="N60" s="24"/>
      <c r="O60" s="24"/>
    </row>
    <row r="61" spans="1:18">
      <c r="C61" s="128" t="s">
        <v>212</v>
      </c>
      <c r="E61" s="149" t="s">
        <v>240</v>
      </c>
      <c r="G61" s="24">
        <v>20553050</v>
      </c>
      <c r="H61" s="24"/>
      <c r="I61" s="24">
        <v>2823706</v>
      </c>
      <c r="J61" s="24"/>
      <c r="K61" s="6">
        <f>G61+I61</f>
        <v>23376756</v>
      </c>
      <c r="L61" s="24"/>
      <c r="M61" s="24">
        <v>1738547</v>
      </c>
      <c r="N61" s="24"/>
      <c r="O61" s="24">
        <f>K61-M61</f>
        <v>21638209</v>
      </c>
    </row>
    <row r="62" spans="1:18">
      <c r="C62" s="128" t="s">
        <v>213</v>
      </c>
      <c r="G62" s="24"/>
      <c r="H62" s="24"/>
      <c r="I62" s="24"/>
      <c r="J62" s="24"/>
      <c r="K62" s="24">
        <v>2291199</v>
      </c>
      <c r="L62" s="24"/>
      <c r="M62" s="24">
        <v>200588</v>
      </c>
      <c r="N62" s="24"/>
      <c r="O62" s="24">
        <f>K62-M62</f>
        <v>2090611</v>
      </c>
    </row>
    <row r="63" spans="1:18">
      <c r="G63" s="45"/>
      <c r="H63" s="45"/>
      <c r="I63" s="45"/>
      <c r="J63" s="24"/>
      <c r="K63" s="34">
        <f>SUM(K61:K62)</f>
        <v>25667955</v>
      </c>
      <c r="L63" s="24"/>
      <c r="M63" s="34">
        <f>SUM(M61:M62)</f>
        <v>1939135</v>
      </c>
      <c r="N63" s="24"/>
      <c r="O63" s="34">
        <f>SUM(O61:O62)</f>
        <v>23728820</v>
      </c>
    </row>
    <row r="64" spans="1:18">
      <c r="G64" s="45"/>
      <c r="H64" s="45"/>
      <c r="I64" s="45"/>
      <c r="J64" s="24"/>
      <c r="K64" s="45"/>
      <c r="L64" s="24"/>
      <c r="M64" s="45"/>
      <c r="N64" s="24"/>
      <c r="O64" s="45"/>
    </row>
    <row r="65" spans="1:15">
      <c r="A65" s="5"/>
      <c r="B65" s="5"/>
      <c r="C65" s="1" t="s">
        <v>42</v>
      </c>
      <c r="D65" s="1"/>
      <c r="E65" s="22" t="s">
        <v>13</v>
      </c>
      <c r="F65" s="1"/>
      <c r="G65" s="108">
        <v>0</v>
      </c>
      <c r="H65" s="108"/>
      <c r="I65" s="108">
        <v>0</v>
      </c>
      <c r="J65" s="108"/>
      <c r="K65" s="108">
        <f t="shared" ref="K65" si="2">G65-I65</f>
        <v>0</v>
      </c>
      <c r="L65" s="108"/>
      <c r="M65" s="108">
        <v>0</v>
      </c>
      <c r="N65" s="24"/>
      <c r="O65" s="6">
        <f t="shared" ref="O65" si="3">K65-M65</f>
        <v>0</v>
      </c>
    </row>
    <row r="66" spans="1:15">
      <c r="A66" s="5"/>
      <c r="B66" s="5"/>
      <c r="C66" s="1"/>
      <c r="D66" s="1"/>
      <c r="F66" s="1"/>
      <c r="G66" s="108"/>
      <c r="H66" s="108"/>
      <c r="I66" s="108"/>
      <c r="J66" s="108"/>
      <c r="K66" s="108"/>
      <c r="L66" s="108"/>
      <c r="M66" s="108"/>
      <c r="N66" s="24"/>
      <c r="O66" s="6"/>
    </row>
    <row r="67" spans="1:15">
      <c r="A67" s="128"/>
      <c r="G67" s="24"/>
      <c r="H67" s="24"/>
      <c r="I67" s="24"/>
      <c r="J67" s="24"/>
      <c r="K67" s="24"/>
      <c r="L67" s="24"/>
      <c r="M67" s="24"/>
      <c r="N67" s="24"/>
      <c r="O67" s="24"/>
    </row>
  </sheetData>
  <printOptions horizontalCentered="1"/>
  <pageMargins left="0.22" right="0.17" top="1" bottom="0.28000000000000003" header="0.3" footer="0.3"/>
  <pageSetup orientation="landscape" r:id="rId1"/>
  <headerFooter>
    <oddFooter>&amp;C&amp;F - &amp;A</oddFooter>
  </headerFooter>
  <rowBreaks count="1" manualBreakCount="1">
    <brk id="34"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N41" sqref="N41"/>
    </sheetView>
  </sheetViews>
  <sheetFormatPr defaultRowHeight="12.75"/>
  <cols>
    <col min="1" max="1" width="9.140625" style="149"/>
    <col min="2" max="2" width="2.7109375" style="149" customWidth="1"/>
    <col min="3" max="3" width="13.42578125" style="149" bestFit="1" customWidth="1"/>
    <col min="4" max="4" width="2.7109375" style="149" customWidth="1"/>
    <col min="5" max="5" width="13.42578125" style="149" bestFit="1" customWidth="1"/>
    <col min="6" max="6" width="2.7109375" style="149" customWidth="1"/>
    <col min="7" max="7" width="13.42578125" style="149" bestFit="1" customWidth="1"/>
    <col min="8" max="16384" width="9.140625" style="149"/>
  </cols>
  <sheetData>
    <row r="1" spans="1:7">
      <c r="G1" s="201" t="s">
        <v>336</v>
      </c>
    </row>
    <row r="3" spans="1:7">
      <c r="A3" s="11" t="s">
        <v>22</v>
      </c>
      <c r="B3" s="11"/>
      <c r="C3" s="11"/>
      <c r="D3" s="11"/>
      <c r="E3" s="11"/>
      <c r="F3" s="11"/>
      <c r="G3" s="11"/>
    </row>
    <row r="4" spans="1:7">
      <c r="A4" s="11" t="s">
        <v>322</v>
      </c>
      <c r="B4" s="11"/>
      <c r="C4" s="11"/>
      <c r="D4" s="11"/>
      <c r="E4" s="11"/>
      <c r="F4" s="11"/>
      <c r="G4" s="11"/>
    </row>
    <row r="5" spans="1:7">
      <c r="A5" s="11" t="s">
        <v>334</v>
      </c>
      <c r="B5" s="11"/>
      <c r="C5" s="11"/>
      <c r="D5" s="11"/>
      <c r="E5" s="11"/>
      <c r="F5" s="11"/>
      <c r="G5" s="11"/>
    </row>
    <row r="6" spans="1:7">
      <c r="A6" s="11" t="s">
        <v>241</v>
      </c>
      <c r="B6" s="11"/>
      <c r="C6" s="11"/>
      <c r="D6" s="11"/>
      <c r="E6" s="11"/>
      <c r="F6" s="11"/>
      <c r="G6" s="11"/>
    </row>
    <row r="7" spans="1:7">
      <c r="A7" s="11" t="s">
        <v>337</v>
      </c>
      <c r="B7" s="11"/>
      <c r="C7" s="11"/>
      <c r="D7" s="11"/>
      <c r="E7" s="11"/>
      <c r="F7" s="11"/>
      <c r="G7" s="11"/>
    </row>
    <row r="10" spans="1:7" ht="15" customHeight="1">
      <c r="C10" s="150" t="s">
        <v>245</v>
      </c>
      <c r="E10" s="150" t="s">
        <v>247</v>
      </c>
      <c r="G10" s="150" t="s">
        <v>248</v>
      </c>
    </row>
    <row r="11" spans="1:7" ht="12.75" customHeight="1">
      <c r="C11" s="151" t="s">
        <v>246</v>
      </c>
      <c r="E11" s="151" t="s">
        <v>246</v>
      </c>
      <c r="G11" s="151" t="s">
        <v>246</v>
      </c>
    </row>
    <row r="12" spans="1:7" ht="12.75" customHeight="1">
      <c r="A12" s="149" t="s">
        <v>242</v>
      </c>
      <c r="C12" s="196">
        <v>-129785308</v>
      </c>
      <c r="D12" s="153"/>
      <c r="E12" s="153">
        <v>-146285433</v>
      </c>
      <c r="F12" s="153"/>
      <c r="G12" s="153">
        <f>ROUND(AVERAGE(C12:E12),0)</f>
        <v>-138035371</v>
      </c>
    </row>
    <row r="13" spans="1:7" ht="12.75" customHeight="1">
      <c r="C13" s="197"/>
      <c r="D13" s="152"/>
      <c r="E13" s="152"/>
      <c r="F13" s="152"/>
      <c r="G13" s="152"/>
    </row>
    <row r="14" spans="1:7" ht="12.75" customHeight="1">
      <c r="A14" s="149" t="s">
        <v>243</v>
      </c>
      <c r="C14" s="197">
        <v>-17666435</v>
      </c>
      <c r="D14" s="152"/>
      <c r="E14" s="152">
        <v>-16441305</v>
      </c>
      <c r="F14" s="152"/>
      <c r="G14" s="152">
        <f>ROUND(AVERAGE(C14:E14),0)</f>
        <v>-17053870</v>
      </c>
    </row>
    <row r="15" spans="1:7">
      <c r="C15" s="197"/>
      <c r="D15" s="152"/>
      <c r="E15" s="152"/>
      <c r="F15" s="152"/>
      <c r="G15" s="152"/>
    </row>
    <row r="16" spans="1:7">
      <c r="A16" s="149" t="s">
        <v>244</v>
      </c>
      <c r="C16" s="197">
        <v>23728820</v>
      </c>
      <c r="D16" s="152"/>
      <c r="E16" s="152">
        <v>12332122</v>
      </c>
      <c r="F16" s="152"/>
      <c r="G16" s="152">
        <f>ROUND(AVERAGE(C16:E16),0)</f>
        <v>18030471</v>
      </c>
    </row>
    <row r="17" spans="3:7">
      <c r="C17" s="152"/>
      <c r="D17" s="152"/>
      <c r="E17" s="152"/>
      <c r="F17" s="152"/>
      <c r="G17" s="152"/>
    </row>
    <row r="18" spans="3:7">
      <c r="C18" s="152"/>
      <c r="D18" s="152"/>
      <c r="E18" s="152"/>
      <c r="F18" s="152"/>
      <c r="G18" s="152"/>
    </row>
  </sheetData>
  <printOptions horizontalCentered="1"/>
  <pageMargins left="0.7" right="0.7" top="1"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election activeCell="H32" sqref="H32"/>
    </sheetView>
  </sheetViews>
  <sheetFormatPr defaultRowHeight="12.75"/>
  <cols>
    <col min="1" max="1" width="2.7109375" style="275" customWidth="1"/>
    <col min="2" max="2" width="32.28515625" style="275" customWidth="1"/>
    <col min="3" max="3" width="3.7109375" style="275" customWidth="1"/>
    <col min="4" max="4" width="14.42578125" style="275" bestFit="1" customWidth="1"/>
    <col min="5" max="5" width="2.7109375" style="275" customWidth="1"/>
    <col min="6" max="6" width="14.42578125" style="275" bestFit="1" customWidth="1"/>
    <col min="7" max="7" width="2.7109375" style="275" customWidth="1"/>
    <col min="8" max="8" width="14.42578125" style="275" bestFit="1" customWidth="1"/>
    <col min="9" max="9" width="2.7109375" style="275" customWidth="1"/>
    <col min="10" max="10" width="11.7109375" style="275" bestFit="1" customWidth="1"/>
    <col min="11" max="16384" width="9.140625" style="275"/>
  </cols>
  <sheetData>
    <row r="1" spans="1:10">
      <c r="J1" s="277" t="s">
        <v>338</v>
      </c>
    </row>
    <row r="3" spans="1:10">
      <c r="A3" s="11" t="s">
        <v>22</v>
      </c>
      <c r="B3" s="11"/>
      <c r="C3" s="11"/>
      <c r="D3" s="281"/>
      <c r="E3" s="281"/>
      <c r="F3" s="281"/>
      <c r="G3" s="281"/>
      <c r="H3" s="281"/>
      <c r="I3" s="281"/>
      <c r="J3" s="281"/>
    </row>
    <row r="4" spans="1:10">
      <c r="A4" s="11" t="s">
        <v>322</v>
      </c>
      <c r="B4" s="11"/>
      <c r="C4" s="11"/>
      <c r="D4" s="281"/>
      <c r="E4" s="281"/>
      <c r="F4" s="281"/>
      <c r="G4" s="281"/>
      <c r="H4" s="281"/>
      <c r="I4" s="281"/>
      <c r="J4" s="281"/>
    </row>
    <row r="5" spans="1:10">
      <c r="A5" s="11" t="s">
        <v>340</v>
      </c>
      <c r="B5" s="11"/>
      <c r="C5" s="11"/>
      <c r="D5" s="281"/>
      <c r="E5" s="281"/>
      <c r="F5" s="281"/>
      <c r="G5" s="281"/>
      <c r="H5" s="281"/>
      <c r="I5" s="281"/>
      <c r="J5" s="281"/>
    </row>
    <row r="6" spans="1:10">
      <c r="A6" s="11" t="s">
        <v>286</v>
      </c>
      <c r="B6" s="11"/>
      <c r="C6" s="11"/>
      <c r="D6" s="281"/>
      <c r="E6" s="281"/>
      <c r="F6" s="281"/>
      <c r="G6" s="281"/>
      <c r="H6" s="281"/>
      <c r="I6" s="281"/>
      <c r="J6" s="281"/>
    </row>
    <row r="7" spans="1:10">
      <c r="A7" s="11" t="s">
        <v>285</v>
      </c>
      <c r="B7" s="11"/>
      <c r="C7" s="11"/>
      <c r="D7" s="281"/>
      <c r="E7" s="281"/>
      <c r="F7" s="281"/>
      <c r="G7" s="281"/>
      <c r="H7" s="281"/>
      <c r="I7" s="281"/>
      <c r="J7" s="281"/>
    </row>
    <row r="8" spans="1:10">
      <c r="A8" s="11"/>
      <c r="B8" s="11"/>
      <c r="C8" s="11"/>
      <c r="D8" s="281"/>
      <c r="E8" s="281"/>
      <c r="F8" s="281"/>
      <c r="G8" s="281"/>
      <c r="H8" s="281"/>
      <c r="I8" s="281"/>
      <c r="J8" s="281"/>
    </row>
    <row r="9" spans="1:10">
      <c r="A9" s="281"/>
      <c r="B9" s="281"/>
      <c r="C9" s="281"/>
      <c r="D9" s="281"/>
      <c r="E9" s="281"/>
      <c r="F9" s="281"/>
      <c r="G9" s="281"/>
      <c r="H9" s="281"/>
      <c r="I9" s="281"/>
      <c r="J9" s="281"/>
    </row>
    <row r="11" spans="1:10">
      <c r="A11" s="275" t="s">
        <v>293</v>
      </c>
      <c r="D11" s="280" t="s">
        <v>295</v>
      </c>
      <c r="E11" s="280"/>
      <c r="F11" s="280"/>
      <c r="H11" s="280" t="s">
        <v>294</v>
      </c>
      <c r="I11" s="280"/>
      <c r="J11" s="280"/>
    </row>
    <row r="12" spans="1:10">
      <c r="B12" s="275" t="s">
        <v>288</v>
      </c>
      <c r="D12" s="282">
        <v>18983774</v>
      </c>
      <c r="H12" s="282">
        <v>19097488</v>
      </c>
    </row>
    <row r="13" spans="1:10">
      <c r="B13" s="275" t="s">
        <v>289</v>
      </c>
      <c r="D13" s="283">
        <f>-161072+199</f>
        <v>-160873</v>
      </c>
      <c r="H13" s="283">
        <v>-328467</v>
      </c>
    </row>
    <row r="14" spans="1:10">
      <c r="D14" s="284">
        <f>D12-D13</f>
        <v>19144647</v>
      </c>
      <c r="H14" s="284">
        <f>H12-H13</f>
        <v>19425955</v>
      </c>
    </row>
    <row r="16" spans="1:10">
      <c r="B16" s="275" t="s">
        <v>290</v>
      </c>
      <c r="D16" s="283">
        <f>15375314-199</f>
        <v>15375115</v>
      </c>
      <c r="F16" s="285">
        <f>ROUND(D16/$D$20,7)</f>
        <v>0.8031026</v>
      </c>
      <c r="H16" s="283">
        <v>15099039</v>
      </c>
      <c r="J16" s="286">
        <f>ROUND(H16/$H$20,7)</f>
        <v>0.77726110000000004</v>
      </c>
    </row>
    <row r="17" spans="1:10">
      <c r="B17" s="275" t="s">
        <v>291</v>
      </c>
      <c r="D17" s="283">
        <v>2536407</v>
      </c>
      <c r="F17" s="285">
        <f>ROUND(D17/$D$20,7)</f>
        <v>0.13248650000000001</v>
      </c>
      <c r="H17" s="283">
        <v>2580877</v>
      </c>
      <c r="J17" s="286">
        <f>ROUND(H17/$H$20,7)</f>
        <v>0.13285710000000001</v>
      </c>
    </row>
    <row r="18" spans="1:10">
      <c r="B18" s="275" t="s">
        <v>202</v>
      </c>
      <c r="D18" s="283">
        <v>145920</v>
      </c>
      <c r="F18" s="285">
        <f>ROUND(D18/$D$20,7)</f>
        <v>7.6220000000000003E-3</v>
      </c>
      <c r="H18" s="283">
        <v>486746</v>
      </c>
      <c r="J18" s="286">
        <f>ROUND(H18/$H$20,7)</f>
        <v>2.5056499999999999E-2</v>
      </c>
    </row>
    <row r="19" spans="1:10">
      <c r="B19" s="275" t="s">
        <v>292</v>
      </c>
      <c r="D19" s="283">
        <v>1087205</v>
      </c>
      <c r="F19" s="285">
        <f>ROUND(D19/$D$20,7)</f>
        <v>5.6788999999999999E-2</v>
      </c>
      <c r="H19" s="283">
        <v>1259293</v>
      </c>
      <c r="J19" s="286">
        <f>ROUND(H19/$H$20,7)</f>
        <v>6.4825300000000002E-2</v>
      </c>
    </row>
    <row r="20" spans="1:10">
      <c r="D20" s="284">
        <f>SUM(D16:D19)</f>
        <v>19144647</v>
      </c>
      <c r="F20" s="287">
        <f>SUM(F16:F19)</f>
        <v>1.0000001000000001</v>
      </c>
      <c r="H20" s="284">
        <f>SUM(H16:H19)</f>
        <v>19425955</v>
      </c>
      <c r="J20" s="287">
        <f>SUM(J16:J19)</f>
        <v>1.0000000000000002</v>
      </c>
    </row>
    <row r="21" spans="1:10">
      <c r="D21" s="288"/>
      <c r="E21" s="279"/>
      <c r="F21" s="279"/>
      <c r="G21" s="279"/>
      <c r="H21" s="279"/>
      <c r="I21" s="279"/>
      <c r="J21" s="279"/>
    </row>
    <row r="22" spans="1:10">
      <c r="D22" s="288"/>
      <c r="E22" s="279"/>
      <c r="F22" s="279"/>
      <c r="G22" s="279"/>
      <c r="H22" s="279"/>
      <c r="I22" s="279"/>
      <c r="J22" s="279"/>
    </row>
    <row r="23" spans="1:10">
      <c r="A23" s="281"/>
      <c r="B23" s="281"/>
      <c r="D23" s="274" t="s">
        <v>1</v>
      </c>
      <c r="F23" s="274" t="s">
        <v>264</v>
      </c>
      <c r="G23" s="279"/>
      <c r="H23" s="274" t="s">
        <v>162</v>
      </c>
      <c r="J23" s="274" t="s">
        <v>264</v>
      </c>
    </row>
    <row r="24" spans="1:10">
      <c r="A24" s="280" t="s">
        <v>287</v>
      </c>
      <c r="B24" s="280"/>
      <c r="D24" s="276" t="s">
        <v>84</v>
      </c>
      <c r="F24" s="276" t="s">
        <v>2</v>
      </c>
      <c r="G24" s="279"/>
      <c r="H24" s="276" t="s">
        <v>163</v>
      </c>
      <c r="J24" s="276" t="s">
        <v>2</v>
      </c>
    </row>
    <row r="25" spans="1:10">
      <c r="A25" s="289" t="s">
        <v>148</v>
      </c>
      <c r="B25" s="289"/>
      <c r="D25" s="290">
        <v>19144647.140000001</v>
      </c>
      <c r="E25" s="290"/>
      <c r="F25" s="282">
        <f>ROUND(D25*F18,0)</f>
        <v>145921</v>
      </c>
      <c r="G25" s="291"/>
      <c r="H25" s="290">
        <v>14364728.17</v>
      </c>
      <c r="I25" s="282"/>
      <c r="J25" s="282">
        <f>ROUND(H25*F18,0)</f>
        <v>109488</v>
      </c>
    </row>
    <row r="26" spans="1:10">
      <c r="A26" s="289" t="s">
        <v>149</v>
      </c>
      <c r="B26" s="289"/>
      <c r="D26" s="292">
        <v>19039334.149999999</v>
      </c>
      <c r="E26" s="292"/>
      <c r="F26" s="283">
        <f t="shared" ref="F26:F37" si="0">ROUND(D26*$J$18,0)</f>
        <v>477059</v>
      </c>
      <c r="G26" s="293"/>
      <c r="H26" s="292">
        <v>14376746.449999999</v>
      </c>
      <c r="I26" s="292"/>
      <c r="J26" s="283">
        <f t="shared" ref="J26:J37" si="1">ROUND(H26*$J$18,0)</f>
        <v>360231</v>
      </c>
    </row>
    <row r="27" spans="1:10">
      <c r="A27" s="275" t="s">
        <v>150</v>
      </c>
      <c r="D27" s="292">
        <v>19244177.93</v>
      </c>
      <c r="E27" s="292"/>
      <c r="F27" s="283">
        <f t="shared" si="0"/>
        <v>482192</v>
      </c>
      <c r="G27" s="293"/>
      <c r="H27" s="292">
        <v>14526987.640000001</v>
      </c>
      <c r="I27" s="292"/>
      <c r="J27" s="283">
        <f t="shared" si="1"/>
        <v>363995</v>
      </c>
    </row>
    <row r="28" spans="1:10">
      <c r="A28" s="275" t="s">
        <v>151</v>
      </c>
      <c r="D28" s="292">
        <v>18898377.23</v>
      </c>
      <c r="E28" s="292"/>
      <c r="F28" s="283">
        <f t="shared" si="0"/>
        <v>473527</v>
      </c>
      <c r="G28" s="293"/>
      <c r="H28" s="292">
        <v>14212927.689999999</v>
      </c>
      <c r="I28" s="292"/>
      <c r="J28" s="283">
        <f t="shared" si="1"/>
        <v>356126</v>
      </c>
    </row>
    <row r="29" spans="1:10">
      <c r="A29" s="275" t="s">
        <v>152</v>
      </c>
      <c r="D29" s="292">
        <v>18985123.850000001</v>
      </c>
      <c r="E29" s="292"/>
      <c r="F29" s="283">
        <f t="shared" si="0"/>
        <v>475701</v>
      </c>
      <c r="G29" s="293"/>
      <c r="H29" s="292">
        <v>14062263.33</v>
      </c>
      <c r="I29" s="292"/>
      <c r="J29" s="283">
        <f t="shared" si="1"/>
        <v>352351</v>
      </c>
    </row>
    <row r="30" spans="1:10">
      <c r="A30" s="275" t="s">
        <v>153</v>
      </c>
      <c r="D30" s="292">
        <v>19467718.010000002</v>
      </c>
      <c r="E30" s="292"/>
      <c r="F30" s="283">
        <f t="shared" si="0"/>
        <v>487793</v>
      </c>
      <c r="G30" s="293"/>
      <c r="H30" s="292">
        <v>14165949.82</v>
      </c>
      <c r="I30" s="292"/>
      <c r="J30" s="283">
        <f t="shared" si="1"/>
        <v>354949</v>
      </c>
    </row>
    <row r="31" spans="1:10">
      <c r="A31" s="275" t="s">
        <v>154</v>
      </c>
      <c r="D31" s="292">
        <v>20173862.949999999</v>
      </c>
      <c r="E31" s="292"/>
      <c r="F31" s="283">
        <f t="shared" si="0"/>
        <v>505486</v>
      </c>
      <c r="G31" s="293"/>
      <c r="H31" s="292">
        <v>14561150.719999999</v>
      </c>
      <c r="I31" s="292"/>
      <c r="J31" s="283">
        <f t="shared" si="1"/>
        <v>364851</v>
      </c>
    </row>
    <row r="32" spans="1:10">
      <c r="A32" s="275" t="s">
        <v>155</v>
      </c>
      <c r="D32" s="292">
        <v>20575864.300000001</v>
      </c>
      <c r="E32" s="292"/>
      <c r="F32" s="283">
        <f t="shared" si="0"/>
        <v>515559</v>
      </c>
      <c r="G32" s="293"/>
      <c r="H32" s="292">
        <v>14804753.76</v>
      </c>
      <c r="I32" s="292"/>
      <c r="J32" s="283">
        <f t="shared" si="1"/>
        <v>370955</v>
      </c>
    </row>
    <row r="33" spans="1:10">
      <c r="A33" s="275" t="s">
        <v>156</v>
      </c>
      <c r="D33" s="292">
        <v>21450676.719999999</v>
      </c>
      <c r="E33" s="292"/>
      <c r="F33" s="283">
        <f t="shared" si="0"/>
        <v>537479</v>
      </c>
      <c r="G33" s="293"/>
      <c r="H33" s="292">
        <v>15523577.92</v>
      </c>
      <c r="I33" s="292"/>
      <c r="J33" s="283">
        <f t="shared" si="1"/>
        <v>388967</v>
      </c>
    </row>
    <row r="34" spans="1:10">
      <c r="A34" s="275" t="s">
        <v>157</v>
      </c>
      <c r="D34" s="292">
        <v>21650095.870000001</v>
      </c>
      <c r="E34" s="292"/>
      <c r="F34" s="283">
        <f t="shared" si="0"/>
        <v>542476</v>
      </c>
      <c r="G34" s="293"/>
      <c r="H34" s="292">
        <v>15614625.35</v>
      </c>
      <c r="I34" s="292"/>
      <c r="J34" s="283">
        <f t="shared" si="1"/>
        <v>391248</v>
      </c>
    </row>
    <row r="35" spans="1:10">
      <c r="A35" s="275" t="s">
        <v>158</v>
      </c>
      <c r="D35" s="292">
        <v>21936798.690000001</v>
      </c>
      <c r="E35" s="292"/>
      <c r="F35" s="283">
        <f t="shared" si="0"/>
        <v>549659</v>
      </c>
      <c r="G35" s="293"/>
      <c r="H35" s="292">
        <v>15913738.100000001</v>
      </c>
      <c r="I35" s="292"/>
      <c r="J35" s="283">
        <f t="shared" si="1"/>
        <v>398743</v>
      </c>
    </row>
    <row r="36" spans="1:10">
      <c r="A36" s="275" t="s">
        <v>159</v>
      </c>
      <c r="D36" s="292">
        <v>21602373.469999999</v>
      </c>
      <c r="E36" s="292"/>
      <c r="F36" s="283">
        <f t="shared" si="0"/>
        <v>541280</v>
      </c>
      <c r="G36" s="293"/>
      <c r="H36" s="292">
        <v>15665106.380000001</v>
      </c>
      <c r="I36" s="292"/>
      <c r="J36" s="283">
        <f t="shared" si="1"/>
        <v>392513</v>
      </c>
    </row>
    <row r="37" spans="1:10">
      <c r="A37" s="275" t="s">
        <v>160</v>
      </c>
      <c r="D37" s="292">
        <v>19425955.100000001</v>
      </c>
      <c r="E37" s="292"/>
      <c r="F37" s="283">
        <f t="shared" si="0"/>
        <v>486746</v>
      </c>
      <c r="G37" s="293"/>
      <c r="H37" s="292">
        <v>14300779.01</v>
      </c>
      <c r="I37" s="292"/>
      <c r="J37" s="283">
        <f t="shared" si="1"/>
        <v>358327</v>
      </c>
    </row>
    <row r="38" spans="1:10">
      <c r="B38" s="275" t="s">
        <v>296</v>
      </c>
      <c r="D38" s="283"/>
      <c r="E38" s="293"/>
      <c r="F38" s="294"/>
      <c r="G38" s="293"/>
      <c r="H38" s="293"/>
      <c r="I38" s="293"/>
      <c r="J38" s="295">
        <f>ROUND(AVERAGE(J25:J37),0)</f>
        <v>350980</v>
      </c>
    </row>
  </sheetData>
  <printOptions horizontalCentered="1"/>
  <pageMargins left="0.17" right="0.19" top="1" bottom="0.6" header="0.3" footer="0.3"/>
  <pageSetup orientation="portrait" r:id="rId1"/>
  <headerFooter>
    <oddFooter>&amp;C&amp;F -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election activeCell="A15" sqref="A15"/>
    </sheetView>
  </sheetViews>
  <sheetFormatPr defaultRowHeight="12.75"/>
  <cols>
    <col min="1" max="1" width="27.7109375" style="159" customWidth="1"/>
    <col min="2" max="2" width="7.85546875" style="159" bestFit="1" customWidth="1"/>
    <col min="3" max="3" width="2.7109375" style="159" customWidth="1"/>
    <col min="4" max="4" width="11.28515625" style="159" bestFit="1" customWidth="1"/>
    <col min="5" max="5" width="2.7109375" style="159" customWidth="1"/>
    <col min="6" max="13" width="10.7109375" style="159" bestFit="1" customWidth="1"/>
    <col min="14" max="14" width="9.7109375" style="159" bestFit="1" customWidth="1"/>
    <col min="15" max="16" width="10.7109375" style="159" bestFit="1" customWidth="1"/>
    <col min="17" max="18" width="9.7109375" style="159" bestFit="1" customWidth="1"/>
    <col min="19" max="16384" width="9.140625" style="159"/>
  </cols>
  <sheetData>
    <row r="1" spans="1:19">
      <c r="A1" s="202" t="s">
        <v>339</v>
      </c>
    </row>
    <row r="3" spans="1:19">
      <c r="A3" s="139" t="s">
        <v>22</v>
      </c>
      <c r="B3" s="11"/>
      <c r="C3" s="11"/>
      <c r="D3" s="11"/>
      <c r="E3" s="11"/>
      <c r="F3" s="11"/>
      <c r="G3" s="11"/>
      <c r="H3" s="11"/>
      <c r="I3" s="11"/>
      <c r="J3" s="11"/>
      <c r="K3" s="11"/>
      <c r="L3" s="11"/>
      <c r="M3" s="11"/>
      <c r="N3" s="11" t="s">
        <v>249</v>
      </c>
      <c r="O3" s="11"/>
      <c r="P3" s="11"/>
      <c r="Q3" s="11"/>
      <c r="R3" s="11"/>
    </row>
    <row r="4" spans="1:19">
      <c r="A4" s="139" t="s">
        <v>322</v>
      </c>
      <c r="B4" s="11"/>
      <c r="C4" s="11"/>
      <c r="D4" s="11"/>
      <c r="E4" s="11"/>
      <c r="F4" s="11"/>
      <c r="G4" s="11"/>
      <c r="H4" s="11"/>
      <c r="I4" s="11"/>
      <c r="J4" s="11"/>
      <c r="K4" s="11"/>
      <c r="L4" s="11"/>
      <c r="M4" s="11"/>
      <c r="N4" s="11" t="s">
        <v>249</v>
      </c>
      <c r="O4" s="11"/>
      <c r="P4" s="11"/>
      <c r="Q4" s="11"/>
      <c r="R4" s="11"/>
    </row>
    <row r="5" spans="1:19">
      <c r="A5" s="139" t="s">
        <v>340</v>
      </c>
      <c r="B5" s="11"/>
      <c r="C5" s="11"/>
      <c r="D5" s="11"/>
      <c r="E5" s="11"/>
      <c r="F5" s="11"/>
      <c r="G5" s="11"/>
      <c r="H5" s="11"/>
      <c r="I5" s="11"/>
      <c r="J5" s="11"/>
      <c r="K5" s="11"/>
      <c r="L5" s="11"/>
      <c r="M5" s="11"/>
      <c r="N5" s="11" t="s">
        <v>249</v>
      </c>
      <c r="O5" s="11"/>
      <c r="P5" s="11"/>
      <c r="Q5" s="11"/>
      <c r="R5" s="11"/>
    </row>
    <row r="6" spans="1:19">
      <c r="A6" s="139" t="s">
        <v>341</v>
      </c>
      <c r="B6" s="11"/>
      <c r="C6" s="11"/>
      <c r="D6" s="11"/>
      <c r="E6" s="11"/>
      <c r="F6" s="11"/>
      <c r="G6" s="11"/>
      <c r="H6" s="11"/>
      <c r="I6" s="11"/>
      <c r="J6" s="11"/>
      <c r="K6" s="11"/>
      <c r="L6" s="11"/>
      <c r="M6" s="11"/>
      <c r="N6" s="11" t="s">
        <v>249</v>
      </c>
      <c r="O6" s="11"/>
      <c r="P6" s="11"/>
      <c r="Q6" s="11"/>
      <c r="R6" s="11"/>
    </row>
    <row r="7" spans="1:19">
      <c r="A7" s="139" t="s">
        <v>258</v>
      </c>
      <c r="B7" s="11"/>
      <c r="C7" s="11"/>
      <c r="D7" s="11"/>
      <c r="E7" s="11"/>
      <c r="F7" s="11"/>
      <c r="G7" s="11"/>
      <c r="H7" s="11"/>
      <c r="I7" s="11"/>
      <c r="J7" s="11"/>
      <c r="K7" s="11"/>
      <c r="L7" s="11"/>
      <c r="M7" s="11"/>
      <c r="N7" s="11" t="s">
        <v>249</v>
      </c>
      <c r="O7" s="11"/>
      <c r="P7" s="11"/>
      <c r="Q7" s="11"/>
      <c r="R7" s="11"/>
    </row>
    <row r="8" spans="1:19">
      <c r="A8" s="169"/>
      <c r="N8" s="159" t="s">
        <v>249</v>
      </c>
    </row>
    <row r="10" spans="1:19" ht="25.5">
      <c r="B10" s="160" t="s">
        <v>71</v>
      </c>
      <c r="D10" s="138" t="s">
        <v>161</v>
      </c>
      <c r="E10" s="143"/>
      <c r="F10" s="134" t="s">
        <v>148</v>
      </c>
      <c r="G10" s="134" t="s">
        <v>149</v>
      </c>
      <c r="H10" s="134" t="s">
        <v>216</v>
      </c>
      <c r="I10" s="134" t="s">
        <v>217</v>
      </c>
      <c r="J10" s="134" t="s">
        <v>218</v>
      </c>
      <c r="K10" s="134" t="s">
        <v>219</v>
      </c>
      <c r="L10" s="134" t="s">
        <v>220</v>
      </c>
      <c r="M10" s="134" t="s">
        <v>221</v>
      </c>
      <c r="N10" s="134" t="s">
        <v>222</v>
      </c>
      <c r="O10" s="134" t="s">
        <v>223</v>
      </c>
      <c r="P10" s="134" t="s">
        <v>224</v>
      </c>
      <c r="Q10" s="134" t="s">
        <v>225</v>
      </c>
      <c r="R10" s="134" t="s">
        <v>226</v>
      </c>
    </row>
    <row r="11" spans="1:19">
      <c r="A11" s="159" t="s">
        <v>254</v>
      </c>
      <c r="B11" s="159">
        <v>1655</v>
      </c>
      <c r="D11" s="163"/>
      <c r="E11" s="163"/>
      <c r="F11" s="168">
        <v>265397</v>
      </c>
      <c r="G11" s="168">
        <v>2256571</v>
      </c>
      <c r="H11" s="168">
        <v>2047361</v>
      </c>
      <c r="I11" s="168">
        <v>1816887</v>
      </c>
      <c r="J11" s="168">
        <v>1577864</v>
      </c>
      <c r="K11" s="168">
        <v>1628873</v>
      </c>
      <c r="L11" s="168">
        <v>1401575</v>
      </c>
      <c r="M11" s="168">
        <v>1174910</v>
      </c>
      <c r="N11" s="168">
        <v>946915</v>
      </c>
      <c r="O11" s="168">
        <v>719626</v>
      </c>
      <c r="P11" s="168">
        <v>492970</v>
      </c>
      <c r="Q11" s="168">
        <v>492470</v>
      </c>
      <c r="R11" s="168">
        <v>262385</v>
      </c>
    </row>
    <row r="12" spans="1:19">
      <c r="A12" s="159" t="s">
        <v>255</v>
      </c>
      <c r="B12" s="159">
        <v>1656</v>
      </c>
      <c r="D12" s="164"/>
      <c r="E12" s="164"/>
      <c r="F12" s="165">
        <v>878931</v>
      </c>
      <c r="G12" s="165">
        <v>822668</v>
      </c>
      <c r="H12" s="165">
        <v>317168</v>
      </c>
      <c r="I12" s="165">
        <v>510177</v>
      </c>
      <c r="J12" s="165">
        <v>633453</v>
      </c>
      <c r="K12" s="165">
        <v>339532</v>
      </c>
      <c r="L12" s="165"/>
      <c r="M12" s="165"/>
      <c r="N12" s="165">
        <v>196304</v>
      </c>
      <c r="O12" s="165">
        <v>1507637</v>
      </c>
      <c r="P12" s="165">
        <v>1353469</v>
      </c>
      <c r="Q12" s="165">
        <v>1079611</v>
      </c>
      <c r="R12" s="165">
        <v>995035</v>
      </c>
    </row>
    <row r="13" spans="1:19">
      <c r="A13" s="159" t="s">
        <v>256</v>
      </c>
      <c r="B13" s="159">
        <v>1658</v>
      </c>
      <c r="D13" s="164"/>
      <c r="E13" s="164"/>
      <c r="F13" s="165">
        <v>2692091</v>
      </c>
      <c r="G13" s="165"/>
      <c r="H13" s="165"/>
      <c r="I13" s="165"/>
      <c r="J13" s="165"/>
      <c r="K13" s="165"/>
      <c r="L13" s="165"/>
      <c r="M13" s="165">
        <v>2418391</v>
      </c>
      <c r="N13" s="165">
        <v>4856220</v>
      </c>
      <c r="O13" s="165">
        <v>6750121</v>
      </c>
      <c r="P13" s="165">
        <v>7332760</v>
      </c>
      <c r="Q13" s="165">
        <v>5881149</v>
      </c>
      <c r="R13" s="165">
        <v>2783013</v>
      </c>
    </row>
    <row r="14" spans="1:19">
      <c r="A14" s="159" t="s">
        <v>257</v>
      </c>
      <c r="B14" s="159">
        <v>1659</v>
      </c>
      <c r="D14" s="164"/>
      <c r="E14" s="166"/>
      <c r="F14" s="166">
        <v>992816</v>
      </c>
      <c r="G14" s="166">
        <v>629770</v>
      </c>
      <c r="H14" s="166">
        <v>395544</v>
      </c>
      <c r="I14" s="166">
        <v>183052</v>
      </c>
      <c r="J14" s="166">
        <v>41837</v>
      </c>
      <c r="K14" s="166">
        <v>202544</v>
      </c>
      <c r="L14" s="166">
        <v>439855</v>
      </c>
      <c r="M14" s="166">
        <v>706062</v>
      </c>
      <c r="N14" s="166">
        <v>1207305</v>
      </c>
      <c r="O14" s="166">
        <v>1405974</v>
      </c>
      <c r="P14" s="166">
        <v>1436023</v>
      </c>
      <c r="Q14" s="166">
        <v>1324522</v>
      </c>
      <c r="R14" s="166">
        <v>1033798</v>
      </c>
    </row>
    <row r="15" spans="1:19">
      <c r="A15" s="275" t="s">
        <v>417</v>
      </c>
      <c r="D15" s="174"/>
      <c r="E15" s="166"/>
      <c r="F15" s="167">
        <f t="shared" ref="F15:R15" si="0">SUM(F11:F14)</f>
        <v>4829235</v>
      </c>
      <c r="G15" s="167">
        <f t="shared" si="0"/>
        <v>3709009</v>
      </c>
      <c r="H15" s="167">
        <f t="shared" si="0"/>
        <v>2760073</v>
      </c>
      <c r="I15" s="167">
        <f t="shared" si="0"/>
        <v>2510116</v>
      </c>
      <c r="J15" s="167">
        <f t="shared" si="0"/>
        <v>2253154</v>
      </c>
      <c r="K15" s="167">
        <f t="shared" si="0"/>
        <v>2170949</v>
      </c>
      <c r="L15" s="167">
        <f t="shared" si="0"/>
        <v>1841430</v>
      </c>
      <c r="M15" s="167">
        <f t="shared" si="0"/>
        <v>4299363</v>
      </c>
      <c r="N15" s="167">
        <f t="shared" si="0"/>
        <v>7206744</v>
      </c>
      <c r="O15" s="167">
        <f t="shared" si="0"/>
        <v>10383358</v>
      </c>
      <c r="P15" s="167">
        <f t="shared" si="0"/>
        <v>10615222</v>
      </c>
      <c r="Q15" s="167">
        <f t="shared" si="0"/>
        <v>8777752</v>
      </c>
      <c r="R15" s="167">
        <f t="shared" si="0"/>
        <v>5074231</v>
      </c>
      <c r="S15" s="162"/>
    </row>
    <row r="16" spans="1:19">
      <c r="D16" s="175"/>
    </row>
    <row r="17" spans="1:18">
      <c r="A17" s="159" t="s">
        <v>261</v>
      </c>
      <c r="D17" s="161"/>
    </row>
    <row r="18" spans="1:18">
      <c r="A18" s="172" t="str">
        <f>A13</f>
        <v>Gas Demand Charges</v>
      </c>
      <c r="B18" s="159">
        <f>B13</f>
        <v>1658</v>
      </c>
      <c r="D18" s="164"/>
      <c r="F18" s="162">
        <v>2692091</v>
      </c>
      <c r="G18" s="162"/>
      <c r="H18" s="162"/>
      <c r="I18" s="162"/>
      <c r="J18" s="162"/>
      <c r="K18" s="162"/>
      <c r="L18" s="162"/>
      <c r="M18" s="162">
        <v>2418391</v>
      </c>
      <c r="N18" s="162">
        <v>4856220</v>
      </c>
      <c r="O18" s="162">
        <v>6750121</v>
      </c>
      <c r="P18" s="162">
        <v>7332760</v>
      </c>
      <c r="Q18" s="162">
        <v>5881149</v>
      </c>
      <c r="R18" s="162">
        <v>2783013</v>
      </c>
    </row>
    <row r="19" spans="1:18">
      <c r="A19" s="172" t="s">
        <v>262</v>
      </c>
      <c r="D19" s="161"/>
    </row>
    <row r="20" spans="1:18">
      <c r="A20" s="159" t="s">
        <v>259</v>
      </c>
      <c r="B20" s="159">
        <v>1659</v>
      </c>
      <c r="D20" s="164"/>
      <c r="F20" s="162">
        <v>988060</v>
      </c>
      <c r="G20" s="162">
        <v>628134</v>
      </c>
      <c r="H20" s="162">
        <v>395425</v>
      </c>
      <c r="I20" s="162">
        <v>181567</v>
      </c>
      <c r="J20" s="162">
        <v>41177</v>
      </c>
      <c r="K20" s="162">
        <v>200374</v>
      </c>
      <c r="L20" s="162">
        <v>435351</v>
      </c>
      <c r="M20" s="162">
        <v>702044</v>
      </c>
      <c r="N20" s="162">
        <v>976657</v>
      </c>
      <c r="O20" s="162">
        <v>1181850</v>
      </c>
      <c r="P20" s="162">
        <v>1210844</v>
      </c>
      <c r="Q20" s="162">
        <v>1083599</v>
      </c>
      <c r="R20" s="162">
        <v>665740</v>
      </c>
    </row>
    <row r="21" spans="1:18">
      <c r="A21" s="172" t="s">
        <v>233</v>
      </c>
      <c r="D21" s="164"/>
      <c r="E21" s="161"/>
      <c r="F21" s="66">
        <v>11995</v>
      </c>
      <c r="G21" s="66">
        <v>120589</v>
      </c>
      <c r="H21" s="66">
        <v>109460</v>
      </c>
      <c r="I21" s="66">
        <v>98331</v>
      </c>
      <c r="J21" s="66">
        <v>86589</v>
      </c>
      <c r="K21" s="66">
        <v>76966</v>
      </c>
      <c r="L21" s="66">
        <v>67227</v>
      </c>
      <c r="M21" s="66">
        <v>57488</v>
      </c>
      <c r="N21" s="66">
        <v>47749</v>
      </c>
      <c r="O21" s="66">
        <v>38010</v>
      </c>
      <c r="P21" s="66">
        <v>28270</v>
      </c>
      <c r="Q21" s="66">
        <v>28920</v>
      </c>
      <c r="R21" s="66">
        <v>19050</v>
      </c>
    </row>
    <row r="22" spans="1:18">
      <c r="A22" s="172"/>
      <c r="D22" s="164"/>
      <c r="E22" s="161"/>
      <c r="F22" s="173">
        <f>SUM(F18:F21)</f>
        <v>3692146</v>
      </c>
      <c r="G22" s="173">
        <f t="shared" ref="G22:R22" si="1">SUM(G18:G21)</f>
        <v>748723</v>
      </c>
      <c r="H22" s="173">
        <f t="shared" si="1"/>
        <v>504885</v>
      </c>
      <c r="I22" s="173">
        <f t="shared" si="1"/>
        <v>279898</v>
      </c>
      <c r="J22" s="173">
        <f t="shared" si="1"/>
        <v>127766</v>
      </c>
      <c r="K22" s="173">
        <f t="shared" si="1"/>
        <v>277340</v>
      </c>
      <c r="L22" s="173">
        <f t="shared" si="1"/>
        <v>502578</v>
      </c>
      <c r="M22" s="173">
        <f t="shared" si="1"/>
        <v>3177923</v>
      </c>
      <c r="N22" s="173">
        <f t="shared" si="1"/>
        <v>5880626</v>
      </c>
      <c r="O22" s="173">
        <f t="shared" si="1"/>
        <v>7969981</v>
      </c>
      <c r="P22" s="173">
        <f t="shared" si="1"/>
        <v>8571874</v>
      </c>
      <c r="Q22" s="173">
        <f t="shared" si="1"/>
        <v>6993668</v>
      </c>
      <c r="R22" s="173">
        <f t="shared" si="1"/>
        <v>3467803</v>
      </c>
    </row>
    <row r="23" spans="1:18">
      <c r="E23" s="161"/>
    </row>
    <row r="24" spans="1:18" ht="13.5" thickBot="1">
      <c r="A24" s="159" t="s">
        <v>260</v>
      </c>
      <c r="D24" s="170">
        <f>ROUND(AVERAGE(F24:R24),0)</f>
        <v>1864263</v>
      </c>
      <c r="E24" s="161"/>
      <c r="F24" s="171">
        <f>F15-F22</f>
        <v>1137089</v>
      </c>
      <c r="G24" s="171">
        <f t="shared" ref="G24:R24" si="2">G15-G22</f>
        <v>2960286</v>
      </c>
      <c r="H24" s="171">
        <f t="shared" si="2"/>
        <v>2255188</v>
      </c>
      <c r="I24" s="171">
        <f t="shared" si="2"/>
        <v>2230218</v>
      </c>
      <c r="J24" s="171">
        <f t="shared" si="2"/>
        <v>2125388</v>
      </c>
      <c r="K24" s="171">
        <f t="shared" si="2"/>
        <v>1893609</v>
      </c>
      <c r="L24" s="171">
        <f t="shared" si="2"/>
        <v>1338852</v>
      </c>
      <c r="M24" s="171">
        <f t="shared" si="2"/>
        <v>1121440</v>
      </c>
      <c r="N24" s="171">
        <f t="shared" si="2"/>
        <v>1326118</v>
      </c>
      <c r="O24" s="171">
        <f t="shared" si="2"/>
        <v>2413377</v>
      </c>
      <c r="P24" s="171">
        <f t="shared" si="2"/>
        <v>2043348</v>
      </c>
      <c r="Q24" s="171">
        <f t="shared" si="2"/>
        <v>1784084</v>
      </c>
      <c r="R24" s="171">
        <f t="shared" si="2"/>
        <v>1606428</v>
      </c>
    </row>
    <row r="25" spans="1:18" ht="13.5" thickTop="1">
      <c r="E25" s="161"/>
    </row>
  </sheetData>
  <printOptions horizontalCentered="1"/>
  <pageMargins left="0.19" right="0.17" top="1" bottom="0.75" header="0.3" footer="0.3"/>
  <pageSetup pageOrder="overThenDown" orientation="landscape" r:id="rId1"/>
  <headerFooter>
    <oddFooter>&amp;C&amp;F - &amp;A
Page &amp;P of &amp;N</oddFooter>
  </headerFooter>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workbookViewId="0">
      <selection activeCell="J10" sqref="J10"/>
    </sheetView>
  </sheetViews>
  <sheetFormatPr defaultRowHeight="12.75"/>
  <cols>
    <col min="1" max="1" width="7.85546875" style="30" bestFit="1" customWidth="1"/>
    <col min="2" max="2" width="2.7109375" style="22" customWidth="1"/>
    <col min="3" max="3" width="48" style="22" customWidth="1"/>
    <col min="4" max="4" width="2.7109375" style="22" customWidth="1"/>
    <col min="5" max="5" width="11.7109375" style="24" bestFit="1" customWidth="1"/>
    <col min="6" max="6" width="2.7109375" style="24" customWidth="1"/>
    <col min="7" max="7" width="11" style="24" bestFit="1" customWidth="1"/>
    <col min="8" max="8" width="2.7109375" style="24" customWidth="1"/>
    <col min="9" max="9" width="11.5703125" style="24" bestFit="1" customWidth="1"/>
    <col min="10" max="16384" width="9.140625" style="22"/>
  </cols>
  <sheetData>
    <row r="1" spans="1:9">
      <c r="I1" s="201" t="s">
        <v>342</v>
      </c>
    </row>
    <row r="3" spans="1:9">
      <c r="A3" s="33" t="s">
        <v>22</v>
      </c>
      <c r="B3" s="11"/>
      <c r="C3" s="11"/>
      <c r="D3" s="11"/>
      <c r="E3" s="18"/>
      <c r="F3" s="18"/>
      <c r="G3" s="18"/>
      <c r="H3" s="18"/>
      <c r="I3" s="18"/>
    </row>
    <row r="4" spans="1:9">
      <c r="A4" s="33" t="s">
        <v>322</v>
      </c>
      <c r="B4" s="11"/>
      <c r="C4" s="11"/>
      <c r="D4" s="11"/>
      <c r="E4" s="18"/>
      <c r="F4" s="18"/>
      <c r="G4" s="18"/>
      <c r="H4" s="18"/>
      <c r="I4" s="18"/>
    </row>
    <row r="5" spans="1:9">
      <c r="A5" s="33" t="s">
        <v>353</v>
      </c>
      <c r="B5" s="11"/>
      <c r="C5" s="11"/>
      <c r="D5" s="11"/>
      <c r="E5" s="18"/>
      <c r="F5" s="18"/>
      <c r="G5" s="18"/>
      <c r="H5" s="18"/>
      <c r="I5" s="18"/>
    </row>
    <row r="6" spans="1:9">
      <c r="A6" s="33" t="s">
        <v>49</v>
      </c>
      <c r="B6" s="11"/>
      <c r="C6" s="11"/>
      <c r="D6" s="11"/>
      <c r="E6" s="18"/>
      <c r="F6" s="18"/>
      <c r="G6" s="18"/>
      <c r="H6" s="18"/>
      <c r="I6" s="18"/>
    </row>
    <row r="7" spans="1:9" s="26" customFormat="1">
      <c r="A7" s="30"/>
      <c r="B7" s="22"/>
      <c r="C7" s="22"/>
      <c r="D7" s="22"/>
      <c r="E7" s="24"/>
      <c r="F7" s="24"/>
      <c r="G7" s="24"/>
      <c r="H7" s="24"/>
      <c r="I7" s="24"/>
    </row>
    <row r="8" spans="1:9" s="26" customFormat="1">
      <c r="A8" s="30"/>
      <c r="B8" s="22"/>
      <c r="C8" s="22"/>
      <c r="D8" s="22"/>
      <c r="E8" s="24"/>
      <c r="F8" s="24"/>
      <c r="G8" s="24"/>
      <c r="H8" s="24"/>
      <c r="I8" s="24"/>
    </row>
    <row r="9" spans="1:9">
      <c r="A9" s="31" t="s">
        <v>72</v>
      </c>
      <c r="B9" s="26"/>
      <c r="C9" s="26"/>
      <c r="D9" s="26"/>
      <c r="E9" s="28" t="s">
        <v>1</v>
      </c>
      <c r="F9" s="28"/>
      <c r="G9" s="28"/>
      <c r="H9" s="22"/>
      <c r="I9" s="70" t="s">
        <v>162</v>
      </c>
    </row>
    <row r="10" spans="1:9">
      <c r="A10" s="32" t="s">
        <v>71</v>
      </c>
      <c r="B10" s="26"/>
      <c r="C10" s="27" t="s">
        <v>73</v>
      </c>
      <c r="D10" s="26"/>
      <c r="E10" s="273" t="s">
        <v>85</v>
      </c>
      <c r="F10" s="28"/>
      <c r="G10" s="273" t="s">
        <v>32</v>
      </c>
      <c r="H10" s="22"/>
      <c r="I10" s="69" t="s">
        <v>163</v>
      </c>
    </row>
    <row r="11" spans="1:9">
      <c r="A11" s="24">
        <v>560</v>
      </c>
      <c r="C11" s="36" t="s">
        <v>75</v>
      </c>
      <c r="E11" s="25">
        <v>1209996</v>
      </c>
      <c r="F11" s="25"/>
      <c r="G11" s="25">
        <v>17021</v>
      </c>
      <c r="H11" s="22"/>
      <c r="I11" s="25">
        <f t="shared" ref="I11:I23" si="0">E11-G11</f>
        <v>1192975</v>
      </c>
    </row>
    <row r="12" spans="1:9">
      <c r="A12" s="30">
        <v>561.1</v>
      </c>
      <c r="C12" s="37" t="s">
        <v>74</v>
      </c>
      <c r="E12" s="44">
        <v>470478</v>
      </c>
      <c r="F12" s="44"/>
      <c r="G12" s="44"/>
      <c r="H12" s="22"/>
      <c r="I12" s="44">
        <f t="shared" si="0"/>
        <v>470478</v>
      </c>
    </row>
    <row r="13" spans="1:9">
      <c r="A13" s="30">
        <v>561.20000000000005</v>
      </c>
      <c r="C13" s="37" t="s">
        <v>86</v>
      </c>
      <c r="E13" s="44">
        <v>1007190</v>
      </c>
      <c r="F13" s="44"/>
      <c r="G13" s="44">
        <v>64675</v>
      </c>
      <c r="H13" s="22"/>
      <c r="I13" s="44">
        <f t="shared" si="0"/>
        <v>942515</v>
      </c>
    </row>
    <row r="14" spans="1:9">
      <c r="A14" s="30">
        <v>561.4</v>
      </c>
      <c r="C14" s="37" t="s">
        <v>87</v>
      </c>
      <c r="E14" s="44">
        <v>456561</v>
      </c>
      <c r="F14" s="44"/>
      <c r="G14" s="44"/>
      <c r="H14" s="22"/>
      <c r="I14" s="44">
        <f t="shared" si="0"/>
        <v>456561</v>
      </c>
    </row>
    <row r="15" spans="1:9">
      <c r="A15" s="30">
        <v>561.79999999999995</v>
      </c>
      <c r="C15" s="37" t="s">
        <v>88</v>
      </c>
      <c r="E15" s="44">
        <v>33259</v>
      </c>
      <c r="F15" s="44"/>
      <c r="G15" s="44"/>
      <c r="H15" s="22"/>
      <c r="I15" s="44">
        <f t="shared" si="0"/>
        <v>33259</v>
      </c>
    </row>
    <row r="16" spans="1:9">
      <c r="A16" s="24">
        <v>562</v>
      </c>
      <c r="C16" s="36" t="s">
        <v>76</v>
      </c>
      <c r="E16" s="24">
        <v>687089</v>
      </c>
      <c r="G16" s="24">
        <v>7274</v>
      </c>
      <c r="H16" s="22"/>
      <c r="I16" s="24">
        <f t="shared" si="0"/>
        <v>679815</v>
      </c>
    </row>
    <row r="17" spans="1:9">
      <c r="A17" s="24">
        <v>563</v>
      </c>
      <c r="C17" s="36" t="s">
        <v>77</v>
      </c>
      <c r="E17" s="24">
        <v>256146</v>
      </c>
      <c r="H17" s="22"/>
      <c r="I17" s="24">
        <f t="shared" si="0"/>
        <v>256146</v>
      </c>
    </row>
    <row r="18" spans="1:9">
      <c r="A18" s="24">
        <v>565</v>
      </c>
      <c r="C18" s="36" t="s">
        <v>78</v>
      </c>
      <c r="E18" s="24">
        <v>1705765</v>
      </c>
      <c r="H18" s="22"/>
      <c r="I18" s="24">
        <f t="shared" si="0"/>
        <v>1705765</v>
      </c>
    </row>
    <row r="19" spans="1:9">
      <c r="A19" s="24">
        <v>566</v>
      </c>
      <c r="C19" s="36" t="s">
        <v>79</v>
      </c>
      <c r="E19" s="24">
        <v>58556</v>
      </c>
      <c r="H19" s="22"/>
      <c r="I19" s="24">
        <f t="shared" si="0"/>
        <v>58556</v>
      </c>
    </row>
    <row r="20" spans="1:9">
      <c r="A20" s="24">
        <v>567</v>
      </c>
      <c r="C20" s="36" t="s">
        <v>80</v>
      </c>
      <c r="E20" s="24">
        <v>1653919</v>
      </c>
      <c r="H20" s="22"/>
      <c r="I20" s="24">
        <f t="shared" si="0"/>
        <v>1653919</v>
      </c>
    </row>
    <row r="21" spans="1:9">
      <c r="A21" s="24">
        <v>568</v>
      </c>
      <c r="C21" s="36" t="s">
        <v>81</v>
      </c>
      <c r="E21" s="24">
        <v>59186</v>
      </c>
      <c r="H21" s="22"/>
      <c r="I21" s="24">
        <f t="shared" si="0"/>
        <v>59186</v>
      </c>
    </row>
    <row r="22" spans="1:9">
      <c r="A22" s="24">
        <v>570</v>
      </c>
      <c r="C22" s="36" t="s">
        <v>82</v>
      </c>
      <c r="E22" s="24">
        <v>686418</v>
      </c>
      <c r="G22" s="24">
        <v>37852</v>
      </c>
      <c r="H22" s="22"/>
      <c r="I22" s="24">
        <f t="shared" si="0"/>
        <v>648566</v>
      </c>
    </row>
    <row r="23" spans="1:9">
      <c r="A23" s="24">
        <v>571</v>
      </c>
      <c r="C23" s="36" t="s">
        <v>83</v>
      </c>
      <c r="E23" s="24">
        <v>2444097</v>
      </c>
      <c r="H23" s="22"/>
      <c r="I23" s="24">
        <f t="shared" si="0"/>
        <v>2444097</v>
      </c>
    </row>
    <row r="24" spans="1:9" ht="13.5" thickBot="1">
      <c r="E24" s="35">
        <f>SUM(E11:E23)</f>
        <v>10728660</v>
      </c>
      <c r="G24" s="35">
        <f>SUM(G11:G23)</f>
        <v>126822</v>
      </c>
      <c r="H24" s="22"/>
      <c r="I24" s="35">
        <f>SUM(I11:I23)</f>
        <v>10601838</v>
      </c>
    </row>
    <row r="25" spans="1:9" ht="13.5" thickTop="1"/>
    <row r="26" spans="1:9">
      <c r="A26" s="296" t="s">
        <v>418</v>
      </c>
    </row>
    <row r="28" spans="1:9">
      <c r="A28" s="51" t="s">
        <v>202</v>
      </c>
      <c r="G28" s="267"/>
      <c r="H28" s="268"/>
      <c r="I28" s="268"/>
    </row>
    <row r="29" spans="1:9">
      <c r="A29" s="51" t="s">
        <v>118</v>
      </c>
      <c r="E29" s="70" t="s">
        <v>162</v>
      </c>
    </row>
    <row r="30" spans="1:9">
      <c r="A30" s="119" t="s">
        <v>201</v>
      </c>
      <c r="E30" s="69" t="s">
        <v>163</v>
      </c>
    </row>
    <row r="31" spans="1:9">
      <c r="C31" s="24" t="str">
        <f>C14</f>
        <v>Scheduling, System Control &amp; Dispatch Services</v>
      </c>
      <c r="E31" s="25">
        <f>I14</f>
        <v>456561</v>
      </c>
      <c r="G31" s="22" t="s">
        <v>89</v>
      </c>
    </row>
    <row r="32" spans="1:9">
      <c r="C32" s="22" t="str">
        <f>C15</f>
        <v>Reliability, Planning and Standards Development Services</v>
      </c>
      <c r="E32" s="24">
        <f>I15</f>
        <v>33259</v>
      </c>
      <c r="G32" s="22" t="s">
        <v>90</v>
      </c>
    </row>
    <row r="33" spans="1:7" ht="13.5" thickBot="1">
      <c r="E33" s="35">
        <f>SUM(E31:E32)</f>
        <v>489820</v>
      </c>
    </row>
    <row r="34" spans="1:7" ht="13.5" thickTop="1">
      <c r="E34" s="45"/>
    </row>
    <row r="36" spans="1:7">
      <c r="A36" s="51" t="s">
        <v>142</v>
      </c>
    </row>
    <row r="37" spans="1:7">
      <c r="A37" s="52" t="s">
        <v>143</v>
      </c>
      <c r="E37" s="70" t="s">
        <v>162</v>
      </c>
    </row>
    <row r="38" spans="1:7">
      <c r="A38" s="52" t="s">
        <v>144</v>
      </c>
      <c r="E38" s="69" t="s">
        <v>163</v>
      </c>
    </row>
    <row r="39" spans="1:7">
      <c r="C39" s="22" t="str">
        <f>C12</f>
        <v>Load Dispatch - Reliability</v>
      </c>
      <c r="E39" s="25">
        <f>I12</f>
        <v>470478</v>
      </c>
      <c r="G39" s="120" t="s">
        <v>204</v>
      </c>
    </row>
    <row r="40" spans="1:7">
      <c r="C40" s="22" t="str">
        <f>C13</f>
        <v>Load Dispatch - Monitor &amp; Operate Transmission System</v>
      </c>
      <c r="E40" s="24">
        <f>I13</f>
        <v>942515</v>
      </c>
      <c r="G40" s="50" t="s">
        <v>145</v>
      </c>
    </row>
    <row r="41" spans="1:7">
      <c r="C41" s="50" t="s">
        <v>165</v>
      </c>
      <c r="E41" s="24">
        <v>0</v>
      </c>
      <c r="G41" s="50" t="s">
        <v>146</v>
      </c>
    </row>
    <row r="42" spans="1:7" ht="13.5" thickBot="1">
      <c r="E42" s="35">
        <f>SUM(E39:E41)</f>
        <v>1412993</v>
      </c>
    </row>
    <row r="43" spans="1:7" ht="13.5" thickTop="1"/>
    <row r="45" spans="1:7">
      <c r="A45" s="71" t="s">
        <v>170</v>
      </c>
      <c r="B45" s="40"/>
      <c r="C45" s="40"/>
      <c r="D45" s="40"/>
      <c r="E45" s="72"/>
    </row>
    <row r="46" spans="1:7">
      <c r="A46" s="73"/>
      <c r="B46" s="41"/>
      <c r="C46" s="41" t="s">
        <v>17</v>
      </c>
      <c r="D46" s="41"/>
      <c r="E46" s="81">
        <f>E42</f>
        <v>1412993</v>
      </c>
    </row>
    <row r="47" spans="1:7">
      <c r="A47" s="73"/>
      <c r="B47" s="41"/>
      <c r="C47" s="41" t="s">
        <v>18</v>
      </c>
      <c r="D47" s="41"/>
      <c r="E47" s="74">
        <v>707859</v>
      </c>
      <c r="G47" s="50" t="s">
        <v>147</v>
      </c>
    </row>
    <row r="48" spans="1:7" ht="12.75" customHeight="1">
      <c r="A48" s="73"/>
      <c r="B48" s="41"/>
      <c r="C48" s="41" t="s">
        <v>19</v>
      </c>
      <c r="D48" s="41"/>
      <c r="E48" s="72">
        <f>E46-E47</f>
        <v>705134</v>
      </c>
    </row>
    <row r="49" spans="1:11" ht="12.75" customHeight="1">
      <c r="A49" s="73"/>
      <c r="B49" s="41"/>
      <c r="C49" s="41"/>
      <c r="D49" s="41"/>
      <c r="E49" s="74"/>
    </row>
    <row r="50" spans="1:11" ht="12.75" customHeight="1">
      <c r="A50" s="73"/>
      <c r="B50" s="41"/>
      <c r="C50" s="41" t="s">
        <v>20</v>
      </c>
      <c r="D50" s="41"/>
      <c r="E50" s="74"/>
    </row>
    <row r="51" spans="1:11" ht="12.75" customHeight="1">
      <c r="A51" s="73"/>
      <c r="B51" s="41"/>
      <c r="C51" s="75" t="s">
        <v>166</v>
      </c>
      <c r="D51" s="41"/>
      <c r="E51" s="74">
        <v>0</v>
      </c>
      <c r="J51" s="24"/>
      <c r="K51" s="24"/>
    </row>
    <row r="52" spans="1:11" ht="12.75" customHeight="1">
      <c r="A52" s="73"/>
      <c r="B52" s="41"/>
      <c r="C52" s="75" t="s">
        <v>167</v>
      </c>
      <c r="D52" s="41"/>
      <c r="E52" s="74">
        <v>0</v>
      </c>
      <c r="G52" s="22"/>
      <c r="H52" s="22"/>
      <c r="I52" s="22"/>
      <c r="J52" s="24"/>
      <c r="K52" s="24"/>
    </row>
    <row r="53" spans="1:11" ht="12.75" customHeight="1">
      <c r="A53" s="73"/>
      <c r="B53" s="41"/>
      <c r="C53" s="75" t="s">
        <v>168</v>
      </c>
      <c r="D53" s="41"/>
      <c r="E53" s="74">
        <v>52567</v>
      </c>
      <c r="F53" s="22"/>
      <c r="J53" s="24"/>
      <c r="K53" s="24"/>
    </row>
    <row r="54" spans="1:11" ht="12.75" customHeight="1">
      <c r="A54" s="73"/>
      <c r="B54" s="41"/>
      <c r="C54" s="76" t="s">
        <v>169</v>
      </c>
      <c r="D54" s="41"/>
      <c r="E54" s="72">
        <f>SUM(E51:E53)</f>
        <v>52567</v>
      </c>
      <c r="F54" s="22"/>
      <c r="J54" s="24"/>
      <c r="K54" s="24"/>
    </row>
    <row r="55" spans="1:11" ht="12.75" customHeight="1">
      <c r="A55" s="73"/>
      <c r="B55" s="41"/>
      <c r="C55" s="77"/>
      <c r="D55" s="41"/>
      <c r="E55" s="74"/>
      <c r="F55" s="22"/>
      <c r="J55" s="24"/>
      <c r="K55" s="24"/>
    </row>
    <row r="56" spans="1:11" ht="12.75" customHeight="1" thickBot="1">
      <c r="A56" s="73"/>
      <c r="B56" s="41"/>
      <c r="C56" s="41" t="s">
        <v>21</v>
      </c>
      <c r="D56" s="41"/>
      <c r="E56" s="78">
        <f>E48-E54</f>
        <v>652567</v>
      </c>
      <c r="F56" s="22"/>
      <c r="J56" s="24"/>
      <c r="K56" s="24"/>
    </row>
    <row r="57" spans="1:11" ht="12.75" customHeight="1" thickTop="1">
      <c r="A57" s="79"/>
      <c r="B57" s="42"/>
      <c r="C57" s="80"/>
      <c r="D57" s="42"/>
      <c r="E57" s="43"/>
      <c r="F57" s="22"/>
      <c r="J57" s="24"/>
      <c r="K57" s="24"/>
    </row>
    <row r="58" spans="1:11" ht="12.75" customHeight="1">
      <c r="C58" s="30"/>
      <c r="F58" s="22"/>
      <c r="J58" s="24"/>
      <c r="K58" s="24"/>
    </row>
    <row r="59" spans="1:11" ht="12.75" customHeight="1">
      <c r="F59" s="22"/>
      <c r="J59" s="24"/>
      <c r="K59" s="24"/>
    </row>
    <row r="60" spans="1:11" ht="12.75" customHeight="1">
      <c r="C60" s="30"/>
      <c r="E60" s="22"/>
      <c r="F60" s="22"/>
      <c r="J60" s="24"/>
      <c r="K60" s="24"/>
    </row>
    <row r="61" spans="1:11" ht="12.75" customHeight="1">
      <c r="C61" s="30"/>
      <c r="E61" s="22"/>
      <c r="F61" s="22"/>
      <c r="J61" s="24"/>
      <c r="K61" s="24"/>
    </row>
    <row r="62" spans="1:11">
      <c r="C62" s="30"/>
      <c r="E62" s="22"/>
    </row>
  </sheetData>
  <printOptions horizontalCentered="1"/>
  <pageMargins left="0.17" right="0.17" top="0.75" bottom="0.75" header="0.3" footer="0.3"/>
  <pageSetup scale="97" orientation="portrait" r:id="rId1"/>
  <headerFooter>
    <oddFooter>&amp;C&amp;F -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workbookViewId="0">
      <selection sqref="A1:I27"/>
    </sheetView>
  </sheetViews>
  <sheetFormatPr defaultRowHeight="12.75"/>
  <cols>
    <col min="1" max="1" width="7.85546875" style="30" bestFit="1" customWidth="1"/>
    <col min="2" max="2" width="2.7109375" style="22" customWidth="1"/>
    <col min="3" max="3" width="30.28515625" style="22" bestFit="1" customWidth="1"/>
    <col min="4" max="4" width="2.7109375" style="22" customWidth="1"/>
    <col min="5" max="5" width="11.7109375" style="24" bestFit="1" customWidth="1"/>
    <col min="6" max="6" width="2.7109375" style="24" customWidth="1"/>
    <col min="7" max="7" width="11" style="24" bestFit="1" customWidth="1"/>
    <col min="8" max="8" width="2.7109375" style="24" customWidth="1"/>
    <col min="9" max="9" width="11.5703125" style="24" bestFit="1" customWidth="1"/>
    <col min="10" max="16384" width="9.140625" style="22"/>
  </cols>
  <sheetData>
    <row r="1" spans="1:9">
      <c r="I1" s="201" t="s">
        <v>344</v>
      </c>
    </row>
    <row r="3" spans="1:9">
      <c r="A3" s="33" t="s">
        <v>22</v>
      </c>
      <c r="B3" s="11"/>
      <c r="C3" s="11"/>
      <c r="D3" s="11"/>
      <c r="E3" s="18"/>
      <c r="F3" s="18"/>
      <c r="G3" s="18"/>
      <c r="H3" s="18"/>
      <c r="I3" s="18"/>
    </row>
    <row r="4" spans="1:9">
      <c r="A4" s="33" t="s">
        <v>322</v>
      </c>
      <c r="B4" s="11"/>
      <c r="C4" s="11"/>
      <c r="D4" s="11"/>
      <c r="E4" s="18"/>
      <c r="F4" s="18"/>
      <c r="G4" s="18"/>
      <c r="H4" s="18"/>
      <c r="I4" s="18"/>
    </row>
    <row r="5" spans="1:9">
      <c r="A5" s="33" t="s">
        <v>343</v>
      </c>
      <c r="B5" s="11"/>
      <c r="C5" s="11"/>
      <c r="D5" s="11"/>
      <c r="E5" s="18"/>
      <c r="F5" s="18"/>
      <c r="G5" s="18"/>
      <c r="H5" s="18"/>
      <c r="I5" s="18"/>
    </row>
    <row r="6" spans="1:9">
      <c r="A6" s="33" t="s">
        <v>49</v>
      </c>
      <c r="B6" s="11"/>
      <c r="C6" s="11"/>
      <c r="D6" s="11"/>
      <c r="E6" s="18"/>
      <c r="F6" s="18"/>
      <c r="G6" s="18"/>
      <c r="H6" s="18"/>
      <c r="I6" s="18"/>
    </row>
    <row r="7" spans="1:9" s="26" customFormat="1">
      <c r="A7" s="30"/>
      <c r="B7" s="22"/>
      <c r="C7" s="22"/>
      <c r="D7" s="22"/>
      <c r="E7" s="24"/>
      <c r="F7" s="24"/>
      <c r="G7" s="24"/>
      <c r="H7" s="24"/>
      <c r="I7" s="24"/>
    </row>
    <row r="8" spans="1:9" s="26" customFormat="1">
      <c r="A8" s="30"/>
      <c r="B8" s="22"/>
      <c r="C8" s="22"/>
      <c r="D8" s="22"/>
      <c r="E8" s="24"/>
      <c r="F8" s="24"/>
      <c r="G8" s="24"/>
      <c r="H8" s="24"/>
      <c r="I8" s="24"/>
    </row>
    <row r="9" spans="1:9">
      <c r="A9" s="31" t="s">
        <v>72</v>
      </c>
      <c r="B9" s="26"/>
      <c r="C9" s="26"/>
      <c r="D9" s="26"/>
      <c r="E9" s="28" t="s">
        <v>1</v>
      </c>
      <c r="F9" s="28"/>
      <c r="G9" s="28"/>
      <c r="H9" s="22"/>
      <c r="I9" s="70" t="s">
        <v>162</v>
      </c>
    </row>
    <row r="10" spans="1:9">
      <c r="A10" s="32" t="s">
        <v>71</v>
      </c>
      <c r="B10" s="26"/>
      <c r="C10" s="27" t="s">
        <v>73</v>
      </c>
      <c r="D10" s="26"/>
      <c r="E10" s="273" t="s">
        <v>419</v>
      </c>
      <c r="F10" s="28"/>
      <c r="G10" s="273" t="s">
        <v>32</v>
      </c>
      <c r="H10" s="22"/>
      <c r="I10" s="69" t="s">
        <v>163</v>
      </c>
    </row>
    <row r="11" spans="1:9">
      <c r="A11" s="24">
        <v>920</v>
      </c>
      <c r="C11" s="47" t="s">
        <v>91</v>
      </c>
      <c r="E11" s="25">
        <v>5194296</v>
      </c>
      <c r="F11" s="25"/>
      <c r="G11" s="25">
        <v>438608</v>
      </c>
      <c r="H11" s="22"/>
      <c r="I11" s="25">
        <f t="shared" ref="I11:I21" si="0">E11-G11</f>
        <v>4755688</v>
      </c>
    </row>
    <row r="12" spans="1:9">
      <c r="A12" s="24">
        <v>921</v>
      </c>
      <c r="C12" s="47" t="s">
        <v>92</v>
      </c>
      <c r="E12" s="44">
        <v>3181729</v>
      </c>
      <c r="F12" s="44"/>
      <c r="G12" s="44">
        <v>275213</v>
      </c>
      <c r="H12" s="22"/>
      <c r="I12" s="44">
        <f t="shared" si="0"/>
        <v>2906516</v>
      </c>
    </row>
    <row r="13" spans="1:9">
      <c r="A13" s="24">
        <v>923</v>
      </c>
      <c r="C13" s="47" t="s">
        <v>93</v>
      </c>
      <c r="E13" s="44">
        <v>421551</v>
      </c>
      <c r="F13" s="44"/>
      <c r="G13" s="44">
        <v>38356</v>
      </c>
      <c r="H13" s="22"/>
      <c r="I13" s="44">
        <f t="shared" si="0"/>
        <v>383195</v>
      </c>
    </row>
    <row r="14" spans="1:9">
      <c r="A14" s="24">
        <v>924</v>
      </c>
      <c r="C14" s="47" t="s">
        <v>94</v>
      </c>
      <c r="E14" s="44">
        <v>945683</v>
      </c>
      <c r="F14" s="44"/>
      <c r="G14" s="44">
        <v>136876</v>
      </c>
      <c r="H14" s="22"/>
      <c r="I14" s="44">
        <f t="shared" si="0"/>
        <v>808807</v>
      </c>
    </row>
    <row r="15" spans="1:9">
      <c r="A15" s="24">
        <v>925</v>
      </c>
      <c r="C15" s="47" t="s">
        <v>95</v>
      </c>
      <c r="E15" s="24">
        <v>1184621</v>
      </c>
      <c r="G15" s="24">
        <v>99220</v>
      </c>
      <c r="H15" s="22"/>
      <c r="I15" s="24">
        <f t="shared" si="0"/>
        <v>1085401</v>
      </c>
    </row>
    <row r="16" spans="1:9">
      <c r="A16" s="24">
        <v>926</v>
      </c>
      <c r="C16" s="47" t="s">
        <v>96</v>
      </c>
      <c r="E16" s="24">
        <v>6833142</v>
      </c>
      <c r="G16" s="24">
        <v>462300</v>
      </c>
      <c r="H16" s="22"/>
      <c r="I16" s="24">
        <f t="shared" si="0"/>
        <v>6370842</v>
      </c>
    </row>
    <row r="17" spans="1:11">
      <c r="A17" s="24">
        <v>928</v>
      </c>
      <c r="C17" s="47" t="s">
        <v>97</v>
      </c>
      <c r="E17" s="24">
        <v>850795</v>
      </c>
      <c r="G17" s="24">
        <v>164888</v>
      </c>
      <c r="H17" s="22"/>
      <c r="I17" s="24">
        <f t="shared" si="0"/>
        <v>685907</v>
      </c>
    </row>
    <row r="18" spans="1:11">
      <c r="A18" s="30">
        <v>930.1</v>
      </c>
      <c r="C18" s="47" t="s">
        <v>98</v>
      </c>
      <c r="E18" s="24">
        <v>51607</v>
      </c>
      <c r="G18" s="24">
        <v>2238</v>
      </c>
      <c r="H18" s="22"/>
      <c r="I18" s="24">
        <f t="shared" si="0"/>
        <v>49369</v>
      </c>
    </row>
    <row r="19" spans="1:11">
      <c r="A19" s="30">
        <v>930.2</v>
      </c>
      <c r="C19" s="47" t="s">
        <v>99</v>
      </c>
      <c r="E19" s="24">
        <v>565073</v>
      </c>
      <c r="G19" s="24">
        <v>42996</v>
      </c>
      <c r="H19" s="22"/>
      <c r="I19" s="24">
        <f t="shared" si="0"/>
        <v>522077</v>
      </c>
    </row>
    <row r="20" spans="1:11">
      <c r="A20" s="24">
        <v>931</v>
      </c>
      <c r="C20" s="47" t="s">
        <v>80</v>
      </c>
      <c r="E20" s="24">
        <v>388031</v>
      </c>
      <c r="G20" s="24">
        <v>32440</v>
      </c>
      <c r="H20" s="22"/>
      <c r="I20" s="24">
        <f t="shared" si="0"/>
        <v>355591</v>
      </c>
    </row>
    <row r="21" spans="1:11">
      <c r="A21" s="24">
        <v>935</v>
      </c>
      <c r="C21" s="36" t="s">
        <v>83</v>
      </c>
      <c r="E21" s="24">
        <v>676406</v>
      </c>
      <c r="G21" s="24">
        <v>44820</v>
      </c>
      <c r="H21" s="22"/>
      <c r="I21" s="24">
        <f t="shared" si="0"/>
        <v>631586</v>
      </c>
    </row>
    <row r="22" spans="1:11" ht="13.5" thickBot="1">
      <c r="E22" s="35">
        <f>SUM(E11:E21)</f>
        <v>20292934</v>
      </c>
      <c r="G22" s="35">
        <f>SUM(G11:G21)</f>
        <v>1737955</v>
      </c>
      <c r="H22" s="22"/>
      <c r="I22" s="35">
        <f>SUM(I11:I21)</f>
        <v>18554979</v>
      </c>
    </row>
    <row r="23" spans="1:11" ht="13.5" thickTop="1">
      <c r="K23" s="24"/>
    </row>
    <row r="24" spans="1:11">
      <c r="A24" s="296" t="s">
        <v>420</v>
      </c>
    </row>
  </sheetData>
  <printOptions horizontalCentered="1"/>
  <pageMargins left="0.17" right="0.17" top="0.75" bottom="0.75" header="0.3" footer="0.3"/>
  <pageSetup orientation="portrait" r:id="rId1"/>
  <headerFooter>
    <oddFooter>&amp;C&amp;F -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2.75"/>
  <cols>
    <col min="1" max="1" width="2.7109375" style="22" customWidth="1"/>
    <col min="2" max="2" width="41.7109375" style="22" customWidth="1"/>
    <col min="3" max="3" width="2.7109375" style="22" customWidth="1"/>
    <col min="4" max="4" width="11.28515625" style="22" bestFit="1" customWidth="1"/>
    <col min="5" max="5" width="2.7109375" style="22" customWidth="1"/>
    <col min="6" max="16384" width="9.140625" style="22"/>
  </cols>
  <sheetData>
    <row r="1" spans="1:5">
      <c r="D1" s="201" t="s">
        <v>345</v>
      </c>
    </row>
    <row r="3" spans="1:5">
      <c r="A3" s="11" t="s">
        <v>22</v>
      </c>
      <c r="B3" s="11"/>
      <c r="C3" s="11"/>
      <c r="D3" s="11"/>
      <c r="E3" s="11" t="s">
        <v>249</v>
      </c>
    </row>
    <row r="4" spans="1:5">
      <c r="A4" s="11" t="s">
        <v>322</v>
      </c>
      <c r="B4" s="11"/>
      <c r="C4" s="11"/>
      <c r="D4" s="11"/>
      <c r="E4" s="11" t="s">
        <v>249</v>
      </c>
    </row>
    <row r="5" spans="1:5">
      <c r="A5" s="11" t="s">
        <v>100</v>
      </c>
      <c r="B5" s="11"/>
      <c r="C5" s="11"/>
      <c r="D5" s="11"/>
      <c r="E5" s="11" t="s">
        <v>249</v>
      </c>
    </row>
    <row r="6" spans="1:5">
      <c r="A6" s="11" t="s">
        <v>352</v>
      </c>
      <c r="B6" s="11"/>
      <c r="C6" s="11"/>
      <c r="D6" s="11"/>
      <c r="E6" s="11" t="s">
        <v>249</v>
      </c>
    </row>
    <row r="7" spans="1:5">
      <c r="A7" s="11" t="s">
        <v>49</v>
      </c>
      <c r="B7" s="11"/>
      <c r="C7" s="11"/>
      <c r="D7" s="11"/>
      <c r="E7" s="11" t="s">
        <v>249</v>
      </c>
    </row>
    <row r="8" spans="1:5">
      <c r="A8" s="11"/>
      <c r="B8" s="11"/>
      <c r="C8" s="11"/>
      <c r="D8" s="11"/>
      <c r="E8" s="11"/>
    </row>
    <row r="9" spans="1:5">
      <c r="A9" s="11"/>
      <c r="B9" s="11"/>
      <c r="C9" s="11"/>
      <c r="D9" s="11"/>
      <c r="E9" s="11"/>
    </row>
    <row r="10" spans="1:5">
      <c r="D10" s="68" t="s">
        <v>162</v>
      </c>
      <c r="E10" s="68"/>
    </row>
    <row r="11" spans="1:5">
      <c r="D11" s="67" t="s">
        <v>163</v>
      </c>
      <c r="E11" s="68"/>
    </row>
    <row r="12" spans="1:5">
      <c r="A12" s="22" t="s">
        <v>106</v>
      </c>
      <c r="D12" s="39"/>
      <c r="E12" s="39"/>
    </row>
    <row r="13" spans="1:5">
      <c r="A13" s="22" t="s">
        <v>107</v>
      </c>
      <c r="D13" s="39"/>
      <c r="E13" s="39"/>
    </row>
    <row r="14" spans="1:5">
      <c r="B14" s="22" t="s">
        <v>48</v>
      </c>
      <c r="D14" s="25">
        <v>53849</v>
      </c>
      <c r="E14" s="25"/>
    </row>
    <row r="15" spans="1:5">
      <c r="B15" s="22" t="s">
        <v>101</v>
      </c>
      <c r="D15" s="24">
        <v>463020</v>
      </c>
      <c r="E15" s="24"/>
    </row>
    <row r="16" spans="1:5">
      <c r="B16" s="22" t="s">
        <v>102</v>
      </c>
      <c r="D16" s="24">
        <v>13801</v>
      </c>
      <c r="E16" s="24"/>
    </row>
    <row r="17" spans="1:5">
      <c r="D17" s="34">
        <f>SUM(D14:D16)</f>
        <v>530670</v>
      </c>
      <c r="E17" s="45"/>
    </row>
    <row r="19" spans="1:5">
      <c r="A19" s="176"/>
      <c r="B19" s="191" t="s">
        <v>250</v>
      </c>
      <c r="C19" s="176"/>
      <c r="E19" s="177"/>
    </row>
    <row r="20" spans="1:5">
      <c r="B20" s="275" t="s">
        <v>422</v>
      </c>
      <c r="D20" s="24">
        <v>187914</v>
      </c>
    </row>
    <row r="22" spans="1:5">
      <c r="A22" s="178" t="s">
        <v>263</v>
      </c>
      <c r="D22" s="34">
        <f>D17-D20</f>
        <v>342756</v>
      </c>
      <c r="E22" s="45"/>
    </row>
    <row r="25" spans="1:5">
      <c r="A25" s="22" t="s">
        <v>104</v>
      </c>
      <c r="D25" s="24"/>
      <c r="E25" s="24"/>
    </row>
    <row r="26" spans="1:5">
      <c r="B26" s="275" t="s">
        <v>403</v>
      </c>
      <c r="D26" s="24">
        <v>51607</v>
      </c>
      <c r="E26" s="24"/>
    </row>
    <row r="27" spans="1:5">
      <c r="B27" s="22" t="s">
        <v>105</v>
      </c>
      <c r="D27" s="24">
        <v>2238</v>
      </c>
      <c r="E27" s="24"/>
    </row>
    <row r="28" spans="1:5">
      <c r="D28" s="34">
        <f>D26-D27</f>
        <v>49369</v>
      </c>
      <c r="E28" s="45"/>
    </row>
    <row r="29" spans="1:5">
      <c r="D29" s="24"/>
      <c r="E29" s="24"/>
    </row>
    <row r="30" spans="1:5" ht="13.5" thickBot="1">
      <c r="A30" s="50" t="s">
        <v>164</v>
      </c>
      <c r="D30" s="46">
        <f>D22+D28</f>
        <v>392125</v>
      </c>
      <c r="E30" s="45"/>
    </row>
    <row r="31" spans="1:5" ht="13.5" thickTop="1">
      <c r="D31" s="24"/>
      <c r="E31" s="24"/>
    </row>
    <row r="32" spans="1:5">
      <c r="D32" s="24"/>
      <c r="E32" s="24"/>
    </row>
    <row r="33" spans="1:5">
      <c r="A33" s="275" t="s">
        <v>421</v>
      </c>
      <c r="D33" s="24"/>
      <c r="E33" s="24"/>
    </row>
    <row r="34" spans="1:5">
      <c r="A34" s="275"/>
      <c r="B34" s="275" t="s">
        <v>423</v>
      </c>
      <c r="D34" s="24"/>
      <c r="E34" s="24"/>
    </row>
    <row r="35" spans="1:5">
      <c r="A35" s="194" t="s">
        <v>283</v>
      </c>
      <c r="B35" s="297" t="s">
        <v>424</v>
      </c>
      <c r="C35" s="179"/>
      <c r="D35" s="179"/>
      <c r="E35" s="179"/>
    </row>
    <row r="36" spans="1:5">
      <c r="A36" s="179"/>
      <c r="B36" s="192" t="s">
        <v>282</v>
      </c>
      <c r="C36" s="179"/>
      <c r="D36" s="179"/>
      <c r="E36" s="179"/>
    </row>
    <row r="37" spans="1:5">
      <c r="B37" s="275" t="s">
        <v>426</v>
      </c>
      <c r="D37" s="195">
        <v>196364</v>
      </c>
    </row>
    <row r="38" spans="1:5">
      <c r="B38" s="275" t="s">
        <v>427</v>
      </c>
      <c r="D38" s="24">
        <v>3653</v>
      </c>
    </row>
    <row r="39" spans="1:5">
      <c r="B39" s="189" t="s">
        <v>281</v>
      </c>
      <c r="D39" s="24">
        <f>7128-1900</f>
        <v>5228</v>
      </c>
      <c r="E39" s="24"/>
    </row>
    <row r="40" spans="1:5">
      <c r="B40" s="275" t="s">
        <v>425</v>
      </c>
      <c r="D40" s="34">
        <f>SUM(D37:D39)</f>
        <v>205245</v>
      </c>
      <c r="E40" s="45"/>
    </row>
    <row r="41" spans="1:5">
      <c r="B41" s="275" t="s">
        <v>284</v>
      </c>
      <c r="D41" s="24">
        <v>17331</v>
      </c>
    </row>
    <row r="42" spans="1:5" ht="13.5" thickBot="1">
      <c r="D42" s="35">
        <f>D40-D41</f>
        <v>187914</v>
      </c>
    </row>
    <row r="43" spans="1:5" ht="13.5" thickTop="1">
      <c r="A43" s="275"/>
      <c r="B43" s="193"/>
      <c r="D43" s="24"/>
      <c r="E43" s="24"/>
    </row>
    <row r="44" spans="1:5">
      <c r="A44" s="275"/>
      <c r="B44" s="178"/>
      <c r="D44" s="24"/>
      <c r="E44" s="24"/>
    </row>
    <row r="45" spans="1:5">
      <c r="B45" s="189"/>
      <c r="D45" s="24"/>
      <c r="E45" s="24"/>
    </row>
  </sheetData>
  <printOptions horizontalCentered="1"/>
  <pageMargins left="0.17" right="0.17" top="1" bottom="0.75" header="0.3" footer="0.3"/>
  <pageSetup orientation="portrait" r:id="rId1"/>
  <headerFooter>
    <oddFooter>&amp;C&amp;F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E12" sqref="E12"/>
    </sheetView>
  </sheetViews>
  <sheetFormatPr defaultRowHeight="12.75"/>
  <cols>
    <col min="1" max="2" width="2.7109375" style="300" customWidth="1"/>
    <col min="3" max="3" width="55.7109375" style="300" customWidth="1"/>
    <col min="4" max="4" width="9.140625" style="300"/>
    <col min="5" max="5" width="12.28515625" style="301" bestFit="1" customWidth="1"/>
    <col min="6" max="16384" width="9.140625" style="300"/>
  </cols>
  <sheetData>
    <row r="1" spans="1:6">
      <c r="A1" s="11" t="s">
        <v>22</v>
      </c>
      <c r="B1" s="298"/>
      <c r="C1" s="298"/>
      <c r="D1" s="298"/>
      <c r="E1" s="299"/>
    </row>
    <row r="2" spans="1:6">
      <c r="A2" s="11" t="s">
        <v>428</v>
      </c>
      <c r="B2" s="298"/>
      <c r="C2" s="298"/>
      <c r="D2" s="298"/>
      <c r="E2" s="299"/>
    </row>
    <row r="3" spans="1:6">
      <c r="A3" s="11" t="s">
        <v>49</v>
      </c>
      <c r="B3" s="298"/>
      <c r="C3" s="298"/>
      <c r="D3" s="298"/>
      <c r="E3" s="299"/>
    </row>
    <row r="6" spans="1:6">
      <c r="A6" s="300" t="s">
        <v>429</v>
      </c>
    </row>
    <row r="7" spans="1:6">
      <c r="B7" s="300" t="s">
        <v>430</v>
      </c>
      <c r="E7" s="302">
        <v>18297014.755210448</v>
      </c>
    </row>
    <row r="8" spans="1:6">
      <c r="B8" s="300" t="s">
        <v>431</v>
      </c>
      <c r="E8" s="301">
        <v>22223301</v>
      </c>
    </row>
    <row r="9" spans="1:6">
      <c r="B9" s="300" t="s">
        <v>432</v>
      </c>
      <c r="E9" s="303">
        <f>E7-E8</f>
        <v>-3926286.2447895519</v>
      </c>
    </row>
    <row r="11" spans="1:6">
      <c r="A11" s="300" t="s">
        <v>433</v>
      </c>
    </row>
    <row r="12" spans="1:6">
      <c r="B12" s="300" t="s">
        <v>434</v>
      </c>
      <c r="E12" s="565">
        <v>735558</v>
      </c>
      <c r="F12" s="543" t="s">
        <v>43</v>
      </c>
    </row>
    <row r="13" spans="1:6">
      <c r="B13" s="300" t="s">
        <v>435</v>
      </c>
      <c r="E13" s="565">
        <v>738755</v>
      </c>
    </row>
    <row r="14" spans="1:6">
      <c r="C14" s="300" t="s">
        <v>436</v>
      </c>
      <c r="E14" s="303">
        <f>E12-E13</f>
        <v>-3197</v>
      </c>
    </row>
    <row r="15" spans="1:6">
      <c r="B15" s="300" t="s">
        <v>437</v>
      </c>
      <c r="E15" s="304">
        <v>30.082000000000001</v>
      </c>
    </row>
    <row r="16" spans="1:6">
      <c r="B16" s="300" t="s">
        <v>438</v>
      </c>
      <c r="E16" s="303">
        <f>ROUND(E14*E15,0)</f>
        <v>-96172</v>
      </c>
    </row>
    <row r="18" spans="1:5">
      <c r="A18" s="300" t="s">
        <v>1</v>
      </c>
    </row>
    <row r="19" spans="1:5">
      <c r="B19" s="300" t="s">
        <v>439</v>
      </c>
      <c r="E19" s="301">
        <f>E9</f>
        <v>-3926286.2447895519</v>
      </c>
    </row>
    <row r="20" spans="1:5">
      <c r="B20" s="300" t="s">
        <v>440</v>
      </c>
      <c r="E20" s="301">
        <f>E16</f>
        <v>-96172</v>
      </c>
    </row>
    <row r="21" spans="1:5">
      <c r="B21" s="300" t="s">
        <v>441</v>
      </c>
      <c r="E21" s="303">
        <f>SUM(E19:E20)</f>
        <v>-4022458.2447895519</v>
      </c>
    </row>
    <row r="23" spans="1:5">
      <c r="A23" s="543" t="s">
        <v>816</v>
      </c>
    </row>
    <row r="24" spans="1:5">
      <c r="B24" s="300" t="s">
        <v>442</v>
      </c>
      <c r="E24" s="305"/>
    </row>
    <row r="25" spans="1:5">
      <c r="B25" s="300" t="s">
        <v>443</v>
      </c>
    </row>
    <row r="27" spans="1:5" ht="13.5" thickBot="1">
      <c r="A27" s="300" t="s">
        <v>444</v>
      </c>
      <c r="E27" s="309">
        <f>ROUND(E21+E25,0)</f>
        <v>-4022458</v>
      </c>
    </row>
    <row r="28" spans="1:5" ht="13.5" thickTop="1"/>
    <row r="30" spans="1:5">
      <c r="A30" s="543" t="s">
        <v>818</v>
      </c>
    </row>
    <row r="31" spans="1:5">
      <c r="B31" s="543" t="s">
        <v>819</v>
      </c>
    </row>
    <row r="32" spans="1:5">
      <c r="C32" s="543" t="s">
        <v>820</v>
      </c>
      <c r="E32" s="301">
        <v>486814</v>
      </c>
    </row>
    <row r="33" spans="1:5">
      <c r="C33" s="543" t="s">
        <v>821</v>
      </c>
      <c r="E33" s="301">
        <v>248744</v>
      </c>
    </row>
    <row r="34" spans="1:5" ht="13.5" thickBot="1">
      <c r="C34" s="543" t="s">
        <v>822</v>
      </c>
      <c r="E34" s="544">
        <f>SUM(E32:E33)</f>
        <v>735558</v>
      </c>
    </row>
    <row r="35" spans="1:5" ht="13.5" thickTop="1">
      <c r="A35" s="543" t="s">
        <v>817</v>
      </c>
    </row>
  </sheetData>
  <printOptions horizontalCentered="1"/>
  <pageMargins left="0.17" right="0.2" top="1"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election activeCell="L19" sqref="L19"/>
    </sheetView>
  </sheetViews>
  <sheetFormatPr defaultRowHeight="12.75"/>
  <cols>
    <col min="1" max="3" width="2.7109375" style="22" customWidth="1"/>
    <col min="4" max="4" width="20.7109375" style="22" customWidth="1"/>
    <col min="5" max="5" width="2.7109375" style="22" customWidth="1"/>
    <col min="6" max="6" width="11.7109375" style="22" bestFit="1" customWidth="1"/>
    <col min="7" max="7" width="2.7109375" style="22" customWidth="1"/>
    <col min="8" max="8" width="10.7109375" style="24" bestFit="1" customWidth="1"/>
    <col min="9" max="9" width="2.7109375" style="22" customWidth="1"/>
    <col min="10" max="10" width="9.140625" style="22"/>
    <col min="11" max="11" width="2.7109375" style="22" customWidth="1"/>
    <col min="12" max="12" width="9.7109375" style="22" bestFit="1" customWidth="1"/>
    <col min="13" max="16384" width="9.140625" style="22"/>
  </cols>
  <sheetData>
    <row r="1" spans="1:13">
      <c r="L1" s="201" t="s">
        <v>346</v>
      </c>
    </row>
    <row r="3" spans="1:13">
      <c r="A3" s="11" t="s">
        <v>22</v>
      </c>
      <c r="B3" s="11"/>
      <c r="C3" s="11"/>
      <c r="D3" s="11"/>
      <c r="E3" s="11"/>
      <c r="F3" s="11"/>
      <c r="G3" s="11"/>
      <c r="H3" s="18"/>
      <c r="I3" s="11"/>
      <c r="J3" s="11"/>
      <c r="K3" s="11"/>
      <c r="L3" s="11"/>
    </row>
    <row r="4" spans="1:13">
      <c r="A4" s="11" t="s">
        <v>322</v>
      </c>
      <c r="B4" s="11"/>
      <c r="C4" s="11"/>
      <c r="D4" s="11"/>
      <c r="E4" s="11"/>
      <c r="F4" s="11"/>
      <c r="G4" s="11"/>
      <c r="H4" s="18"/>
      <c r="I4" s="11"/>
      <c r="J4" s="11"/>
      <c r="K4" s="11"/>
      <c r="L4" s="11"/>
    </row>
    <row r="5" spans="1:13">
      <c r="A5" s="11" t="s">
        <v>351</v>
      </c>
      <c r="B5" s="11"/>
      <c r="C5" s="11"/>
      <c r="D5" s="11"/>
      <c r="E5" s="11"/>
      <c r="F5" s="11"/>
      <c r="G5" s="11"/>
      <c r="H5" s="18"/>
      <c r="I5" s="11"/>
      <c r="J5" s="11"/>
      <c r="K5" s="11"/>
      <c r="L5" s="11"/>
    </row>
    <row r="6" spans="1:13">
      <c r="A6" s="11" t="s">
        <v>49</v>
      </c>
      <c r="B6" s="11"/>
      <c r="C6" s="11"/>
      <c r="D6" s="11"/>
      <c r="E6" s="11"/>
      <c r="F6" s="11"/>
      <c r="G6" s="11"/>
      <c r="H6" s="18"/>
      <c r="I6" s="11"/>
      <c r="J6" s="11"/>
      <c r="K6" s="11"/>
      <c r="L6" s="11"/>
    </row>
    <row r="7" spans="1:13">
      <c r="M7" s="26"/>
    </row>
    <row r="8" spans="1:13">
      <c r="M8" s="26"/>
    </row>
    <row r="9" spans="1:13">
      <c r="F9" s="39" t="s">
        <v>108</v>
      </c>
      <c r="H9" s="23" t="s">
        <v>1</v>
      </c>
      <c r="I9" s="26"/>
      <c r="J9" s="39"/>
      <c r="K9" s="26"/>
      <c r="L9" s="68" t="s">
        <v>162</v>
      </c>
    </row>
    <row r="10" spans="1:13">
      <c r="F10" s="27" t="s">
        <v>109</v>
      </c>
      <c r="H10" s="29" t="s">
        <v>84</v>
      </c>
      <c r="I10" s="26"/>
      <c r="J10" s="27" t="s">
        <v>32</v>
      </c>
      <c r="K10" s="26"/>
      <c r="L10" s="67" t="s">
        <v>163</v>
      </c>
    </row>
    <row r="11" spans="1:13">
      <c r="A11" s="5" t="s">
        <v>110</v>
      </c>
      <c r="H11" s="22"/>
    </row>
    <row r="12" spans="1:13">
      <c r="A12" s="5"/>
      <c r="B12" s="22" t="s">
        <v>2</v>
      </c>
      <c r="F12" s="22" t="s">
        <v>14</v>
      </c>
      <c r="H12" s="25">
        <v>3397044</v>
      </c>
      <c r="J12" s="24">
        <v>61028</v>
      </c>
      <c r="L12" s="24">
        <f>H12-J12</f>
        <v>3336016</v>
      </c>
    </row>
    <row r="13" spans="1:13">
      <c r="A13" s="5"/>
      <c r="H13" s="25"/>
      <c r="J13" s="24"/>
      <c r="L13" s="24"/>
    </row>
    <row r="14" spans="1:13">
      <c r="A14" s="5"/>
      <c r="B14" s="22" t="s">
        <v>103</v>
      </c>
      <c r="F14" s="22" t="s">
        <v>62</v>
      </c>
      <c r="H14" s="24">
        <v>715728</v>
      </c>
      <c r="I14" s="24"/>
      <c r="J14" s="24">
        <v>44605</v>
      </c>
      <c r="K14" s="24"/>
      <c r="L14" s="24">
        <f t="shared" ref="L14:L15" si="0">H14-J14</f>
        <v>671123</v>
      </c>
    </row>
    <row r="15" spans="1:13">
      <c r="A15" s="5"/>
      <c r="F15" s="22" t="s">
        <v>63</v>
      </c>
      <c r="H15" s="24">
        <v>312631</v>
      </c>
      <c r="I15" s="24"/>
      <c r="J15" s="24">
        <v>35609</v>
      </c>
      <c r="K15" s="24"/>
      <c r="L15" s="24">
        <f t="shared" si="0"/>
        <v>277022</v>
      </c>
    </row>
    <row r="16" spans="1:13">
      <c r="A16" s="5"/>
      <c r="H16" s="34">
        <f>SUM(H14:H15)</f>
        <v>1028359</v>
      </c>
      <c r="I16" s="24"/>
      <c r="J16" s="34">
        <f>SUM(J14:J15)</f>
        <v>80214</v>
      </c>
      <c r="K16" s="24"/>
      <c r="L16" s="34">
        <f>SUM(L14:L15)</f>
        <v>948145</v>
      </c>
    </row>
    <row r="17" spans="1:12">
      <c r="A17" s="5"/>
      <c r="I17" s="24"/>
      <c r="J17" s="24"/>
      <c r="K17" s="24"/>
      <c r="L17" s="24"/>
    </row>
    <row r="18" spans="1:12">
      <c r="A18" s="5"/>
      <c r="B18" s="22" t="s">
        <v>29</v>
      </c>
    </row>
    <row r="19" spans="1:12">
      <c r="A19" s="5"/>
      <c r="C19" s="124" t="s">
        <v>205</v>
      </c>
      <c r="F19" s="22" t="s">
        <v>15</v>
      </c>
      <c r="H19" s="24">
        <v>1262123</v>
      </c>
      <c r="I19" s="24"/>
      <c r="J19" s="24">
        <v>141428</v>
      </c>
      <c r="K19" s="24"/>
      <c r="L19" s="24">
        <f>H19-J19</f>
        <v>1120695</v>
      </c>
    </row>
    <row r="21" spans="1:12">
      <c r="A21" s="5" t="s">
        <v>111</v>
      </c>
      <c r="I21" s="24"/>
      <c r="J21" s="24"/>
      <c r="K21" s="24"/>
      <c r="L21" s="24"/>
    </row>
    <row r="22" spans="1:12">
      <c r="A22" s="5"/>
      <c r="B22" s="22" t="s">
        <v>64</v>
      </c>
      <c r="I22" s="24"/>
      <c r="J22" s="24"/>
      <c r="K22" s="24"/>
      <c r="L22" s="24"/>
    </row>
    <row r="23" spans="1:12">
      <c r="C23" s="22" t="s">
        <v>65</v>
      </c>
      <c r="I23" s="24"/>
      <c r="J23" s="24"/>
      <c r="K23" s="24"/>
      <c r="L23" s="24"/>
    </row>
    <row r="24" spans="1:12">
      <c r="D24" s="22" t="s">
        <v>114</v>
      </c>
      <c r="F24" s="22" t="s">
        <v>16</v>
      </c>
      <c r="H24" s="25">
        <v>91681</v>
      </c>
      <c r="I24" s="24"/>
      <c r="J24" s="44"/>
      <c r="K24" s="24"/>
      <c r="L24" s="24"/>
    </row>
    <row r="25" spans="1:12">
      <c r="D25" s="22" t="s">
        <v>115</v>
      </c>
      <c r="F25" s="22" t="s">
        <v>16</v>
      </c>
      <c r="H25" s="48">
        <v>2170711</v>
      </c>
      <c r="I25" s="24"/>
      <c r="J25" s="49"/>
      <c r="K25" s="24"/>
      <c r="L25" s="48"/>
    </row>
    <row r="26" spans="1:12">
      <c r="H26" s="24">
        <f>SUM(H24:H25)</f>
        <v>2262392</v>
      </c>
      <c r="I26" s="24"/>
      <c r="J26" s="24">
        <v>146256</v>
      </c>
      <c r="K26" s="24"/>
      <c r="L26" s="24">
        <f>H26-J26</f>
        <v>2116136</v>
      </c>
    </row>
    <row r="27" spans="1:12">
      <c r="C27" s="22" t="s">
        <v>112</v>
      </c>
      <c r="F27" s="22" t="s">
        <v>16</v>
      </c>
      <c r="H27" s="24">
        <v>2893</v>
      </c>
      <c r="I27" s="24"/>
      <c r="J27" s="44">
        <v>297</v>
      </c>
      <c r="K27" s="24"/>
      <c r="L27" s="24">
        <f t="shared" ref="L27" si="1">H27-J27</f>
        <v>2596</v>
      </c>
    </row>
    <row r="28" spans="1:12">
      <c r="B28" s="22" t="s">
        <v>66</v>
      </c>
      <c r="I28" s="24"/>
      <c r="J28" s="24"/>
      <c r="K28" s="24"/>
      <c r="L28" s="24"/>
    </row>
    <row r="29" spans="1:12">
      <c r="C29" s="22" t="s">
        <v>67</v>
      </c>
      <c r="F29" s="22" t="s">
        <v>16</v>
      </c>
      <c r="H29" s="24">
        <v>6491010</v>
      </c>
      <c r="I29" s="24"/>
      <c r="J29" s="24">
        <v>261055</v>
      </c>
      <c r="K29" s="24"/>
      <c r="L29" s="24">
        <f t="shared" ref="L29:L37" si="2">H29-J29</f>
        <v>6229955</v>
      </c>
    </row>
    <row r="30" spans="1:12">
      <c r="C30" s="22" t="s">
        <v>68</v>
      </c>
      <c r="F30" s="22" t="s">
        <v>16</v>
      </c>
      <c r="H30" s="24">
        <f>-80160+19955+68328</f>
        <v>8123</v>
      </c>
      <c r="I30" s="24"/>
      <c r="J30" s="24">
        <v>68328</v>
      </c>
      <c r="K30" s="24"/>
      <c r="L30" s="24">
        <f t="shared" si="2"/>
        <v>-60205</v>
      </c>
    </row>
    <row r="31" spans="1:12">
      <c r="C31" s="22" t="s">
        <v>69</v>
      </c>
      <c r="I31" s="24"/>
      <c r="J31" s="24"/>
      <c r="K31" s="24"/>
      <c r="L31" s="24"/>
    </row>
    <row r="32" spans="1:12">
      <c r="D32" s="50" t="s">
        <v>121</v>
      </c>
      <c r="I32" s="24"/>
      <c r="J32" s="24"/>
      <c r="K32" s="24"/>
      <c r="L32" s="24"/>
    </row>
    <row r="33" spans="1:12">
      <c r="D33" s="50" t="s">
        <v>119</v>
      </c>
      <c r="F33" s="22" t="s">
        <v>16</v>
      </c>
      <c r="H33" s="24">
        <v>116678</v>
      </c>
      <c r="I33" s="24"/>
      <c r="J33" s="24"/>
      <c r="K33" s="24"/>
      <c r="L33" s="24"/>
    </row>
    <row r="34" spans="1:12">
      <c r="D34" s="50" t="s">
        <v>120</v>
      </c>
      <c r="F34" s="22" t="s">
        <v>16</v>
      </c>
      <c r="H34" s="48">
        <v>78785</v>
      </c>
      <c r="I34" s="24"/>
      <c r="J34" s="48"/>
      <c r="K34" s="24"/>
      <c r="L34" s="48"/>
    </row>
    <row r="35" spans="1:12">
      <c r="H35" s="24">
        <f>SUM(H33:H34)</f>
        <v>195463</v>
      </c>
      <c r="I35" s="24"/>
      <c r="J35" s="24">
        <v>0</v>
      </c>
      <c r="K35" s="24"/>
      <c r="L35" s="24">
        <f>H35-J35</f>
        <v>195463</v>
      </c>
    </row>
    <row r="36" spans="1:12">
      <c r="D36" s="22" t="s">
        <v>116</v>
      </c>
      <c r="F36" s="22" t="s">
        <v>16</v>
      </c>
      <c r="H36" s="24">
        <f>520885+405140</f>
        <v>926025</v>
      </c>
      <c r="I36" s="24"/>
      <c r="J36" s="24">
        <v>0</v>
      </c>
      <c r="K36" s="24"/>
      <c r="L36" s="24">
        <f t="shared" si="2"/>
        <v>926025</v>
      </c>
    </row>
    <row r="37" spans="1:12">
      <c r="D37" s="22" t="s">
        <v>117</v>
      </c>
      <c r="F37" s="22" t="s">
        <v>16</v>
      </c>
      <c r="H37" s="24">
        <v>1540</v>
      </c>
      <c r="I37" s="24"/>
      <c r="J37" s="24">
        <v>130</v>
      </c>
      <c r="K37" s="24"/>
      <c r="L37" s="24">
        <f t="shared" si="2"/>
        <v>1410</v>
      </c>
    </row>
    <row r="38" spans="1:12">
      <c r="H38" s="34">
        <f>SUM(H35:H37)</f>
        <v>1123028</v>
      </c>
      <c r="I38" s="24"/>
      <c r="J38" s="34">
        <f>SUM(J35:J37)</f>
        <v>130</v>
      </c>
      <c r="K38" s="24"/>
      <c r="L38" s="34">
        <f>SUM(L35:L37)</f>
        <v>1122898</v>
      </c>
    </row>
    <row r="39" spans="1:12">
      <c r="C39" s="22" t="s">
        <v>70</v>
      </c>
      <c r="H39" s="22"/>
    </row>
    <row r="40" spans="1:12">
      <c r="D40" s="50" t="s">
        <v>122</v>
      </c>
      <c r="F40" s="50" t="s">
        <v>16</v>
      </c>
      <c r="H40" s="44">
        <v>272083</v>
      </c>
      <c r="I40" s="44"/>
      <c r="J40" s="44">
        <v>179095</v>
      </c>
      <c r="K40" s="24"/>
      <c r="L40" s="24">
        <f>H40-J40</f>
        <v>92988</v>
      </c>
    </row>
    <row r="41" spans="1:12" ht="13.5" thickBot="1">
      <c r="A41" s="50" t="s">
        <v>113</v>
      </c>
      <c r="H41" s="35">
        <f>H26+H27+H29+H30+H40+H38</f>
        <v>10159529</v>
      </c>
      <c r="J41" s="35">
        <f>J26+J27+J29+J30+J40+J38</f>
        <v>655161</v>
      </c>
      <c r="L41" s="35">
        <f>L26+L27+L29+L30+L40+L38</f>
        <v>9504368</v>
      </c>
    </row>
    <row r="42" spans="1:12" ht="13.5" thickTop="1"/>
  </sheetData>
  <printOptions horizontalCentered="1"/>
  <pageMargins left="0.17" right="0.17" top="1" bottom="0.75" header="0.3" footer="0.3"/>
  <pageSetup orientation="portrait" r:id="rId1"/>
  <headerFooter>
    <oddFooter>&amp;C&amp;F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2.75"/>
  <cols>
    <col min="1" max="1" width="43.7109375" style="50" customWidth="1"/>
    <col min="2" max="2" width="9.140625" style="50"/>
    <col min="3" max="3" width="13.42578125" style="50" bestFit="1" customWidth="1"/>
    <col min="4" max="4" width="2.7109375" style="132" customWidth="1"/>
    <col min="5" max="16384" width="9.140625" style="50"/>
  </cols>
  <sheetData>
    <row r="1" spans="1:4">
      <c r="C1" s="201" t="s">
        <v>347</v>
      </c>
    </row>
    <row r="3" spans="1:4">
      <c r="A3" s="11" t="s">
        <v>22</v>
      </c>
      <c r="B3" s="11"/>
      <c r="C3" s="11"/>
      <c r="D3" s="11"/>
    </row>
    <row r="4" spans="1:4">
      <c r="A4" s="11" t="s">
        <v>322</v>
      </c>
      <c r="B4" s="11"/>
      <c r="C4" s="11"/>
      <c r="D4" s="11"/>
    </row>
    <row r="5" spans="1:4">
      <c r="A5" s="11" t="s">
        <v>123</v>
      </c>
      <c r="B5" s="11"/>
      <c r="C5" s="11"/>
      <c r="D5" s="11"/>
    </row>
    <row r="6" spans="1:4">
      <c r="A6" s="11" t="s">
        <v>350</v>
      </c>
      <c r="B6" s="11"/>
      <c r="C6" s="11"/>
      <c r="D6" s="11"/>
    </row>
    <row r="7" spans="1:4">
      <c r="A7" s="11" t="s">
        <v>49</v>
      </c>
      <c r="B7" s="11"/>
      <c r="C7" s="11"/>
      <c r="D7" s="11"/>
    </row>
    <row r="8" spans="1:4">
      <c r="A8" s="11"/>
      <c r="B8" s="11"/>
      <c r="C8" s="11"/>
      <c r="D8" s="11"/>
    </row>
    <row r="10" spans="1:4">
      <c r="A10" s="59" t="s">
        <v>397</v>
      </c>
      <c r="B10" s="53"/>
      <c r="C10" s="60">
        <v>2013</v>
      </c>
    </row>
    <row r="12" spans="1:4">
      <c r="A12" s="61" t="s">
        <v>124</v>
      </c>
      <c r="B12" s="53"/>
      <c r="C12" s="53"/>
    </row>
    <row r="13" spans="1:4">
      <c r="A13" s="54" t="s">
        <v>125</v>
      </c>
      <c r="B13" s="53"/>
      <c r="C13" s="65">
        <v>804955.61</v>
      </c>
    </row>
    <row r="15" spans="1:4">
      <c r="A15" s="54" t="s">
        <v>126</v>
      </c>
      <c r="B15" s="53"/>
      <c r="C15" s="53"/>
    </row>
    <row r="16" spans="1:4">
      <c r="A16" s="54" t="s">
        <v>125</v>
      </c>
      <c r="B16" s="53"/>
      <c r="C16" s="56">
        <v>1335942.8600000001</v>
      </c>
    </row>
    <row r="18" spans="1:3">
      <c r="A18" s="54" t="s">
        <v>127</v>
      </c>
      <c r="B18" s="53"/>
      <c r="C18" s="53"/>
    </row>
    <row r="19" spans="1:3">
      <c r="A19" s="54" t="s">
        <v>125</v>
      </c>
      <c r="B19" s="53"/>
      <c r="C19" s="56">
        <v>112666.21</v>
      </c>
    </row>
    <row r="20" spans="1:3">
      <c r="A20" s="53"/>
      <c r="B20" s="53"/>
      <c r="C20" s="58"/>
    </row>
    <row r="21" spans="1:3">
      <c r="A21" s="54" t="s">
        <v>128</v>
      </c>
      <c r="B21" s="53"/>
      <c r="C21" s="58"/>
    </row>
    <row r="22" spans="1:3">
      <c r="A22" s="54" t="s">
        <v>125</v>
      </c>
      <c r="B22" s="53"/>
      <c r="C22" s="56">
        <v>424864.59</v>
      </c>
    </row>
    <row r="23" spans="1:3">
      <c r="A23" s="53"/>
      <c r="B23" s="53"/>
      <c r="C23" s="58"/>
    </row>
    <row r="24" spans="1:3">
      <c r="A24" s="54" t="s">
        <v>129</v>
      </c>
      <c r="B24" s="53"/>
      <c r="C24" s="58"/>
    </row>
    <row r="25" spans="1:3">
      <c r="A25" s="54" t="s">
        <v>130</v>
      </c>
      <c r="B25" s="53"/>
      <c r="C25" s="58">
        <v>2122.09</v>
      </c>
    </row>
    <row r="26" spans="1:3">
      <c r="A26" s="54" t="s">
        <v>131</v>
      </c>
      <c r="B26" s="53"/>
      <c r="C26" s="58">
        <v>3284.29</v>
      </c>
    </row>
    <row r="27" spans="1:3">
      <c r="A27" s="54" t="s">
        <v>132</v>
      </c>
      <c r="B27" s="53"/>
      <c r="C27" s="62">
        <v>6874.08</v>
      </c>
    </row>
    <row r="28" spans="1:3" ht="13.5" thickBot="1">
      <c r="A28" s="54" t="s">
        <v>113</v>
      </c>
      <c r="B28" s="53"/>
      <c r="C28" s="63">
        <f>SUM(C25:C27)</f>
        <v>12280.46</v>
      </c>
    </row>
    <row r="29" spans="1:3" ht="13.5" thickTop="1">
      <c r="A29" s="53"/>
      <c r="B29" s="53"/>
      <c r="C29" s="53"/>
    </row>
    <row r="30" spans="1:3">
      <c r="A30" s="54" t="s">
        <v>133</v>
      </c>
      <c r="B30" s="53"/>
      <c r="C30" s="53"/>
    </row>
    <row r="31" spans="1:3">
      <c r="A31" s="54" t="s">
        <v>131</v>
      </c>
      <c r="B31" s="53"/>
      <c r="C31" s="58">
        <v>9512.84</v>
      </c>
    </row>
    <row r="32" spans="1:3">
      <c r="A32" s="54" t="s">
        <v>132</v>
      </c>
      <c r="B32" s="53"/>
      <c r="C32" s="58">
        <v>247</v>
      </c>
    </row>
    <row r="33" spans="1:5" ht="13.5" thickBot="1">
      <c r="A33" s="54" t="s">
        <v>113</v>
      </c>
      <c r="B33" s="53"/>
      <c r="C33" s="63">
        <f>SUM(C31:C32)</f>
        <v>9759.84</v>
      </c>
    </row>
    <row r="34" spans="1:5" ht="13.5" thickTop="1">
      <c r="A34" s="53"/>
      <c r="B34" s="53"/>
      <c r="C34" s="58"/>
    </row>
    <row r="35" spans="1:5">
      <c r="A35" s="54" t="s">
        <v>134</v>
      </c>
      <c r="B35" s="53"/>
      <c r="C35" s="58"/>
    </row>
    <row r="36" spans="1:5">
      <c r="A36" s="54" t="s">
        <v>135</v>
      </c>
      <c r="B36" s="53"/>
      <c r="C36" s="58">
        <v>138</v>
      </c>
    </row>
    <row r="37" spans="1:5">
      <c r="A37" s="54" t="s">
        <v>131</v>
      </c>
      <c r="B37" s="53"/>
      <c r="C37" s="58">
        <v>4258.8599999999997</v>
      </c>
    </row>
    <row r="38" spans="1:5">
      <c r="A38" s="54" t="s">
        <v>132</v>
      </c>
      <c r="B38" s="53"/>
      <c r="C38" s="58">
        <v>2591.44</v>
      </c>
      <c r="E38" s="130" t="s">
        <v>214</v>
      </c>
    </row>
    <row r="39" spans="1:5" ht="13.5" thickBot="1">
      <c r="A39" s="54" t="s">
        <v>113</v>
      </c>
      <c r="B39" s="53"/>
      <c r="C39" s="63">
        <f>SUM(C36:C38)</f>
        <v>6988.2999999999993</v>
      </c>
    </row>
    <row r="40" spans="1:5" ht="13.5" thickTop="1">
      <c r="A40" s="53"/>
      <c r="B40" s="53"/>
      <c r="C40" s="58"/>
    </row>
    <row r="41" spans="1:5">
      <c r="A41" s="54" t="s">
        <v>136</v>
      </c>
      <c r="B41" s="53"/>
      <c r="C41" s="58"/>
    </row>
    <row r="42" spans="1:5">
      <c r="A42" s="54" t="s">
        <v>125</v>
      </c>
      <c r="B42" s="53"/>
      <c r="C42" s="56">
        <v>3279895.7</v>
      </c>
    </row>
    <row r="43" spans="1:5">
      <c r="A43" s="55" t="s">
        <v>137</v>
      </c>
      <c r="B43" s="53"/>
      <c r="C43" s="56">
        <v>1618.18</v>
      </c>
    </row>
    <row r="44" spans="1:5" ht="13.5" thickBot="1">
      <c r="A44" s="55"/>
      <c r="B44" s="53"/>
      <c r="C44" s="57">
        <f>SUM(C42:C43)</f>
        <v>3281513.8800000004</v>
      </c>
    </row>
    <row r="45" spans="1:5" ht="13.5" thickTop="1">
      <c r="A45" s="53"/>
      <c r="B45" s="53"/>
      <c r="C45" s="56"/>
    </row>
    <row r="46" spans="1:5">
      <c r="A46" s="54" t="s">
        <v>138</v>
      </c>
      <c r="B46" s="53"/>
      <c r="C46" s="56"/>
    </row>
    <row r="47" spans="1:5">
      <c r="A47" s="54" t="s">
        <v>125</v>
      </c>
      <c r="B47" s="53"/>
      <c r="C47" s="56">
        <v>2046675.76</v>
      </c>
    </row>
    <row r="48" spans="1:5">
      <c r="A48" s="55" t="s">
        <v>137</v>
      </c>
      <c r="B48" s="53"/>
      <c r="C48" s="56">
        <v>4675.4399999999996</v>
      </c>
    </row>
    <row r="49" spans="1:3">
      <c r="A49" s="55" t="s">
        <v>139</v>
      </c>
      <c r="C49" s="131">
        <v>1052.6300000000001</v>
      </c>
    </row>
    <row r="50" spans="1:3" ht="13.5" thickBot="1">
      <c r="A50" s="55"/>
      <c r="B50" s="53"/>
      <c r="C50" s="57">
        <f>SUM(C47:C49)</f>
        <v>2052403.8299999998</v>
      </c>
    </row>
    <row r="51" spans="1:3" ht="13.5" thickTop="1">
      <c r="A51" s="53"/>
      <c r="B51" s="53"/>
      <c r="C51" s="56"/>
    </row>
    <row r="52" spans="1:3">
      <c r="A52" s="54" t="s">
        <v>140</v>
      </c>
      <c r="B52" s="53"/>
      <c r="C52" s="56"/>
    </row>
    <row r="53" spans="1:3">
      <c r="A53" s="54" t="s">
        <v>141</v>
      </c>
      <c r="B53" s="53"/>
      <c r="C53" s="56">
        <v>210979.45</v>
      </c>
    </row>
    <row r="54" spans="1:3">
      <c r="A54" s="54" t="s">
        <v>131</v>
      </c>
      <c r="B54" s="53"/>
      <c r="C54" s="56">
        <v>235953.37</v>
      </c>
    </row>
    <row r="55" spans="1:3">
      <c r="A55" s="54" t="s">
        <v>132</v>
      </c>
      <c r="B55" s="53"/>
      <c r="C55" s="56">
        <v>163705.36000000002</v>
      </c>
    </row>
    <row r="56" spans="1:3">
      <c r="A56" s="54" t="s">
        <v>135</v>
      </c>
      <c r="B56" s="53"/>
      <c r="C56" s="56">
        <v>574.9</v>
      </c>
    </row>
    <row r="57" spans="1:3" ht="13.5" thickBot="1">
      <c r="A57" s="53"/>
      <c r="B57" s="53"/>
      <c r="C57" s="57">
        <f>SUM(C53:C56)</f>
        <v>611213.08000000007</v>
      </c>
    </row>
    <row r="58" spans="1:3" ht="13.5" thickTop="1">
      <c r="A58" s="53"/>
      <c r="B58" s="53"/>
      <c r="C58" s="58"/>
    </row>
    <row r="59" spans="1:3">
      <c r="A59" s="53"/>
      <c r="B59" s="53"/>
      <c r="C59" s="58"/>
    </row>
    <row r="60" spans="1:3" ht="13.5" thickBot="1">
      <c r="A60" s="55" t="s">
        <v>1</v>
      </c>
      <c r="B60" s="53"/>
      <c r="C60" s="64">
        <f>C13+C16+C19+C22+C28+C33+C39+C44+C50+C57</f>
        <v>8652588.6600000001</v>
      </c>
    </row>
    <row r="61" spans="1:3" ht="13.5" thickTop="1">
      <c r="A61" s="53"/>
      <c r="B61" s="53"/>
      <c r="C61" s="53"/>
    </row>
  </sheetData>
  <printOptions horizontalCentered="1"/>
  <pageMargins left="0.17" right="0.17" top="0.51" bottom="0.17" header="0.3" footer="0.17"/>
  <pageSetup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election activeCell="A34" sqref="A34"/>
    </sheetView>
  </sheetViews>
  <sheetFormatPr defaultRowHeight="12.75"/>
  <cols>
    <col min="1" max="3" width="2.7109375" style="95" customWidth="1"/>
    <col min="4" max="4" width="68.85546875" style="95" customWidth="1"/>
    <col min="5" max="5" width="2.7109375" style="95" customWidth="1"/>
    <col min="6" max="6" width="11.7109375" style="95" bestFit="1" customWidth="1"/>
    <col min="7" max="7" width="2.7109375" style="95" customWidth="1"/>
    <col min="8" max="8" width="10.7109375" style="94" bestFit="1" customWidth="1"/>
    <col min="9" max="9" width="2.7109375" style="94" customWidth="1"/>
    <col min="10" max="15" width="9.140625" style="94"/>
    <col min="16" max="16384" width="9.140625" style="95"/>
  </cols>
  <sheetData>
    <row r="1" spans="1:8">
      <c r="H1" s="201" t="s">
        <v>348</v>
      </c>
    </row>
    <row r="3" spans="1:8">
      <c r="A3" s="11" t="s">
        <v>22</v>
      </c>
      <c r="B3" s="11"/>
      <c r="C3" s="11"/>
      <c r="D3" s="11"/>
      <c r="E3" s="11"/>
      <c r="F3" s="11"/>
      <c r="G3" s="11"/>
      <c r="H3" s="18"/>
    </row>
    <row r="4" spans="1:8">
      <c r="A4" s="11" t="s">
        <v>322</v>
      </c>
      <c r="B4" s="11"/>
      <c r="C4" s="11"/>
      <c r="D4" s="11"/>
      <c r="E4" s="11"/>
      <c r="F4" s="11"/>
      <c r="G4" s="11"/>
      <c r="H4" s="18"/>
    </row>
    <row r="5" spans="1:8">
      <c r="A5" s="11" t="s">
        <v>349</v>
      </c>
      <c r="B5" s="11"/>
      <c r="C5" s="11"/>
      <c r="D5" s="11"/>
      <c r="E5" s="11"/>
      <c r="F5" s="11"/>
      <c r="G5" s="11"/>
      <c r="H5" s="18"/>
    </row>
    <row r="6" spans="1:8">
      <c r="A6" s="11" t="str">
        <f>'Other O&amp;M Expenses (9)'!A6</f>
        <v>Twelve Months Ended December 31, 2013</v>
      </c>
      <c r="B6" s="11"/>
      <c r="C6" s="11"/>
      <c r="D6" s="11"/>
      <c r="E6" s="11"/>
      <c r="F6" s="11"/>
      <c r="G6" s="11"/>
      <c r="H6" s="18"/>
    </row>
    <row r="7" spans="1:8">
      <c r="A7" s="11"/>
      <c r="B7" s="11"/>
      <c r="C7" s="11"/>
      <c r="D7" s="11"/>
      <c r="E7" s="11"/>
      <c r="F7" s="11"/>
      <c r="G7" s="11"/>
      <c r="H7" s="18"/>
    </row>
    <row r="10" spans="1:8">
      <c r="F10" s="39" t="s">
        <v>108</v>
      </c>
      <c r="H10" s="97" t="s">
        <v>1</v>
      </c>
    </row>
    <row r="11" spans="1:8">
      <c r="A11" s="101" t="s">
        <v>188</v>
      </c>
      <c r="B11" s="101"/>
      <c r="C11" s="101"/>
      <c r="D11" s="101"/>
      <c r="F11" s="27" t="s">
        <v>109</v>
      </c>
      <c r="H11" s="98" t="s">
        <v>190</v>
      </c>
    </row>
    <row r="12" spans="1:8">
      <c r="H12" s="95"/>
    </row>
    <row r="13" spans="1:8">
      <c r="B13" s="95" t="s">
        <v>179</v>
      </c>
      <c r="C13" s="95" t="s">
        <v>183</v>
      </c>
      <c r="F13" s="102" t="s">
        <v>185</v>
      </c>
    </row>
    <row r="14" spans="1:8">
      <c r="D14" s="95" t="s">
        <v>186</v>
      </c>
      <c r="H14" s="99">
        <v>231631</v>
      </c>
    </row>
    <row r="15" spans="1:8">
      <c r="D15" s="95" t="s">
        <v>187</v>
      </c>
      <c r="H15" s="94">
        <v>105678</v>
      </c>
    </row>
    <row r="16" spans="1:8">
      <c r="D16" s="95" t="s">
        <v>191</v>
      </c>
      <c r="H16" s="94">
        <v>31814</v>
      </c>
    </row>
    <row r="17" spans="1:8">
      <c r="D17" s="95" t="s">
        <v>33</v>
      </c>
      <c r="H17" s="94">
        <v>2170988</v>
      </c>
    </row>
    <row r="18" spans="1:8">
      <c r="H18" s="96">
        <f>SUM(H14:H17)</f>
        <v>2540111</v>
      </c>
    </row>
    <row r="19" spans="1:8">
      <c r="D19" s="154" t="s">
        <v>250</v>
      </c>
      <c r="H19" s="95"/>
    </row>
    <row r="20" spans="1:8">
      <c r="D20" s="154" t="s">
        <v>251</v>
      </c>
      <c r="H20" s="94">
        <f>H16</f>
        <v>31814</v>
      </c>
    </row>
    <row r="21" spans="1:8">
      <c r="D21" s="154"/>
    </row>
    <row r="22" spans="1:8" ht="13.5" thickBot="1">
      <c r="C22" s="95" t="s">
        <v>189</v>
      </c>
      <c r="H22" s="155">
        <f>H18-H20</f>
        <v>2508297</v>
      </c>
    </row>
    <row r="23" spans="1:8" ht="13.5" thickTop="1">
      <c r="H23" s="100"/>
    </row>
    <row r="24" spans="1:8">
      <c r="B24" s="95" t="s">
        <v>180</v>
      </c>
      <c r="C24" s="95" t="s">
        <v>184</v>
      </c>
      <c r="F24" s="102" t="s">
        <v>185</v>
      </c>
      <c r="H24" s="94">
        <v>0</v>
      </c>
    </row>
    <row r="25" spans="1:8">
      <c r="H25" s="100"/>
    </row>
    <row r="26" spans="1:8">
      <c r="B26" s="95" t="s">
        <v>181</v>
      </c>
      <c r="C26" s="199" t="s">
        <v>305</v>
      </c>
      <c r="G26" s="199"/>
      <c r="H26" s="100"/>
    </row>
    <row r="27" spans="1:8">
      <c r="G27" s="199"/>
    </row>
    <row r="28" spans="1:8">
      <c r="B28" s="95" t="s">
        <v>182</v>
      </c>
      <c r="C28" s="199" t="s">
        <v>306</v>
      </c>
    </row>
    <row r="30" spans="1:8" ht="13.5" thickBot="1">
      <c r="A30" s="95" t="s">
        <v>192</v>
      </c>
      <c r="H30" s="103">
        <f>H22-H24-H26-H28</f>
        <v>2508297</v>
      </c>
    </row>
    <row r="31" spans="1:8" ht="13.5" thickTop="1"/>
    <row r="33" spans="1:3">
      <c r="A33" s="154" t="s">
        <v>252</v>
      </c>
    </row>
    <row r="34" spans="1:3">
      <c r="A34" s="199" t="s">
        <v>307</v>
      </c>
    </row>
    <row r="36" spans="1:3">
      <c r="A36" s="198" t="s">
        <v>299</v>
      </c>
    </row>
    <row r="37" spans="1:3">
      <c r="B37" s="102" t="s">
        <v>297</v>
      </c>
      <c r="C37" s="198" t="s">
        <v>300</v>
      </c>
    </row>
    <row r="38" spans="1:3">
      <c r="B38" s="102"/>
      <c r="C38" s="198" t="s">
        <v>301</v>
      </c>
    </row>
    <row r="39" spans="1:3">
      <c r="B39" s="102"/>
      <c r="C39" s="198" t="s">
        <v>302</v>
      </c>
    </row>
    <row r="40" spans="1:3">
      <c r="B40" s="102" t="s">
        <v>298</v>
      </c>
      <c r="C40" s="198" t="s">
        <v>303</v>
      </c>
    </row>
    <row r="41" spans="1:3">
      <c r="C41" s="95" t="s">
        <v>304</v>
      </c>
    </row>
  </sheetData>
  <printOptions horizontalCentered="1"/>
  <pageMargins left="0.17" right="0.17" top="1" bottom="0.37" header="0.3" footer="0.3"/>
  <pageSetup orientation="landscape" r:id="rId1"/>
  <headerFooter>
    <oddFooter>&amp;C&amp;F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election activeCell="K28" sqref="K28:K33"/>
    </sheetView>
  </sheetViews>
  <sheetFormatPr defaultRowHeight="12.75"/>
  <cols>
    <col min="1" max="1" width="2.7109375" style="180" customWidth="1"/>
    <col min="2" max="2" width="17.7109375" style="180" bestFit="1" customWidth="1"/>
    <col min="3" max="3" width="2.7109375" style="180" customWidth="1"/>
    <col min="4" max="4" width="13.140625" style="180" bestFit="1" customWidth="1"/>
    <col min="5" max="5" width="2.7109375" style="180" customWidth="1"/>
    <col min="6" max="6" width="11.85546875" style="180" bestFit="1" customWidth="1"/>
    <col min="7" max="7" width="2.7109375" style="180" customWidth="1"/>
    <col min="8" max="8" width="9.7109375" style="180" bestFit="1" customWidth="1"/>
    <col min="9" max="9" width="2.7109375" style="180" customWidth="1"/>
    <col min="10" max="10" width="10.7109375" style="180" bestFit="1" customWidth="1"/>
    <col min="11" max="16384" width="9.140625" style="180"/>
  </cols>
  <sheetData>
    <row r="1" spans="1:12">
      <c r="J1" s="201" t="s">
        <v>354</v>
      </c>
    </row>
    <row r="3" spans="1:12">
      <c r="A3" s="11" t="s">
        <v>22</v>
      </c>
      <c r="B3" s="188"/>
      <c r="C3" s="188"/>
      <c r="D3" s="188"/>
      <c r="E3" s="188"/>
      <c r="F3" s="188"/>
      <c r="G3" s="188"/>
      <c r="H3" s="188"/>
      <c r="I3" s="188"/>
      <c r="J3" s="188"/>
    </row>
    <row r="4" spans="1:12">
      <c r="A4" s="11" t="s">
        <v>322</v>
      </c>
      <c r="B4" s="188"/>
      <c r="C4" s="188"/>
      <c r="D4" s="188"/>
      <c r="E4" s="188"/>
      <c r="F4" s="188"/>
      <c r="G4" s="188"/>
      <c r="H4" s="188"/>
      <c r="I4" s="188"/>
      <c r="J4" s="188"/>
    </row>
    <row r="5" spans="1:12">
      <c r="A5" s="11" t="s">
        <v>355</v>
      </c>
      <c r="B5" s="11"/>
      <c r="C5" s="11"/>
      <c r="D5" s="188"/>
      <c r="E5" s="188"/>
      <c r="F5" s="188"/>
      <c r="G5" s="188"/>
      <c r="H5" s="188"/>
      <c r="I5" s="188"/>
      <c r="J5" s="188"/>
    </row>
    <row r="6" spans="1:12">
      <c r="A6" s="11" t="str">
        <f>'Other O&amp;M Expenses (9)'!A6</f>
        <v>Twelve Months Ended December 31, 2013</v>
      </c>
      <c r="B6" s="11"/>
      <c r="C6" s="11"/>
      <c r="D6" s="188"/>
      <c r="E6" s="188"/>
      <c r="F6" s="188"/>
      <c r="G6" s="188"/>
      <c r="H6" s="188"/>
      <c r="I6" s="188"/>
      <c r="J6" s="188"/>
    </row>
    <row r="7" spans="1:12">
      <c r="K7" s="183"/>
      <c r="L7" s="183"/>
    </row>
    <row r="8" spans="1:12">
      <c r="K8" s="183"/>
      <c r="L8" s="183"/>
    </row>
    <row r="9" spans="1:12">
      <c r="D9" s="181" t="s">
        <v>30</v>
      </c>
      <c r="F9" s="183"/>
      <c r="G9" s="183"/>
      <c r="H9" s="183"/>
      <c r="I9" s="183"/>
      <c r="J9" s="185" t="s">
        <v>162</v>
      </c>
      <c r="K9" s="183"/>
      <c r="L9" s="183"/>
    </row>
    <row r="10" spans="1:12">
      <c r="D10" s="182" t="s">
        <v>270</v>
      </c>
      <c r="F10" s="184" t="s">
        <v>277</v>
      </c>
      <c r="G10" s="183"/>
      <c r="H10" s="184" t="s">
        <v>32</v>
      </c>
      <c r="I10" s="183"/>
      <c r="J10" s="184" t="s">
        <v>163</v>
      </c>
      <c r="K10" s="183"/>
      <c r="L10" s="183"/>
    </row>
    <row r="11" spans="1:12">
      <c r="A11" s="180" t="s">
        <v>26</v>
      </c>
      <c r="D11" s="180" t="s">
        <v>271</v>
      </c>
      <c r="F11" s="186">
        <v>8000075</v>
      </c>
      <c r="G11" s="186"/>
      <c r="H11" s="186">
        <v>62772</v>
      </c>
      <c r="I11" s="186"/>
      <c r="J11" s="186">
        <f>F11-H11</f>
        <v>7937303</v>
      </c>
      <c r="K11" s="183"/>
      <c r="L11" s="183"/>
    </row>
    <row r="12" spans="1:12">
      <c r="A12" s="180" t="s">
        <v>2</v>
      </c>
      <c r="D12" s="180" t="s">
        <v>272</v>
      </c>
      <c r="F12" s="183">
        <v>3459007</v>
      </c>
      <c r="G12" s="183"/>
      <c r="H12" s="183">
        <v>91292</v>
      </c>
      <c r="I12" s="183"/>
      <c r="J12" s="183">
        <f t="shared" ref="J12:J17" si="0">F12-H12</f>
        <v>3367715</v>
      </c>
      <c r="K12" s="183"/>
      <c r="L12" s="183"/>
    </row>
    <row r="13" spans="1:12">
      <c r="A13" s="180" t="s">
        <v>27</v>
      </c>
      <c r="D13" s="180" t="s">
        <v>273</v>
      </c>
      <c r="F13" s="183">
        <v>8947181</v>
      </c>
      <c r="G13" s="183"/>
      <c r="H13" s="183">
        <v>913682</v>
      </c>
      <c r="I13" s="183"/>
      <c r="J13" s="183">
        <f t="shared" si="0"/>
        <v>8033499</v>
      </c>
      <c r="K13" s="183"/>
      <c r="L13" s="183"/>
    </row>
    <row r="14" spans="1:12">
      <c r="A14" s="180" t="s">
        <v>69</v>
      </c>
      <c r="F14" s="183"/>
      <c r="G14" s="183"/>
      <c r="H14" s="183"/>
      <c r="I14" s="183"/>
      <c r="J14" s="183"/>
      <c r="K14" s="183"/>
      <c r="L14" s="183"/>
    </row>
    <row r="15" spans="1:12">
      <c r="B15" s="180" t="s">
        <v>267</v>
      </c>
      <c r="D15" s="180" t="s">
        <v>274</v>
      </c>
      <c r="F15" s="183">
        <v>1988953</v>
      </c>
      <c r="G15" s="183"/>
      <c r="H15" s="183">
        <v>224789</v>
      </c>
      <c r="I15" s="183"/>
      <c r="J15" s="183">
        <f t="shared" si="0"/>
        <v>1764164</v>
      </c>
      <c r="K15" s="183"/>
      <c r="L15" s="183"/>
    </row>
    <row r="16" spans="1:12">
      <c r="B16" s="180" t="s">
        <v>268</v>
      </c>
      <c r="D16" s="180" t="s">
        <v>275</v>
      </c>
      <c r="F16" s="183">
        <v>111630</v>
      </c>
      <c r="G16" s="183"/>
      <c r="H16" s="183">
        <v>3864</v>
      </c>
      <c r="I16" s="183"/>
      <c r="J16" s="183">
        <f t="shared" si="0"/>
        <v>107766</v>
      </c>
      <c r="K16" s="183"/>
      <c r="L16" s="183"/>
    </row>
    <row r="17" spans="2:12">
      <c r="B17" s="180" t="s">
        <v>269</v>
      </c>
      <c r="D17" s="180" t="s">
        <v>276</v>
      </c>
      <c r="F17" s="183">
        <v>79618</v>
      </c>
      <c r="G17" s="183"/>
      <c r="H17" s="183">
        <v>6313</v>
      </c>
      <c r="I17" s="183"/>
      <c r="J17" s="183">
        <f t="shared" si="0"/>
        <v>73305</v>
      </c>
      <c r="K17" s="183"/>
      <c r="L17" s="183"/>
    </row>
    <row r="18" spans="2:12" ht="13.5" thickBot="1">
      <c r="F18" s="187">
        <f>SUM(F11:F17)</f>
        <v>22586464</v>
      </c>
      <c r="G18" s="183"/>
      <c r="H18" s="187">
        <f>SUM(H11:H17)</f>
        <v>1302712</v>
      </c>
      <c r="I18" s="183"/>
      <c r="J18" s="187">
        <f>SUM(J11:J17)</f>
        <v>21283752</v>
      </c>
      <c r="K18" s="183"/>
      <c r="L18" s="183"/>
    </row>
    <row r="19" spans="2:12" ht="13.5" thickTop="1">
      <c r="F19" s="183"/>
      <c r="G19" s="183"/>
      <c r="H19" s="183"/>
      <c r="I19" s="183"/>
      <c r="J19" s="183"/>
      <c r="K19" s="183"/>
      <c r="L19" s="183"/>
    </row>
    <row r="20" spans="2:12">
      <c r="F20" s="183"/>
      <c r="G20" s="183"/>
      <c r="H20" s="183"/>
      <c r="I20" s="183"/>
      <c r="J20" s="183"/>
      <c r="K20" s="183"/>
      <c r="L20" s="183"/>
    </row>
  </sheetData>
  <printOptions horizontalCentered="1"/>
  <pageMargins left="0.17" right="0.17" top="1"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A5" sqref="A5"/>
    </sheetView>
  </sheetViews>
  <sheetFormatPr defaultRowHeight="12.75"/>
  <cols>
    <col min="1" max="1" width="2.7109375" style="180" customWidth="1"/>
    <col min="2" max="2" width="12.7109375" style="180" customWidth="1"/>
    <col min="3" max="3" width="2.7109375" style="180" customWidth="1"/>
    <col min="4" max="4" width="12.28515625" style="180" bestFit="1" customWidth="1"/>
    <col min="5" max="5" width="2.7109375" style="180" customWidth="1"/>
    <col min="6" max="6" width="14.42578125" style="180" bestFit="1" customWidth="1"/>
    <col min="7" max="7" width="2.7109375" style="180" customWidth="1"/>
    <col min="8" max="8" width="11.85546875" style="180" bestFit="1" customWidth="1"/>
    <col min="9" max="9" width="2.7109375" style="180" customWidth="1"/>
    <col min="10" max="10" width="14.42578125" style="180" bestFit="1" customWidth="1"/>
    <col min="11" max="16384" width="9.140625" style="180"/>
  </cols>
  <sheetData>
    <row r="1" spans="1:10">
      <c r="J1" s="201" t="s">
        <v>357</v>
      </c>
    </row>
    <row r="3" spans="1:10">
      <c r="A3" s="11" t="s">
        <v>22</v>
      </c>
      <c r="B3" s="188"/>
      <c r="C3" s="188"/>
      <c r="D3" s="188"/>
      <c r="E3" s="188"/>
      <c r="F3" s="188"/>
      <c r="G3" s="188"/>
      <c r="H3" s="188"/>
      <c r="I3" s="188"/>
      <c r="J3" s="188"/>
    </row>
    <row r="4" spans="1:10">
      <c r="A4" s="11" t="s">
        <v>322</v>
      </c>
      <c r="B4" s="188"/>
      <c r="C4" s="188"/>
      <c r="D4" s="188"/>
      <c r="E4" s="188"/>
      <c r="F4" s="188"/>
      <c r="G4" s="188"/>
      <c r="H4" s="188"/>
      <c r="I4" s="188"/>
      <c r="J4" s="188"/>
    </row>
    <row r="5" spans="1:10">
      <c r="A5" s="11" t="s">
        <v>356</v>
      </c>
      <c r="B5" s="188"/>
      <c r="C5" s="188"/>
      <c r="D5" s="188"/>
      <c r="E5" s="188"/>
      <c r="F5" s="188"/>
      <c r="G5" s="188"/>
      <c r="H5" s="188"/>
      <c r="I5" s="188"/>
      <c r="J5" s="188"/>
    </row>
    <row r="6" spans="1:10">
      <c r="A6" s="11" t="str">
        <f>'Other O&amp;M Expenses (9)'!A6</f>
        <v>Twelve Months Ended December 31, 2013</v>
      </c>
      <c r="B6" s="188"/>
      <c r="C6" s="188"/>
      <c r="D6" s="188"/>
      <c r="E6" s="188"/>
      <c r="F6" s="188"/>
      <c r="G6" s="188"/>
      <c r="H6" s="188"/>
      <c r="I6" s="188"/>
      <c r="J6" s="188"/>
    </row>
    <row r="7" spans="1:10">
      <c r="A7" s="139"/>
    </row>
    <row r="9" spans="1:10">
      <c r="D9" s="181" t="s">
        <v>200</v>
      </c>
      <c r="F9" s="181" t="s">
        <v>30</v>
      </c>
      <c r="H9" s="181"/>
      <c r="J9" s="181" t="s">
        <v>162</v>
      </c>
    </row>
    <row r="10" spans="1:10">
      <c r="D10" s="182" t="s">
        <v>109</v>
      </c>
      <c r="F10" s="190" t="s">
        <v>246</v>
      </c>
      <c r="H10" s="182" t="s">
        <v>32</v>
      </c>
      <c r="J10" s="182" t="s">
        <v>163</v>
      </c>
    </row>
    <row r="11" spans="1:10">
      <c r="A11" s="189" t="s">
        <v>278</v>
      </c>
    </row>
    <row r="12" spans="1:10">
      <c r="B12" s="189" t="s">
        <v>205</v>
      </c>
      <c r="D12" s="189" t="s">
        <v>279</v>
      </c>
      <c r="F12" s="186">
        <v>1058520652</v>
      </c>
      <c r="G12" s="186"/>
      <c r="H12" s="186">
        <f>1220901+196909</f>
        <v>1417810</v>
      </c>
      <c r="I12" s="186"/>
      <c r="J12" s="186">
        <f>F12-H12</f>
        <v>1057102842</v>
      </c>
    </row>
    <row r="13" spans="1:10">
      <c r="B13" s="189" t="s">
        <v>206</v>
      </c>
      <c r="D13" s="189" t="s">
        <v>280</v>
      </c>
      <c r="F13" s="183">
        <v>373491829</v>
      </c>
      <c r="G13" s="183"/>
      <c r="H13" s="183">
        <f>244018+91380</f>
        <v>335398</v>
      </c>
      <c r="I13" s="183"/>
      <c r="J13" s="183">
        <f>F13-H13</f>
        <v>373156431</v>
      </c>
    </row>
    <row r="14" spans="1:10" ht="13.5" thickBot="1">
      <c r="F14" s="187">
        <f>SUM(F12:F13)</f>
        <v>1432012481</v>
      </c>
      <c r="G14" s="183"/>
      <c r="H14" s="187">
        <f>SUM(H12:H13)</f>
        <v>1753208</v>
      </c>
      <c r="I14" s="183"/>
      <c r="J14" s="187">
        <f>SUM(J12:J13)</f>
        <v>1430259273</v>
      </c>
    </row>
    <row r="15" spans="1:10" ht="13.5" thickTop="1">
      <c r="F15" s="183"/>
      <c r="G15" s="183"/>
      <c r="H15" s="183"/>
      <c r="I15" s="183"/>
      <c r="J15" s="183"/>
    </row>
    <row r="16" spans="1:10">
      <c r="F16" s="183"/>
      <c r="G16" s="183"/>
      <c r="H16" s="183"/>
      <c r="I16" s="183"/>
      <c r="J16" s="183"/>
    </row>
    <row r="17" spans="6:10">
      <c r="F17" s="183"/>
      <c r="G17" s="183"/>
      <c r="H17" s="183"/>
      <c r="I17" s="183"/>
      <c r="J17" s="183"/>
    </row>
    <row r="18" spans="6:10">
      <c r="F18" s="183"/>
      <c r="G18" s="183"/>
      <c r="H18" s="183"/>
      <c r="I18" s="183"/>
      <c r="J18" s="183"/>
    </row>
    <row r="19" spans="6:10">
      <c r="F19" s="183"/>
      <c r="G19" s="183"/>
      <c r="H19" s="183"/>
      <c r="I19" s="183"/>
      <c r="J19" s="183"/>
    </row>
    <row r="20" spans="6:10">
      <c r="F20" s="183"/>
      <c r="G20" s="183"/>
      <c r="H20" s="183"/>
      <c r="I20" s="183"/>
      <c r="J20" s="183"/>
    </row>
    <row r="21" spans="6:10">
      <c r="F21" s="183"/>
      <c r="G21" s="183"/>
      <c r="H21" s="183"/>
      <c r="I21" s="183"/>
      <c r="J21" s="183"/>
    </row>
    <row r="22" spans="6:10">
      <c r="F22" s="183"/>
      <c r="G22" s="183"/>
      <c r="H22" s="183"/>
      <c r="I22" s="183"/>
      <c r="J22" s="183"/>
    </row>
    <row r="23" spans="6:10">
      <c r="F23" s="183"/>
      <c r="G23" s="183"/>
      <c r="H23" s="183"/>
      <c r="I23" s="183"/>
      <c r="J23" s="183"/>
    </row>
    <row r="24" spans="6:10">
      <c r="F24" s="183"/>
      <c r="G24" s="183"/>
      <c r="H24" s="183"/>
      <c r="I24" s="183"/>
      <c r="J24" s="183"/>
    </row>
  </sheetData>
  <printOptions horizontalCentered="1"/>
  <pageMargins left="0.17" right="0.17" top="1" bottom="0.75" header="0.3" footer="0.3"/>
  <pageSetup orientation="portrait" r:id="rId1"/>
  <headerFooter>
    <oddFooter>&amp;C&amp;F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2"/>
  <sheetViews>
    <sheetView zoomScaleNormal="100" zoomScaleSheetLayoutView="70" workbookViewId="0">
      <selection activeCell="E20" sqref="E20"/>
    </sheetView>
  </sheetViews>
  <sheetFormatPr defaultRowHeight="15"/>
  <cols>
    <col min="1" max="1" width="26.140625" style="203" customWidth="1"/>
    <col min="2" max="2" width="17.140625" style="203" customWidth="1"/>
    <col min="3" max="7" width="16" style="203" customWidth="1"/>
    <col min="8" max="8" width="10.7109375" style="203" bestFit="1" customWidth="1"/>
    <col min="9" max="9" width="18.5703125" style="203" bestFit="1" customWidth="1"/>
    <col min="10" max="10" width="12.85546875" style="203" bestFit="1" customWidth="1"/>
    <col min="11" max="11" width="2" style="203" customWidth="1"/>
    <col min="12" max="12" width="14.140625" style="203" bestFit="1" customWidth="1"/>
    <col min="13" max="13" width="12.85546875" style="203" bestFit="1" customWidth="1"/>
    <col min="14" max="14" width="1.5703125" style="203" customWidth="1"/>
    <col min="15" max="15" width="16.85546875" style="203" bestFit="1" customWidth="1"/>
    <col min="16" max="16" width="15.42578125" style="203" bestFit="1" customWidth="1"/>
    <col min="17" max="17" width="9.140625" style="203"/>
    <col min="18" max="18" width="14.140625" style="203" bestFit="1" customWidth="1"/>
    <col min="19" max="19" width="12.85546875" style="203" bestFit="1" customWidth="1"/>
    <col min="20" max="16384" width="9.140625" style="203"/>
  </cols>
  <sheetData>
    <row r="1" spans="1:24">
      <c r="O1" s="239" t="s">
        <v>373</v>
      </c>
    </row>
    <row r="3" spans="1:24" ht="15.75">
      <c r="B3" s="204" t="s">
        <v>22</v>
      </c>
      <c r="C3" s="204"/>
      <c r="D3" s="204"/>
      <c r="E3" s="204"/>
      <c r="F3" s="205"/>
      <c r="G3" s="205"/>
      <c r="H3" s="206"/>
      <c r="I3" s="206"/>
      <c r="J3" s="206"/>
    </row>
    <row r="4" spans="1:24" ht="15.75">
      <c r="B4" s="204" t="s">
        <v>360</v>
      </c>
      <c r="C4" s="204"/>
      <c r="D4" s="204"/>
      <c r="E4" s="204"/>
      <c r="F4" s="205"/>
      <c r="G4" s="205"/>
      <c r="H4" s="206"/>
      <c r="I4" s="206"/>
      <c r="J4" s="206"/>
    </row>
    <row r="5" spans="1:24" ht="15.75">
      <c r="B5" s="207" t="s">
        <v>361</v>
      </c>
      <c r="C5" s="208"/>
      <c r="D5" s="208"/>
      <c r="E5" s="208"/>
      <c r="F5" s="205"/>
      <c r="G5" s="205"/>
      <c r="H5" s="206"/>
      <c r="I5" s="206"/>
      <c r="J5" s="206"/>
    </row>
    <row r="6" spans="1:24" ht="15.75">
      <c r="B6" s="204" t="s">
        <v>362</v>
      </c>
      <c r="C6" s="204"/>
      <c r="D6" s="204"/>
      <c r="E6" s="204"/>
      <c r="F6" s="205"/>
      <c r="G6" s="205"/>
      <c r="H6" s="206"/>
      <c r="I6" s="206"/>
      <c r="J6" s="206"/>
    </row>
    <row r="7" spans="1:24" ht="15.75">
      <c r="B7" s="204" t="s">
        <v>363</v>
      </c>
      <c r="C7" s="204"/>
      <c r="D7" s="204"/>
      <c r="E7" s="204"/>
      <c r="F7" s="205"/>
      <c r="G7" s="205"/>
      <c r="H7" s="206"/>
      <c r="I7" s="206"/>
      <c r="J7" s="206"/>
    </row>
    <row r="8" spans="1:24" ht="15.75">
      <c r="A8" s="209"/>
      <c r="B8" s="209"/>
      <c r="C8" s="209"/>
      <c r="D8" s="209"/>
      <c r="E8" s="209"/>
      <c r="F8" s="209"/>
      <c r="G8" s="209"/>
      <c r="H8" s="206"/>
      <c r="I8" s="206"/>
      <c r="J8" s="206"/>
    </row>
    <row r="9" spans="1:24" ht="15.75">
      <c r="A9" s="206"/>
      <c r="B9" s="206"/>
      <c r="C9" s="206"/>
      <c r="D9" s="206"/>
      <c r="E9" s="206"/>
      <c r="F9" s="206"/>
      <c r="G9" s="206"/>
      <c r="H9" s="206"/>
      <c r="I9" s="206"/>
      <c r="J9" s="206"/>
    </row>
    <row r="10" spans="1:24">
      <c r="L10" s="210"/>
      <c r="M10" s="210"/>
      <c r="N10" s="210"/>
      <c r="O10" s="210"/>
      <c r="P10" s="210"/>
      <c r="Q10" s="210"/>
      <c r="R10" s="210"/>
      <c r="S10" s="210"/>
      <c r="T10" s="210"/>
      <c r="U10" s="210"/>
      <c r="V10" s="210"/>
      <c r="W10" s="210"/>
      <c r="X10" s="210"/>
    </row>
    <row r="11" spans="1:24">
      <c r="A11" s="203" t="s">
        <v>364</v>
      </c>
      <c r="L11" s="210"/>
      <c r="M11" s="210"/>
      <c r="N11" s="210"/>
      <c r="O11" s="210"/>
      <c r="P11" s="210"/>
      <c r="Q11" s="210"/>
      <c r="R11" s="210"/>
      <c r="S11" s="210"/>
      <c r="T11" s="210"/>
      <c r="U11" s="210"/>
      <c r="V11" s="210"/>
      <c r="W11" s="210"/>
      <c r="X11" s="210"/>
    </row>
    <row r="12" spans="1:24">
      <c r="F12" s="210"/>
      <c r="G12" s="210"/>
      <c r="H12" s="210"/>
      <c r="I12" s="210"/>
      <c r="J12" s="210"/>
      <c r="K12" s="210"/>
      <c r="L12" s="213"/>
      <c r="M12" s="210"/>
      <c r="N12" s="210"/>
      <c r="O12" s="213"/>
      <c r="P12" s="210"/>
      <c r="Q12" s="210"/>
      <c r="R12" s="213"/>
      <c r="S12" s="210"/>
      <c r="T12" s="210"/>
      <c r="U12" s="210"/>
      <c r="V12" s="210"/>
      <c r="W12" s="210"/>
      <c r="X12" s="210"/>
    </row>
    <row r="13" spans="1:24">
      <c r="A13" s="203" t="s">
        <v>365</v>
      </c>
      <c r="F13" s="210"/>
      <c r="G13" s="210"/>
      <c r="H13" s="210"/>
      <c r="I13" s="210"/>
      <c r="J13" s="210"/>
      <c r="K13" s="210"/>
      <c r="L13" s="210"/>
      <c r="M13" s="210"/>
      <c r="N13" s="210"/>
      <c r="O13" s="210"/>
      <c r="P13" s="210"/>
      <c r="Q13" s="210"/>
      <c r="R13" s="210"/>
      <c r="S13" s="210"/>
      <c r="T13" s="210"/>
      <c r="U13" s="210"/>
      <c r="V13" s="210"/>
      <c r="W13" s="210"/>
      <c r="X13" s="210"/>
    </row>
    <row r="14" spans="1:24" ht="15.75">
      <c r="C14" s="211" t="s">
        <v>366</v>
      </c>
      <c r="F14" s="212"/>
      <c r="G14" s="210"/>
      <c r="H14" s="210"/>
      <c r="I14" s="212"/>
      <c r="J14" s="210"/>
      <c r="K14" s="210"/>
      <c r="L14" s="217"/>
      <c r="M14" s="218"/>
      <c r="N14" s="218"/>
      <c r="O14" s="217"/>
      <c r="P14" s="218"/>
      <c r="Q14" s="210"/>
      <c r="R14" s="217"/>
      <c r="S14" s="218"/>
      <c r="T14" s="210"/>
      <c r="U14" s="210"/>
      <c r="V14" s="210"/>
      <c r="W14" s="210"/>
      <c r="X14" s="210"/>
    </row>
    <row r="15" spans="1:24">
      <c r="B15" s="203" t="s">
        <v>367</v>
      </c>
      <c r="C15" s="203" t="s">
        <v>368</v>
      </c>
      <c r="F15" s="210"/>
      <c r="G15" s="210"/>
      <c r="H15" s="210"/>
      <c r="I15" s="210"/>
      <c r="J15" s="210"/>
      <c r="K15" s="210"/>
      <c r="L15" s="217"/>
      <c r="M15" s="218"/>
      <c r="N15" s="218"/>
      <c r="O15" s="217"/>
      <c r="P15" s="218"/>
      <c r="Q15" s="210"/>
      <c r="R15" s="217"/>
      <c r="S15" s="218"/>
      <c r="T15" s="210"/>
      <c r="U15" s="210"/>
      <c r="V15" s="210"/>
      <c r="W15" s="210"/>
      <c r="X15" s="210"/>
    </row>
    <row r="16" spans="1:24">
      <c r="A16" s="203" t="s">
        <v>102</v>
      </c>
      <c r="B16" s="214">
        <v>0</v>
      </c>
      <c r="C16" s="215">
        <v>5.6003490000000003E-2</v>
      </c>
      <c r="D16" s="216">
        <f>$B16*C16</f>
        <v>0</v>
      </c>
      <c r="E16" s="214"/>
      <c r="F16" s="217"/>
      <c r="G16" s="218"/>
      <c r="H16" s="218"/>
      <c r="I16" s="217"/>
      <c r="J16" s="218"/>
      <c r="K16" s="210"/>
      <c r="L16" s="217"/>
      <c r="M16" s="218"/>
      <c r="N16" s="218"/>
      <c r="O16" s="217"/>
      <c r="P16" s="218"/>
      <c r="Q16" s="210"/>
      <c r="R16" s="217"/>
      <c r="S16" s="218"/>
      <c r="T16" s="210"/>
      <c r="U16" s="210"/>
      <c r="V16" s="210"/>
      <c r="W16" s="210"/>
      <c r="X16" s="210"/>
    </row>
    <row r="17" spans="1:66">
      <c r="A17" s="203" t="s">
        <v>101</v>
      </c>
      <c r="B17" s="214">
        <v>4.53E-2</v>
      </c>
      <c r="C17" s="215">
        <v>0.71256989999999998</v>
      </c>
      <c r="D17" s="216">
        <f>$B17*C17</f>
        <v>3.2279416470000002E-2</v>
      </c>
      <c r="E17" s="214"/>
      <c r="F17" s="217"/>
      <c r="G17" s="218"/>
      <c r="H17" s="218"/>
      <c r="I17" s="217"/>
      <c r="J17" s="218"/>
      <c r="K17" s="210"/>
      <c r="L17" s="218"/>
      <c r="M17" s="218"/>
      <c r="N17" s="218"/>
      <c r="O17" s="218"/>
      <c r="P17" s="218"/>
      <c r="Q17" s="210"/>
      <c r="R17" s="210"/>
      <c r="S17" s="218"/>
      <c r="T17" s="210"/>
      <c r="U17" s="210"/>
      <c r="V17" s="210"/>
      <c r="W17" s="210"/>
      <c r="X17" s="210"/>
    </row>
    <row r="18" spans="1:66">
      <c r="A18" s="203" t="s">
        <v>48</v>
      </c>
      <c r="B18" s="214">
        <v>6.7500000000000004E-2</v>
      </c>
      <c r="C18" s="215">
        <v>0.23142661</v>
      </c>
      <c r="D18" s="219">
        <f>$B18*C18</f>
        <v>1.5621296175000002E-2</v>
      </c>
      <c r="E18" s="214"/>
      <c r="F18" s="217"/>
      <c r="G18" s="218"/>
      <c r="H18" s="218"/>
      <c r="I18" s="217"/>
      <c r="J18" s="218"/>
      <c r="K18" s="210"/>
      <c r="L18" s="216"/>
      <c r="M18" s="216"/>
    </row>
    <row r="19" spans="1:66">
      <c r="C19" s="216"/>
      <c r="D19" s="216">
        <f>SUM(D16:D18)</f>
        <v>4.7900712645000003E-2</v>
      </c>
      <c r="F19" s="218"/>
      <c r="G19" s="218"/>
      <c r="H19" s="218"/>
      <c r="I19" s="218"/>
      <c r="J19" s="218"/>
      <c r="K19" s="210"/>
      <c r="L19" s="216"/>
      <c r="M19" s="216"/>
    </row>
    <row r="20" spans="1:66">
      <c r="I20" s="216"/>
      <c r="J20" s="216"/>
      <c r="K20" s="216"/>
    </row>
    <row r="21" spans="1:66">
      <c r="I21" s="216"/>
      <c r="J21" s="216"/>
      <c r="K21" s="216"/>
    </row>
    <row r="22" spans="1:66" ht="20.25">
      <c r="L22" s="221"/>
      <c r="M22" s="222"/>
      <c r="N22" s="222"/>
      <c r="O22" s="222"/>
      <c r="Q22" s="223"/>
      <c r="R22" s="224"/>
      <c r="S22" s="225"/>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row>
    <row r="23" spans="1:66" ht="20.25">
      <c r="L23" s="221"/>
      <c r="M23" s="222"/>
      <c r="N23" s="222"/>
      <c r="O23" s="222"/>
      <c r="Q23" s="223"/>
      <c r="R23" s="224"/>
      <c r="S23" s="225"/>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row>
    <row r="24" spans="1:66" ht="20.25">
      <c r="A24" s="220" t="s">
        <v>369</v>
      </c>
      <c r="B24" s="221" t="s">
        <v>309</v>
      </c>
      <c r="C24" s="221"/>
      <c r="D24" s="221"/>
      <c r="E24" s="221"/>
      <c r="F24" s="221"/>
      <c r="G24" s="221"/>
      <c r="H24" s="221"/>
      <c r="I24" s="221"/>
      <c r="J24" s="221"/>
      <c r="K24" s="221"/>
      <c r="L24" s="221"/>
      <c r="M24" s="222"/>
      <c r="N24" s="222"/>
      <c r="O24" s="222"/>
      <c r="Q24" s="223"/>
      <c r="R24" s="224"/>
      <c r="S24" s="225"/>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row>
    <row r="25" spans="1:66" ht="20.25">
      <c r="A25" s="220"/>
      <c r="B25" s="221" t="s">
        <v>310</v>
      </c>
      <c r="C25" s="221"/>
      <c r="D25" s="221"/>
      <c r="E25" s="221"/>
      <c r="F25" s="221"/>
      <c r="G25" s="221"/>
      <c r="H25" s="221"/>
      <c r="I25" s="221"/>
      <c r="J25" s="221"/>
      <c r="K25" s="221"/>
      <c r="L25" s="221"/>
      <c r="M25" s="222"/>
      <c r="N25" s="222"/>
      <c r="O25" s="222"/>
      <c r="Q25" s="223"/>
      <c r="R25" s="224"/>
      <c r="S25" s="225"/>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row>
    <row r="26" spans="1:66" ht="20.25">
      <c r="A26" s="220"/>
      <c r="B26" s="221" t="s">
        <v>311</v>
      </c>
      <c r="C26" s="221"/>
      <c r="D26" s="221"/>
      <c r="E26" s="221"/>
      <c r="F26" s="221"/>
      <c r="G26" s="221"/>
      <c r="H26" s="221"/>
      <c r="I26" s="221"/>
      <c r="J26" s="221"/>
      <c r="K26" s="221"/>
      <c r="L26" s="221"/>
      <c r="M26" s="222"/>
      <c r="N26" s="222"/>
      <c r="O26" s="222"/>
      <c r="Q26" s="223"/>
      <c r="R26" s="224"/>
      <c r="S26" s="225"/>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row>
    <row r="27" spans="1:66" ht="20.25">
      <c r="A27" s="220"/>
      <c r="B27" s="221" t="s">
        <v>312</v>
      </c>
      <c r="C27" s="221"/>
      <c r="D27" s="221"/>
      <c r="E27" s="221"/>
      <c r="F27" s="221"/>
      <c r="G27" s="221"/>
      <c r="H27" s="221"/>
      <c r="I27" s="221"/>
      <c r="J27" s="221"/>
      <c r="K27" s="221"/>
      <c r="L27" s="221"/>
      <c r="M27" s="222"/>
      <c r="N27" s="222"/>
      <c r="O27" s="222"/>
      <c r="Q27" s="223"/>
      <c r="R27" s="224"/>
      <c r="S27" s="225"/>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row>
    <row r="28" spans="1:66" ht="20.25">
      <c r="A28" s="220"/>
      <c r="B28" s="221" t="s">
        <v>313</v>
      </c>
      <c r="C28" s="221"/>
      <c r="D28" s="221"/>
      <c r="E28" s="221"/>
      <c r="F28" s="221"/>
      <c r="G28" s="221"/>
      <c r="H28" s="221"/>
      <c r="I28" s="221"/>
      <c r="J28" s="221"/>
      <c r="K28" s="221"/>
      <c r="L28" s="221"/>
      <c r="M28" s="222"/>
      <c r="N28" s="222"/>
      <c r="O28" s="222"/>
      <c r="Q28" s="223"/>
      <c r="R28" s="224"/>
      <c r="S28" s="225"/>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row>
    <row r="29" spans="1:66" ht="20.25">
      <c r="A29" s="220"/>
      <c r="B29" s="221" t="s">
        <v>314</v>
      </c>
      <c r="C29" s="221"/>
      <c r="D29" s="221"/>
      <c r="E29" s="221"/>
      <c r="F29" s="221"/>
      <c r="G29" s="221"/>
      <c r="H29" s="221"/>
      <c r="I29" s="221"/>
      <c r="J29" s="221"/>
      <c r="K29" s="221"/>
      <c r="L29" s="221"/>
      <c r="M29" s="222"/>
      <c r="N29" s="222"/>
      <c r="O29" s="222"/>
      <c r="Q29" s="223"/>
      <c r="R29" s="224"/>
      <c r="S29" s="230" t="s">
        <v>371</v>
      </c>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row>
    <row r="30" spans="1:66" ht="20.25">
      <c r="A30" s="220"/>
      <c r="F30" s="227" t="s">
        <v>370</v>
      </c>
      <c r="G30" s="221" t="s">
        <v>315</v>
      </c>
      <c r="H30" s="228">
        <v>0.35</v>
      </c>
      <c r="I30" s="221"/>
      <c r="J30" s="221"/>
      <c r="K30" s="221"/>
      <c r="L30" s="221"/>
      <c r="M30" s="222"/>
      <c r="N30" s="222"/>
      <c r="O30" s="222"/>
      <c r="Q30" s="223"/>
      <c r="R30" s="224"/>
      <c r="S30" s="225"/>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row>
    <row r="31" spans="1:66" ht="18">
      <c r="A31" s="220"/>
      <c r="F31" s="221"/>
      <c r="G31" s="221" t="s">
        <v>316</v>
      </c>
      <c r="H31" s="229">
        <f>ROUND(D19,4)</f>
        <v>4.7899999999999998E-2</v>
      </c>
      <c r="I31" s="221" t="s">
        <v>317</v>
      </c>
      <c r="J31" s="221"/>
      <c r="K31" s="221"/>
    </row>
    <row r="32" spans="1:66" ht="18">
      <c r="A32" s="220"/>
      <c r="F32" s="221"/>
      <c r="G32" s="221" t="s">
        <v>318</v>
      </c>
      <c r="H32" s="228">
        <v>0</v>
      </c>
      <c r="I32" s="221" t="s">
        <v>319</v>
      </c>
      <c r="J32" s="221"/>
      <c r="K32" s="221"/>
    </row>
  </sheetData>
  <pageMargins left="0.17" right="0.17" top="1.25" bottom="0.75" header="0.3" footer="0.3"/>
  <pageSetup scale="6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D13" sqref="D13:D25"/>
    </sheetView>
  </sheetViews>
  <sheetFormatPr defaultRowHeight="12.75"/>
  <cols>
    <col min="1" max="1" width="2.7109375" style="231" customWidth="1"/>
    <col min="2" max="2" width="20.7109375" style="231" customWidth="1"/>
    <col min="3" max="3" width="3.7109375" style="232" customWidth="1"/>
    <col min="4" max="4" width="20.7109375" style="231" customWidth="1"/>
    <col min="5" max="16384" width="9.140625" style="231"/>
  </cols>
  <sheetData>
    <row r="1" spans="1:4">
      <c r="C1" s="231"/>
      <c r="D1" s="239" t="s">
        <v>374</v>
      </c>
    </row>
    <row r="2" spans="1:4">
      <c r="C2" s="231"/>
    </row>
    <row r="3" spans="1:4">
      <c r="C3" s="231"/>
    </row>
    <row r="4" spans="1:4">
      <c r="A4" s="11" t="s">
        <v>22</v>
      </c>
      <c r="B4" s="238"/>
      <c r="C4" s="237"/>
      <c r="D4" s="237"/>
    </row>
    <row r="5" spans="1:4">
      <c r="A5" s="11" t="s">
        <v>322</v>
      </c>
      <c r="B5" s="238"/>
      <c r="C5" s="237"/>
      <c r="D5" s="237"/>
    </row>
    <row r="6" spans="1:4">
      <c r="A6" s="11" t="s">
        <v>376</v>
      </c>
      <c r="B6" s="238"/>
      <c r="C6" s="237"/>
      <c r="D6" s="237"/>
    </row>
    <row r="7" spans="1:4">
      <c r="A7" s="238" t="s">
        <v>372</v>
      </c>
      <c r="B7" s="238"/>
      <c r="C7" s="237"/>
      <c r="D7" s="237"/>
    </row>
    <row r="8" spans="1:4">
      <c r="A8" s="238" t="s">
        <v>285</v>
      </c>
      <c r="B8" s="238"/>
      <c r="C8" s="237"/>
      <c r="D8" s="237"/>
    </row>
    <row r="11" spans="1:4">
      <c r="D11" s="236" t="s">
        <v>1</v>
      </c>
    </row>
    <row r="12" spans="1:4">
      <c r="A12" s="231" t="s">
        <v>375</v>
      </c>
      <c r="D12" s="232"/>
    </row>
    <row r="13" spans="1:4">
      <c r="B13" s="234" t="s">
        <v>148</v>
      </c>
      <c r="C13" s="235"/>
      <c r="D13" s="235">
        <v>538254</v>
      </c>
    </row>
    <row r="14" spans="1:4">
      <c r="B14" s="234" t="s">
        <v>149</v>
      </c>
      <c r="D14" s="232">
        <v>585135</v>
      </c>
    </row>
    <row r="15" spans="1:4">
      <c r="B15" s="231" t="s">
        <v>150</v>
      </c>
      <c r="D15" s="232">
        <v>672834</v>
      </c>
    </row>
    <row r="16" spans="1:4">
      <c r="B16" s="231" t="s">
        <v>151</v>
      </c>
      <c r="D16" s="232">
        <v>829071</v>
      </c>
    </row>
    <row r="17" spans="1:4">
      <c r="B17" s="231" t="s">
        <v>152</v>
      </c>
      <c r="D17" s="232">
        <v>923609</v>
      </c>
    </row>
    <row r="18" spans="1:4">
      <c r="B18" s="231" t="s">
        <v>153</v>
      </c>
      <c r="D18" s="232">
        <v>1092222</v>
      </c>
    </row>
    <row r="19" spans="1:4">
      <c r="B19" s="231" t="s">
        <v>154</v>
      </c>
      <c r="D19" s="232">
        <v>1186426</v>
      </c>
    </row>
    <row r="20" spans="1:4">
      <c r="B20" s="231" t="s">
        <v>155</v>
      </c>
      <c r="D20" s="232">
        <v>1337478</v>
      </c>
    </row>
    <row r="21" spans="1:4">
      <c r="B21" s="231" t="s">
        <v>156</v>
      </c>
      <c r="D21" s="232">
        <v>1727295</v>
      </c>
    </row>
    <row r="22" spans="1:4">
      <c r="B22" s="231" t="s">
        <v>157</v>
      </c>
      <c r="D22" s="232">
        <v>2048513</v>
      </c>
    </row>
    <row r="23" spans="1:4">
      <c r="B23" s="231" t="s">
        <v>158</v>
      </c>
      <c r="D23" s="232">
        <v>2214577</v>
      </c>
    </row>
    <row r="24" spans="1:4">
      <c r="B24" s="231" t="s">
        <v>159</v>
      </c>
      <c r="D24" s="232">
        <v>2507013</v>
      </c>
    </row>
    <row r="25" spans="1:4">
      <c r="B25" s="231" t="s">
        <v>160</v>
      </c>
      <c r="D25" s="232">
        <v>2637128</v>
      </c>
    </row>
    <row r="26" spans="1:4" ht="13.5" thickBot="1">
      <c r="A26" s="231" t="s">
        <v>161</v>
      </c>
      <c r="D26" s="233">
        <f>ROUND(AVERAGE(D13:D25),0)</f>
        <v>1407658</v>
      </c>
    </row>
    <row r="27" spans="1:4" ht="13.5" thickTop="1"/>
  </sheetData>
  <printOptions horizontalCentered="1"/>
  <pageMargins left="0.17" right="0.17" top="1"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election activeCell="M1" sqref="M1"/>
    </sheetView>
  </sheetViews>
  <sheetFormatPr defaultRowHeight="12.75"/>
  <cols>
    <col min="1" max="1" width="14.140625" style="242" bestFit="1" customWidth="1"/>
    <col min="2" max="2" width="1.42578125" style="242" customWidth="1"/>
    <col min="3" max="3" width="11.7109375" style="242" bestFit="1" customWidth="1"/>
    <col min="4" max="4" width="1.28515625" style="242" customWidth="1"/>
    <col min="5" max="5" width="9.28515625" style="242" bestFit="1" customWidth="1"/>
    <col min="6" max="6" width="1" style="242" customWidth="1"/>
    <col min="7" max="7" width="14.42578125" style="242" bestFit="1" customWidth="1"/>
    <col min="8" max="8" width="1" style="242" customWidth="1"/>
    <col min="9" max="9" width="14.42578125" style="242" bestFit="1" customWidth="1"/>
    <col min="10" max="10" width="1" style="242" customWidth="1"/>
    <col min="11" max="11" width="13.5703125" style="242" bestFit="1" customWidth="1"/>
    <col min="12" max="12" width="1.28515625" style="242" customWidth="1"/>
    <col min="13" max="13" width="11.7109375" style="242" bestFit="1" customWidth="1"/>
    <col min="14" max="14" width="13.42578125" style="242" bestFit="1" customWidth="1"/>
    <col min="15" max="16" width="16.5703125" style="242" bestFit="1" customWidth="1"/>
    <col min="17" max="18" width="13.42578125" style="242" bestFit="1" customWidth="1"/>
    <col min="19" max="19" width="10.7109375" style="242" bestFit="1" customWidth="1"/>
    <col min="20" max="20" width="13.42578125" style="242" bestFit="1" customWidth="1"/>
    <col min="21" max="16384" width="9.140625" style="242"/>
  </cols>
  <sheetData>
    <row r="1" spans="1:20">
      <c r="M1" s="239" t="s">
        <v>388</v>
      </c>
      <c r="N1" s="241"/>
      <c r="O1" s="241"/>
      <c r="P1" s="241"/>
      <c r="Q1" s="241"/>
      <c r="R1" s="241"/>
      <c r="S1" s="241"/>
      <c r="T1" s="241"/>
    </row>
    <row r="2" spans="1:20">
      <c r="N2" s="241"/>
      <c r="O2" s="241"/>
      <c r="P2" s="241"/>
      <c r="Q2" s="241"/>
      <c r="R2" s="241"/>
      <c r="S2" s="241"/>
      <c r="T2" s="241"/>
    </row>
    <row r="3" spans="1:20">
      <c r="A3" s="240" t="s">
        <v>22</v>
      </c>
      <c r="B3" s="240"/>
      <c r="C3" s="240"/>
      <c r="D3" s="240"/>
      <c r="E3" s="240"/>
      <c r="F3" s="240"/>
      <c r="G3" s="240"/>
      <c r="H3" s="240"/>
      <c r="I3" s="240"/>
      <c r="J3" s="240"/>
      <c r="K3" s="240"/>
      <c r="L3" s="240"/>
      <c r="M3" s="240"/>
      <c r="N3" s="241"/>
      <c r="O3" s="241"/>
      <c r="P3" s="241"/>
      <c r="Q3" s="241"/>
      <c r="R3" s="241"/>
      <c r="S3" s="241"/>
      <c r="T3" s="241"/>
    </row>
    <row r="4" spans="1:20">
      <c r="A4" s="240" t="s">
        <v>377</v>
      </c>
      <c r="B4" s="240"/>
      <c r="C4" s="240"/>
      <c r="D4" s="240"/>
      <c r="E4" s="240"/>
      <c r="F4" s="240"/>
      <c r="G4" s="240"/>
      <c r="H4" s="240"/>
      <c r="I4" s="240"/>
      <c r="J4" s="240"/>
      <c r="K4" s="240"/>
      <c r="L4" s="240"/>
      <c r="M4" s="240"/>
    </row>
    <row r="5" spans="1:20">
      <c r="A5" s="243"/>
      <c r="B5" s="243"/>
      <c r="C5" s="243"/>
      <c r="D5" s="243"/>
      <c r="E5" s="243"/>
      <c r="F5" s="243"/>
      <c r="G5" s="243"/>
      <c r="H5" s="243"/>
      <c r="I5" s="243"/>
      <c r="J5" s="243"/>
      <c r="K5" s="243"/>
      <c r="L5" s="243"/>
      <c r="M5" s="243"/>
      <c r="O5" s="243"/>
    </row>
    <row r="6" spans="1:20">
      <c r="A6" s="243"/>
      <c r="B6" s="243"/>
      <c r="C6" s="244" t="s">
        <v>308</v>
      </c>
      <c r="D6" s="244"/>
      <c r="E6" s="244" t="s">
        <v>378</v>
      </c>
      <c r="F6" s="244"/>
      <c r="G6" s="244" t="s">
        <v>379</v>
      </c>
      <c r="H6" s="244"/>
      <c r="I6" s="244" t="s">
        <v>71</v>
      </c>
      <c r="J6" s="244"/>
      <c r="K6" s="244" t="s">
        <v>308</v>
      </c>
      <c r="L6" s="244"/>
      <c r="M6" s="244" t="s">
        <v>378</v>
      </c>
      <c r="O6" s="248"/>
      <c r="P6" s="249"/>
    </row>
    <row r="7" spans="1:20">
      <c r="A7" s="243"/>
      <c r="B7" s="243"/>
      <c r="C7" s="245" t="s">
        <v>380</v>
      </c>
      <c r="D7" s="244"/>
      <c r="E7" s="245" t="s">
        <v>381</v>
      </c>
      <c r="F7" s="244"/>
      <c r="G7" s="245" t="s">
        <v>382</v>
      </c>
      <c r="H7" s="244"/>
      <c r="I7" s="245">
        <v>123.1</v>
      </c>
      <c r="J7" s="244"/>
      <c r="K7" s="245" t="s">
        <v>383</v>
      </c>
      <c r="L7" s="244"/>
      <c r="M7" s="245" t="s">
        <v>384</v>
      </c>
      <c r="O7" s="251"/>
      <c r="P7" s="249"/>
    </row>
    <row r="8" spans="1:20">
      <c r="A8" s="246" t="s">
        <v>148</v>
      </c>
      <c r="B8" s="243"/>
      <c r="C8" s="247">
        <v>1503033.78</v>
      </c>
      <c r="D8" s="247"/>
      <c r="E8" s="247">
        <v>57083.33</v>
      </c>
      <c r="F8" s="247"/>
      <c r="G8" s="247">
        <v>2633248256.0900002</v>
      </c>
      <c r="H8" s="247"/>
      <c r="I8" s="247">
        <v>2253293721.4899998</v>
      </c>
      <c r="J8" s="247"/>
      <c r="K8" s="247">
        <v>356867451.88999999</v>
      </c>
      <c r="L8" s="247"/>
      <c r="M8" s="247">
        <v>15000000</v>
      </c>
      <c r="O8" s="251"/>
      <c r="P8" s="249"/>
    </row>
    <row r="9" spans="1:20">
      <c r="A9" s="246" t="s">
        <v>149</v>
      </c>
      <c r="B9" s="243"/>
      <c r="C9" s="250">
        <v>1494692.81</v>
      </c>
      <c r="D9" s="250"/>
      <c r="E9" s="250">
        <v>57084.1</v>
      </c>
      <c r="F9" s="250"/>
      <c r="G9" s="250">
        <v>2647152370.2700005</v>
      </c>
      <c r="H9" s="250"/>
      <c r="I9" s="250">
        <v>2260056472.7599998</v>
      </c>
      <c r="J9" s="250"/>
      <c r="K9" s="250">
        <v>334866845.10000002</v>
      </c>
      <c r="L9" s="250"/>
      <c r="M9" s="250">
        <v>15000000</v>
      </c>
      <c r="O9" s="251"/>
      <c r="P9" s="249"/>
    </row>
    <row r="10" spans="1:20">
      <c r="A10" s="252" t="s">
        <v>150</v>
      </c>
      <c r="B10" s="243"/>
      <c r="C10" s="250">
        <v>1488088.66</v>
      </c>
      <c r="D10" s="250"/>
      <c r="E10" s="250">
        <v>57083.33</v>
      </c>
      <c r="F10" s="250"/>
      <c r="G10" s="250">
        <v>2638350945.3699999</v>
      </c>
      <c r="H10" s="250"/>
      <c r="I10" s="250">
        <v>2253897489.5599999</v>
      </c>
      <c r="J10" s="250"/>
      <c r="K10" s="250">
        <v>338866241.92000002</v>
      </c>
      <c r="L10" s="250"/>
      <c r="M10" s="250">
        <v>15000000</v>
      </c>
      <c r="O10" s="251"/>
      <c r="P10" s="249"/>
    </row>
    <row r="11" spans="1:20">
      <c r="A11" s="252" t="s">
        <v>151</v>
      </c>
      <c r="B11" s="243"/>
      <c r="C11" s="250">
        <v>1492523.33</v>
      </c>
      <c r="D11" s="250"/>
      <c r="E11" s="250">
        <v>57083.33</v>
      </c>
      <c r="F11" s="250"/>
      <c r="G11" s="250">
        <v>2648233667.25</v>
      </c>
      <c r="H11" s="250"/>
      <c r="I11" s="250">
        <v>2254862038.4499998</v>
      </c>
      <c r="J11" s="250"/>
      <c r="K11" s="250">
        <v>352865398.88999999</v>
      </c>
      <c r="L11" s="250"/>
      <c r="M11" s="250">
        <v>15000000</v>
      </c>
      <c r="O11" s="251"/>
      <c r="P11" s="249"/>
    </row>
    <row r="12" spans="1:20">
      <c r="A12" s="252" t="s">
        <v>152</v>
      </c>
      <c r="B12" s="243"/>
      <c r="C12" s="250">
        <v>1488337.68</v>
      </c>
      <c r="D12" s="250"/>
      <c r="E12" s="250">
        <v>57084.09</v>
      </c>
      <c r="F12" s="250"/>
      <c r="G12" s="250">
        <v>2658267782.9000006</v>
      </c>
      <c r="H12" s="250"/>
      <c r="I12" s="250">
        <v>2262642874.9899998</v>
      </c>
      <c r="J12" s="250"/>
      <c r="K12" s="250">
        <v>327364788.33999997</v>
      </c>
      <c r="L12" s="250"/>
      <c r="M12" s="250">
        <v>15000000</v>
      </c>
      <c r="O12" s="248"/>
      <c r="P12" s="249"/>
    </row>
    <row r="13" spans="1:20">
      <c r="A13" s="252" t="s">
        <v>153</v>
      </c>
      <c r="B13" s="243"/>
      <c r="C13" s="250">
        <v>1487701.15</v>
      </c>
      <c r="D13" s="250"/>
      <c r="E13" s="250">
        <v>57083.33</v>
      </c>
      <c r="F13" s="250"/>
      <c r="G13" s="250">
        <v>2649185421.0599999</v>
      </c>
      <c r="H13" s="250"/>
      <c r="I13" s="250">
        <v>2259402309.0099998</v>
      </c>
      <c r="J13" s="250"/>
      <c r="K13" s="250">
        <v>329864095.99000001</v>
      </c>
      <c r="L13" s="250"/>
      <c r="M13" s="250">
        <v>15000000</v>
      </c>
      <c r="O13" s="251"/>
      <c r="P13" s="249"/>
    </row>
    <row r="14" spans="1:20">
      <c r="A14" s="252" t="s">
        <v>154</v>
      </c>
      <c r="B14" s="243"/>
      <c r="C14" s="250">
        <v>1488453.71</v>
      </c>
      <c r="D14" s="250"/>
      <c r="E14" s="250">
        <v>57083.33</v>
      </c>
      <c r="F14" s="250"/>
      <c r="G14" s="250">
        <v>2663720446.75</v>
      </c>
      <c r="H14" s="250"/>
      <c r="I14" s="250">
        <v>2273154306.4499998</v>
      </c>
      <c r="J14" s="250"/>
      <c r="K14" s="250">
        <v>336363478.81</v>
      </c>
      <c r="L14" s="250"/>
      <c r="M14" s="250">
        <v>15000000</v>
      </c>
      <c r="O14" s="251"/>
      <c r="P14" s="249"/>
    </row>
    <row r="15" spans="1:20">
      <c r="A15" s="252" t="s">
        <v>155</v>
      </c>
      <c r="B15" s="243"/>
      <c r="C15" s="250">
        <v>1496844.71</v>
      </c>
      <c r="D15" s="250"/>
      <c r="E15" s="250">
        <v>57084.07</v>
      </c>
      <c r="F15" s="250"/>
      <c r="G15" s="250">
        <v>2686494138.6500006</v>
      </c>
      <c r="H15" s="250"/>
      <c r="I15" s="250">
        <v>2291601642</v>
      </c>
      <c r="J15" s="250"/>
      <c r="K15" s="250">
        <v>366362780.00999999</v>
      </c>
      <c r="L15" s="250"/>
      <c r="M15" s="250">
        <v>15000000</v>
      </c>
      <c r="O15" s="251"/>
      <c r="P15" s="249"/>
    </row>
    <row r="16" spans="1:20">
      <c r="A16" s="252" t="s">
        <v>156</v>
      </c>
      <c r="B16" s="243"/>
      <c r="C16" s="250">
        <v>1500632.68</v>
      </c>
      <c r="D16" s="250"/>
      <c r="E16" s="250">
        <v>57083.31</v>
      </c>
      <c r="F16" s="250"/>
      <c r="G16" s="250">
        <v>2678560786.1400003</v>
      </c>
      <c r="H16" s="250"/>
      <c r="I16" s="250">
        <v>2288804768.8600001</v>
      </c>
      <c r="J16" s="250"/>
      <c r="K16" s="250">
        <v>385362156.12</v>
      </c>
      <c r="L16" s="250"/>
      <c r="M16" s="250">
        <v>15000000</v>
      </c>
      <c r="O16" s="251"/>
      <c r="P16" s="249"/>
    </row>
    <row r="17" spans="1:16">
      <c r="A17" s="252" t="s">
        <v>157</v>
      </c>
      <c r="B17" s="243"/>
      <c r="C17" s="250">
        <v>1538080.11</v>
      </c>
      <c r="D17" s="250"/>
      <c r="E17" s="250">
        <v>57083.33</v>
      </c>
      <c r="F17" s="250"/>
      <c r="G17" s="250">
        <v>2716593015.1100001</v>
      </c>
      <c r="H17" s="250"/>
      <c r="I17" s="250">
        <v>2324007616.3499999</v>
      </c>
      <c r="J17" s="250"/>
      <c r="K17" s="250">
        <v>400361529.05000001</v>
      </c>
      <c r="L17" s="250"/>
      <c r="M17" s="250">
        <v>15000000</v>
      </c>
      <c r="O17" s="251"/>
      <c r="P17" s="249"/>
    </row>
    <row r="18" spans="1:16">
      <c r="A18" s="252" t="s">
        <v>158</v>
      </c>
      <c r="B18" s="243"/>
      <c r="C18" s="250">
        <v>1550207.61</v>
      </c>
      <c r="D18" s="250"/>
      <c r="E18" s="250">
        <v>57084.07</v>
      </c>
      <c r="F18" s="250"/>
      <c r="G18" s="250">
        <v>2756412046.6199999</v>
      </c>
      <c r="H18" s="250"/>
      <c r="I18" s="250">
        <v>2361921764.4499998</v>
      </c>
      <c r="J18" s="250"/>
      <c r="K18" s="250">
        <v>419360820.63</v>
      </c>
      <c r="L18" s="250"/>
      <c r="M18" s="250">
        <v>15000000</v>
      </c>
      <c r="O18" s="58"/>
      <c r="P18" s="249"/>
    </row>
    <row r="19" spans="1:16">
      <c r="A19" s="252" t="s">
        <v>159</v>
      </c>
      <c r="B19" s="243"/>
      <c r="C19" s="250">
        <v>1554257.52</v>
      </c>
      <c r="D19" s="250"/>
      <c r="E19" s="250">
        <v>57083.33</v>
      </c>
      <c r="F19" s="250"/>
      <c r="G19" s="250">
        <v>2758617982.2200003</v>
      </c>
      <c r="H19" s="250"/>
      <c r="I19" s="250">
        <v>2364414873.6999998</v>
      </c>
      <c r="J19" s="250"/>
      <c r="K19" s="250">
        <v>458360186.75</v>
      </c>
      <c r="L19" s="250"/>
      <c r="M19" s="250">
        <v>15000000</v>
      </c>
    </row>
    <row r="20" spans="1:16">
      <c r="A20" s="252" t="s">
        <v>160</v>
      </c>
      <c r="B20" s="243"/>
      <c r="C20" s="253">
        <v>1560474.58</v>
      </c>
      <c r="D20" s="254"/>
      <c r="E20" s="253">
        <v>57083.33</v>
      </c>
      <c r="F20" s="250"/>
      <c r="G20" s="250">
        <v>2808164204.4300003</v>
      </c>
      <c r="H20" s="250"/>
      <c r="I20" s="250">
        <v>2380828521.04</v>
      </c>
      <c r="J20" s="250"/>
      <c r="K20" s="250">
        <v>434705971.70999998</v>
      </c>
      <c r="L20" s="250"/>
      <c r="M20" s="250">
        <v>15000000</v>
      </c>
    </row>
    <row r="21" spans="1:16" ht="13.5" thickBot="1">
      <c r="A21" s="255" t="s">
        <v>385</v>
      </c>
      <c r="B21" s="243"/>
      <c r="C21" s="256">
        <f>SUM(C9:C20)</f>
        <v>18140294.549999997</v>
      </c>
      <c r="D21" s="247"/>
      <c r="E21" s="256">
        <f>SUM(E9:E20)</f>
        <v>685002.95</v>
      </c>
      <c r="F21" s="243"/>
      <c r="G21" s="243"/>
      <c r="H21" s="243"/>
      <c r="I21" s="243"/>
      <c r="J21" s="243"/>
      <c r="K21" s="243"/>
      <c r="L21" s="243"/>
      <c r="M21" s="243"/>
    </row>
    <row r="22" spans="1:16" ht="13.5" thickTop="1">
      <c r="A22" s="257"/>
      <c r="B22" s="243"/>
      <c r="C22" s="243"/>
      <c r="D22" s="243"/>
      <c r="E22" s="243"/>
      <c r="F22" s="243"/>
      <c r="G22" s="243"/>
      <c r="H22" s="243"/>
      <c r="I22" s="243"/>
      <c r="J22" s="243"/>
      <c r="K22" s="243"/>
      <c r="L22" s="243"/>
      <c r="M22" s="243"/>
    </row>
    <row r="23" spans="1:16" ht="13.5" thickBot="1">
      <c r="A23" s="257" t="s">
        <v>386</v>
      </c>
      <c r="B23" s="243"/>
      <c r="C23" s="243"/>
      <c r="D23" s="243"/>
      <c r="E23" s="243"/>
      <c r="F23" s="243"/>
      <c r="G23" s="256">
        <f>AVERAGE(G8:G20)</f>
        <v>2687923158.6815386</v>
      </c>
      <c r="H23" s="247"/>
      <c r="I23" s="256">
        <f>AVERAGE(I8:I20)</f>
        <v>2294529876.8546152</v>
      </c>
      <c r="J23" s="247"/>
      <c r="K23" s="256">
        <f>AVERAGE(K8:K20)</f>
        <v>372428595.7853846</v>
      </c>
      <c r="L23" s="247"/>
      <c r="M23" s="256">
        <f>AVERAGE(M8:M20)</f>
        <v>15000000</v>
      </c>
    </row>
    <row r="24" spans="1:16" ht="13.5" thickTop="1">
      <c r="A24" s="258"/>
    </row>
    <row r="25" spans="1:16">
      <c r="A25" s="258" t="s">
        <v>387</v>
      </c>
    </row>
    <row r="26" spans="1:16">
      <c r="A26" s="258"/>
    </row>
  </sheetData>
  <printOptions horizontalCentered="1"/>
  <pageMargins left="0.17" right="0.17" top="1"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activeCell="H40" sqref="H40"/>
    </sheetView>
  </sheetViews>
  <sheetFormatPr defaultRowHeight="12.75"/>
  <cols>
    <col min="1" max="1" width="9" style="242" customWidth="1"/>
    <col min="2" max="2" width="2.7109375" style="242" customWidth="1"/>
    <col min="3" max="3" width="29.42578125" style="242" customWidth="1"/>
    <col min="4" max="4" width="9.140625" style="242"/>
    <col min="5" max="5" width="14" style="261" bestFit="1" customWidth="1"/>
    <col min="6" max="16384" width="9.140625" style="242"/>
  </cols>
  <sheetData>
    <row r="1" spans="1:5">
      <c r="E1" s="239" t="s">
        <v>393</v>
      </c>
    </row>
    <row r="3" spans="1:5">
      <c r="A3" s="11" t="s">
        <v>22</v>
      </c>
      <c r="B3" s="11"/>
      <c r="C3" s="11"/>
      <c r="D3" s="11"/>
      <c r="E3" s="259"/>
    </row>
    <row r="4" spans="1:5">
      <c r="A4" s="11" t="s">
        <v>322</v>
      </c>
      <c r="B4" s="11"/>
      <c r="C4" s="11"/>
      <c r="D4" s="11"/>
      <c r="E4" s="259"/>
    </row>
    <row r="5" spans="1:5">
      <c r="A5" s="11" t="s">
        <v>394</v>
      </c>
      <c r="B5" s="11"/>
      <c r="C5" s="11"/>
      <c r="D5" s="11"/>
      <c r="E5" s="259"/>
    </row>
    <row r="6" spans="1:5">
      <c r="A6" s="11" t="s">
        <v>389</v>
      </c>
      <c r="B6" s="11"/>
      <c r="C6" s="11"/>
      <c r="D6" s="11"/>
      <c r="E6" s="259"/>
    </row>
    <row r="10" spans="1:5">
      <c r="A10" s="260">
        <v>4540.0079999999998</v>
      </c>
      <c r="B10" s="242" t="s">
        <v>390</v>
      </c>
    </row>
    <row r="11" spans="1:5">
      <c r="C11" s="242" t="s">
        <v>234</v>
      </c>
      <c r="E11" s="262">
        <v>-1807969.5</v>
      </c>
    </row>
    <row r="12" spans="1:5">
      <c r="C12" s="242" t="s">
        <v>32</v>
      </c>
      <c r="E12" s="261">
        <v>-22118.25</v>
      </c>
    </row>
    <row r="13" spans="1:5">
      <c r="E13" s="263">
        <f>SUM(E11:E12)</f>
        <v>-1830087.75</v>
      </c>
    </row>
    <row r="15" spans="1:5">
      <c r="A15" s="242" t="s">
        <v>391</v>
      </c>
      <c r="E15" s="264">
        <v>-3587137.8699999996</v>
      </c>
    </row>
    <row r="17" spans="1:5" ht="13.5" thickBot="1">
      <c r="A17" s="242" t="s">
        <v>392</v>
      </c>
      <c r="E17" s="265">
        <f>E13+E15</f>
        <v>-5417225.6199999992</v>
      </c>
    </row>
    <row r="18" spans="1:5" ht="13.5" thickTop="1"/>
  </sheetData>
  <printOptions horizontalCentered="1"/>
  <pageMargins left="0.17" right="0.17" top="1"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election activeCell="H25" sqref="H25"/>
    </sheetView>
  </sheetViews>
  <sheetFormatPr defaultRowHeight="12.75"/>
  <cols>
    <col min="1" max="16384" width="9.140625" style="300"/>
  </cols>
  <sheetData>
    <row r="1" spans="1:4">
      <c r="D1" s="306" t="s">
        <v>445</v>
      </c>
    </row>
    <row r="3" spans="1:4">
      <c r="A3" s="11" t="s">
        <v>22</v>
      </c>
      <c r="B3" s="11"/>
      <c r="C3" s="11"/>
      <c r="D3" s="11"/>
    </row>
    <row r="4" spans="1:4">
      <c r="A4" s="11" t="s">
        <v>322</v>
      </c>
      <c r="B4" s="11"/>
      <c r="C4" s="11"/>
      <c r="D4" s="11"/>
    </row>
    <row r="5" spans="1:4">
      <c r="A5" s="11" t="s">
        <v>446</v>
      </c>
      <c r="B5" s="11"/>
      <c r="C5" s="11"/>
      <c r="D5" s="11"/>
    </row>
    <row r="6" spans="1:4">
      <c r="A6" s="11" t="s">
        <v>389</v>
      </c>
      <c r="B6" s="11"/>
      <c r="C6" s="11"/>
      <c r="D6" s="11"/>
    </row>
    <row r="9" spans="1:4">
      <c r="D9" s="307">
        <v>2013</v>
      </c>
    </row>
    <row r="10" spans="1:4">
      <c r="A10" s="300" t="s">
        <v>447</v>
      </c>
      <c r="D10" s="301">
        <v>516170</v>
      </c>
    </row>
    <row r="11" spans="1:4">
      <c r="A11" s="300" t="s">
        <v>150</v>
      </c>
      <c r="D11" s="301">
        <v>481484</v>
      </c>
    </row>
    <row r="12" spans="1:4">
      <c r="A12" s="300" t="s">
        <v>151</v>
      </c>
      <c r="D12" s="301">
        <v>450925</v>
      </c>
    </row>
    <row r="13" spans="1:4">
      <c r="A13" s="300" t="s">
        <v>152</v>
      </c>
      <c r="D13" s="301">
        <v>425338</v>
      </c>
    </row>
    <row r="14" spans="1:4">
      <c r="A14" s="300" t="s">
        <v>153</v>
      </c>
      <c r="D14" s="301">
        <v>397924</v>
      </c>
    </row>
    <row r="15" spans="1:4">
      <c r="A15" s="300" t="s">
        <v>154</v>
      </c>
      <c r="D15" s="301">
        <v>455554</v>
      </c>
    </row>
    <row r="16" spans="1:4">
      <c r="A16" s="300" t="s">
        <v>155</v>
      </c>
      <c r="D16" s="301">
        <v>539454</v>
      </c>
    </row>
    <row r="17" spans="1:4">
      <c r="A17" s="300" t="s">
        <v>156</v>
      </c>
      <c r="D17" s="301">
        <v>546914</v>
      </c>
    </row>
    <row r="18" spans="1:4">
      <c r="A18" s="300" t="s">
        <v>157</v>
      </c>
      <c r="D18" s="301">
        <v>540529</v>
      </c>
    </row>
    <row r="19" spans="1:4">
      <c r="A19" s="300" t="s">
        <v>158</v>
      </c>
      <c r="D19" s="301">
        <v>431349</v>
      </c>
    </row>
    <row r="20" spans="1:4">
      <c r="A20" s="300" t="s">
        <v>159</v>
      </c>
      <c r="D20" s="301">
        <v>496446</v>
      </c>
    </row>
    <row r="21" spans="1:4">
      <c r="A21" s="300" t="s">
        <v>160</v>
      </c>
      <c r="D21" s="301">
        <v>559684</v>
      </c>
    </row>
    <row r="22" spans="1:4">
      <c r="A22" s="300" t="s">
        <v>448</v>
      </c>
      <c r="D22" s="308">
        <f>ROUND(AVERAGE(D10:D21),0)</f>
        <v>486814</v>
      </c>
    </row>
  </sheetData>
  <printOptions horizontalCentered="1"/>
  <pageMargins left="0.17" right="0.17" top="1" bottom="0.75" header="0.3" footer="0.3"/>
  <pageSetup orientation="portrait" r:id="rId1"/>
  <headerFooter>
    <oddFooter>&amp;C&amp;F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3"/>
  <sheetViews>
    <sheetView zoomScale="80" zoomScaleNormal="80" workbookViewId="0">
      <selection activeCell="J28" sqref="J28"/>
    </sheetView>
  </sheetViews>
  <sheetFormatPr defaultColWidth="9.140625" defaultRowHeight="15.75"/>
  <cols>
    <col min="1" max="1" width="7.7109375" style="310" customWidth="1"/>
    <col min="2" max="2" width="1.85546875" style="310" customWidth="1"/>
    <col min="3" max="3" width="55.28515625" style="310" customWidth="1"/>
    <col min="4" max="4" width="35.140625" style="310" customWidth="1"/>
    <col min="5" max="5" width="17.85546875" style="310" customWidth="1"/>
    <col min="6" max="6" width="7.7109375" style="310" customWidth="1"/>
    <col min="7" max="7" width="7.28515625" style="310" customWidth="1"/>
    <col min="8" max="8" width="13.7109375" style="310" customWidth="1"/>
    <col min="9" max="9" width="7.42578125" style="310" customWidth="1"/>
    <col min="10" max="10" width="16.42578125" style="310" customWidth="1"/>
    <col min="11" max="11" width="4.42578125" style="310" customWidth="1"/>
    <col min="12" max="12" width="11.140625" style="375" customWidth="1"/>
    <col min="13" max="13" width="0.85546875" style="310" customWidth="1"/>
    <col min="14" max="14" width="14.140625" style="310" customWidth="1"/>
    <col min="15" max="15" width="15.140625" style="310" customWidth="1"/>
    <col min="16" max="16" width="9.140625" style="310"/>
    <col min="17" max="17" width="16.5703125" style="310" bestFit="1" customWidth="1"/>
    <col min="18" max="16384" width="9.140625" style="310"/>
  </cols>
  <sheetData>
    <row r="1" spans="1:14">
      <c r="C1" s="311"/>
      <c r="D1" s="311"/>
      <c r="E1" s="312"/>
      <c r="F1" s="311"/>
      <c r="G1" s="311"/>
      <c r="H1" s="311"/>
      <c r="I1" s="313"/>
      <c r="J1" s="314"/>
      <c r="K1" s="314"/>
      <c r="L1" s="315"/>
    </row>
    <row r="2" spans="1:14">
      <c r="C2" s="311"/>
      <c r="D2" s="311"/>
      <c r="E2" s="312"/>
      <c r="F2" s="311"/>
      <c r="G2" s="311"/>
      <c r="H2" s="311"/>
      <c r="I2" s="313"/>
      <c r="J2" s="313"/>
      <c r="L2" s="316" t="s">
        <v>0</v>
      </c>
    </row>
    <row r="3" spans="1:14">
      <c r="C3" s="311"/>
      <c r="D3" s="311"/>
      <c r="E3" s="312"/>
      <c r="F3" s="311"/>
      <c r="G3" s="311"/>
      <c r="H3" s="311"/>
      <c r="I3" s="313"/>
      <c r="J3" s="313"/>
      <c r="K3" s="317"/>
      <c r="L3" s="318" t="s">
        <v>449</v>
      </c>
    </row>
    <row r="4" spans="1:14">
      <c r="C4" s="311"/>
      <c r="D4" s="311"/>
      <c r="E4" s="312"/>
      <c r="F4" s="311"/>
      <c r="G4" s="311"/>
      <c r="H4" s="311"/>
      <c r="I4" s="313"/>
      <c r="J4" s="313"/>
      <c r="K4" s="317"/>
      <c r="L4" s="319"/>
    </row>
    <row r="5" spans="1:14">
      <c r="C5" s="311" t="s">
        <v>450</v>
      </c>
      <c r="D5" s="311"/>
      <c r="E5" s="312" t="s">
        <v>451</v>
      </c>
      <c r="F5" s="311"/>
      <c r="G5" s="311"/>
      <c r="H5" s="311"/>
      <c r="I5" s="313"/>
      <c r="J5" s="320" t="s">
        <v>452</v>
      </c>
      <c r="K5" s="321"/>
      <c r="L5" s="321"/>
    </row>
    <row r="6" spans="1:14">
      <c r="C6" s="311"/>
      <c r="D6" s="322" t="s">
        <v>249</v>
      </c>
      <c r="E6" s="322" t="s">
        <v>453</v>
      </c>
      <c r="F6" s="322"/>
      <c r="G6" s="322"/>
      <c r="H6" s="322"/>
      <c r="I6" s="313"/>
      <c r="J6" s="313"/>
      <c r="K6" s="317"/>
      <c r="L6" s="319"/>
    </row>
    <row r="7" spans="1:14">
      <c r="C7" s="317"/>
      <c r="D7" s="317"/>
      <c r="E7" s="317"/>
      <c r="F7" s="317"/>
      <c r="G7" s="317"/>
      <c r="H7" s="317"/>
      <c r="I7" s="317"/>
      <c r="J7" s="317"/>
      <c r="K7" s="317"/>
      <c r="L7" s="319"/>
    </row>
    <row r="8" spans="1:14">
      <c r="A8" s="323"/>
      <c r="C8" s="317"/>
      <c r="D8" s="317"/>
      <c r="E8" s="324" t="s">
        <v>22</v>
      </c>
      <c r="F8" s="325"/>
      <c r="G8" s="325"/>
      <c r="H8" s="317"/>
      <c r="I8" s="317"/>
      <c r="J8" s="317"/>
      <c r="K8" s="317"/>
      <c r="L8" s="319"/>
    </row>
    <row r="9" spans="1:14">
      <c r="A9" s="323"/>
      <c r="C9" s="317"/>
      <c r="D9" s="317"/>
      <c r="E9" s="326"/>
      <c r="F9" s="317"/>
      <c r="G9" s="317"/>
      <c r="H9" s="317"/>
      <c r="I9" s="317"/>
      <c r="J9" s="317"/>
      <c r="K9" s="317"/>
      <c r="L9" s="319"/>
    </row>
    <row r="10" spans="1:14">
      <c r="A10" s="323" t="s">
        <v>454</v>
      </c>
      <c r="C10" s="317"/>
      <c r="D10" s="317"/>
      <c r="E10" s="326"/>
      <c r="F10" s="317"/>
      <c r="G10" s="317"/>
      <c r="H10" s="317"/>
      <c r="I10" s="317"/>
      <c r="J10" s="323" t="s">
        <v>264</v>
      </c>
      <c r="K10" s="317"/>
      <c r="L10" s="319"/>
      <c r="N10" s="327" t="s">
        <v>455</v>
      </c>
    </row>
    <row r="11" spans="1:14" ht="16.5" thickBot="1">
      <c r="A11" s="328" t="s">
        <v>456</v>
      </c>
      <c r="C11" s="317"/>
      <c r="D11" s="317"/>
      <c r="E11" s="317"/>
      <c r="F11" s="317"/>
      <c r="G11" s="317"/>
      <c r="H11" s="317"/>
      <c r="I11" s="317"/>
      <c r="J11" s="328" t="s">
        <v>457</v>
      </c>
      <c r="K11" s="317"/>
      <c r="L11" s="319"/>
      <c r="N11" s="329" t="s">
        <v>458</v>
      </c>
    </row>
    <row r="12" spans="1:14">
      <c r="A12" s="323">
        <v>1</v>
      </c>
      <c r="C12" s="317" t="s">
        <v>459</v>
      </c>
      <c r="D12" s="317"/>
      <c r="E12" s="330"/>
      <c r="F12" s="317"/>
      <c r="G12" s="317"/>
      <c r="H12" s="317"/>
      <c r="I12" s="317"/>
      <c r="J12" s="331">
        <f>+J225</f>
        <v>22407901.713214271</v>
      </c>
      <c r="K12" s="317"/>
      <c r="L12" s="319"/>
    </row>
    <row r="13" spans="1:14">
      <c r="A13" s="323"/>
      <c r="C13" s="317"/>
      <c r="D13" s="317"/>
      <c r="E13" s="317"/>
      <c r="F13" s="317"/>
      <c r="G13" s="317"/>
      <c r="H13" s="317"/>
      <c r="I13" s="317"/>
      <c r="J13" s="330"/>
      <c r="K13" s="317"/>
      <c r="L13" s="319"/>
    </row>
    <row r="14" spans="1:14">
      <c r="A14" s="323"/>
      <c r="C14" s="317"/>
      <c r="D14" s="317"/>
      <c r="E14" s="317"/>
      <c r="F14" s="317"/>
      <c r="G14" s="317"/>
      <c r="H14" s="317"/>
      <c r="I14" s="317"/>
      <c r="J14" s="330"/>
      <c r="K14" s="317"/>
      <c r="L14" s="319"/>
    </row>
    <row r="15" spans="1:14" ht="16.5" thickBot="1">
      <c r="A15" s="323" t="s">
        <v>249</v>
      </c>
      <c r="C15" s="332" t="s">
        <v>460</v>
      </c>
      <c r="D15" s="333" t="s">
        <v>461</v>
      </c>
      <c r="E15" s="328" t="s">
        <v>1</v>
      </c>
      <c r="F15" s="322"/>
      <c r="G15" s="334" t="s">
        <v>462</v>
      </c>
      <c r="H15" s="334"/>
      <c r="I15" s="317"/>
      <c r="J15" s="330"/>
      <c r="K15" s="317"/>
      <c r="L15" s="319"/>
    </row>
    <row r="16" spans="1:14">
      <c r="A16" s="323">
        <v>2</v>
      </c>
      <c r="C16" s="332" t="s">
        <v>463</v>
      </c>
      <c r="D16" s="322" t="s">
        <v>464</v>
      </c>
      <c r="E16" s="322">
        <f>J303</f>
        <v>1807970</v>
      </c>
      <c r="F16" s="322"/>
      <c r="G16" s="322" t="s">
        <v>465</v>
      </c>
      <c r="H16" s="335">
        <f>J251</f>
        <v>0.95241720635072447</v>
      </c>
      <c r="I16" s="322"/>
      <c r="J16" s="322">
        <f>+H16*E16</f>
        <v>1721941.7365659194</v>
      </c>
      <c r="K16" s="317"/>
      <c r="L16" s="319"/>
    </row>
    <row r="17" spans="1:17">
      <c r="A17" s="323">
        <v>3</v>
      </c>
      <c r="C17" s="332" t="s">
        <v>466</v>
      </c>
      <c r="D17" s="322" t="s">
        <v>467</v>
      </c>
      <c r="E17" s="322">
        <f>J310</f>
        <v>2508297</v>
      </c>
      <c r="F17" s="322"/>
      <c r="G17" s="322" t="str">
        <f t="shared" ref="G17:H19" si="0">+G16</f>
        <v>TP</v>
      </c>
      <c r="H17" s="335">
        <f t="shared" si="0"/>
        <v>0.95241720635072447</v>
      </c>
      <c r="I17" s="322"/>
      <c r="J17" s="322">
        <f>+H17*E17</f>
        <v>2388945.2214379031</v>
      </c>
      <c r="K17" s="317"/>
      <c r="L17" s="319"/>
    </row>
    <row r="18" spans="1:17">
      <c r="A18" s="323">
        <v>4</v>
      </c>
      <c r="C18" s="336" t="s">
        <v>468</v>
      </c>
      <c r="D18" s="322"/>
      <c r="E18" s="337">
        <v>0</v>
      </c>
      <c r="F18" s="322"/>
      <c r="G18" s="322" t="str">
        <f t="shared" si="0"/>
        <v>TP</v>
      </c>
      <c r="H18" s="335">
        <f t="shared" si="0"/>
        <v>0.95241720635072447</v>
      </c>
      <c r="I18" s="322"/>
      <c r="J18" s="322">
        <f>+H18*E18</f>
        <v>0</v>
      </c>
      <c r="K18" s="317"/>
      <c r="L18" s="319"/>
      <c r="N18" s="338"/>
      <c r="O18" s="339"/>
      <c r="P18" s="339"/>
      <c r="Q18" s="339"/>
    </row>
    <row r="19" spans="1:17" ht="16.5" thickBot="1">
      <c r="A19" s="323">
        <v>5</v>
      </c>
      <c r="C19" s="336" t="s">
        <v>469</v>
      </c>
      <c r="D19" s="322"/>
      <c r="E19" s="337">
        <v>0</v>
      </c>
      <c r="F19" s="322"/>
      <c r="G19" s="322" t="str">
        <f t="shared" si="0"/>
        <v>TP</v>
      </c>
      <c r="H19" s="335">
        <f t="shared" si="0"/>
        <v>0.95241720635072447</v>
      </c>
      <c r="I19" s="322"/>
      <c r="J19" s="340">
        <f>+H19*E19</f>
        <v>0</v>
      </c>
      <c r="K19" s="317"/>
      <c r="L19" s="319"/>
      <c r="N19" s="338"/>
      <c r="O19" s="339"/>
      <c r="P19" s="339"/>
      <c r="Q19" s="339"/>
    </row>
    <row r="20" spans="1:17">
      <c r="A20" s="323">
        <v>6</v>
      </c>
      <c r="C20" s="332" t="s">
        <v>470</v>
      </c>
      <c r="D20" s="317"/>
      <c r="E20" s="341" t="s">
        <v>249</v>
      </c>
      <c r="F20" s="322"/>
      <c r="G20" s="322"/>
      <c r="H20" s="335"/>
      <c r="I20" s="322"/>
      <c r="J20" s="322">
        <f>SUM(J16:J19)</f>
        <v>4110886.9580038227</v>
      </c>
      <c r="K20" s="317"/>
      <c r="L20" s="319"/>
      <c r="N20" s="342"/>
      <c r="O20" s="339"/>
      <c r="P20" s="339"/>
      <c r="Q20" s="339"/>
    </row>
    <row r="21" spans="1:17">
      <c r="A21" s="323"/>
      <c r="D21" s="317"/>
      <c r="E21" s="322" t="s">
        <v>249</v>
      </c>
      <c r="F21" s="317"/>
      <c r="G21" s="317"/>
      <c r="H21" s="335"/>
      <c r="I21" s="317"/>
      <c r="K21" s="317"/>
      <c r="L21" s="319"/>
      <c r="N21" s="342"/>
      <c r="O21" s="339"/>
      <c r="P21" s="339"/>
      <c r="Q21" s="339"/>
    </row>
    <row r="22" spans="1:17">
      <c r="A22" s="343" t="s">
        <v>471</v>
      </c>
      <c r="C22" s="310" t="s">
        <v>430</v>
      </c>
      <c r="D22" s="317"/>
      <c r="E22" s="344" t="s">
        <v>249</v>
      </c>
      <c r="F22" s="345"/>
      <c r="G22" s="345"/>
      <c r="H22" s="346"/>
      <c r="I22" s="345"/>
      <c r="J22" s="347"/>
      <c r="K22" s="317"/>
      <c r="L22" s="319"/>
      <c r="N22" s="342"/>
      <c r="O22" s="339"/>
      <c r="P22" s="339"/>
      <c r="Q22" s="339"/>
    </row>
    <row r="23" spans="1:17" ht="16.5" thickBot="1">
      <c r="A23" s="343" t="s">
        <v>472</v>
      </c>
      <c r="C23" s="310" t="s">
        <v>473</v>
      </c>
      <c r="D23" s="317" t="s">
        <v>474</v>
      </c>
      <c r="E23" s="344"/>
      <c r="F23" s="345"/>
      <c r="G23" s="345"/>
      <c r="H23" s="346"/>
      <c r="I23" s="345"/>
      <c r="J23" s="348"/>
      <c r="K23" s="317"/>
      <c r="L23" s="319"/>
      <c r="N23" s="342"/>
      <c r="O23" s="339"/>
      <c r="P23" s="339"/>
      <c r="Q23" s="339"/>
    </row>
    <row r="24" spans="1:17">
      <c r="A24" s="343" t="s">
        <v>475</v>
      </c>
      <c r="C24" s="310" t="s">
        <v>476</v>
      </c>
      <c r="D24" s="317" t="s">
        <v>477</v>
      </c>
      <c r="E24" s="344"/>
      <c r="F24" s="345"/>
      <c r="G24" s="345"/>
      <c r="H24" s="346"/>
      <c r="I24" s="345"/>
      <c r="J24" s="349">
        <f>J22-J23</f>
        <v>0</v>
      </c>
      <c r="K24" s="317"/>
      <c r="L24" s="319"/>
      <c r="N24" s="342"/>
      <c r="O24" s="339"/>
      <c r="P24" s="339"/>
      <c r="Q24" s="339"/>
    </row>
    <row r="25" spans="1:17">
      <c r="A25" s="343" t="s">
        <v>478</v>
      </c>
      <c r="C25" s="310" t="s">
        <v>479</v>
      </c>
      <c r="D25" s="317" t="s">
        <v>480</v>
      </c>
      <c r="E25" s="344"/>
      <c r="F25" s="345"/>
      <c r="G25" s="345"/>
      <c r="H25" s="346"/>
      <c r="I25" s="345"/>
      <c r="J25" s="349">
        <f>E392</f>
        <v>0</v>
      </c>
      <c r="K25" s="317"/>
      <c r="L25" s="319"/>
      <c r="N25" s="350"/>
      <c r="O25" s="351"/>
      <c r="P25" s="339"/>
      <c r="Q25" s="339"/>
    </row>
    <row r="26" spans="1:17" ht="16.5" thickBot="1">
      <c r="A26" s="343" t="s">
        <v>481</v>
      </c>
      <c r="C26" s="310" t="s">
        <v>482</v>
      </c>
      <c r="D26" s="317"/>
      <c r="E26" s="344"/>
      <c r="F26" s="345"/>
      <c r="G26" s="345"/>
      <c r="H26" s="346"/>
      <c r="I26" s="345"/>
      <c r="J26" s="348"/>
      <c r="K26" s="317"/>
      <c r="L26" s="319"/>
      <c r="N26" s="352"/>
      <c r="O26" s="352"/>
      <c r="P26" s="339"/>
      <c r="Q26" s="339"/>
    </row>
    <row r="27" spans="1:17">
      <c r="A27" s="323"/>
      <c r="C27" s="332"/>
      <c r="D27" s="317"/>
      <c r="J27" s="322"/>
      <c r="K27" s="317"/>
      <c r="L27" s="319"/>
      <c r="N27" s="353"/>
      <c r="O27" s="353"/>
      <c r="P27" s="339"/>
      <c r="Q27" s="339"/>
    </row>
    <row r="28" spans="1:17" ht="16.5" thickBot="1">
      <c r="A28" s="323">
        <v>7</v>
      </c>
      <c r="C28" s="332" t="s">
        <v>483</v>
      </c>
      <c r="D28" s="354" t="s">
        <v>484</v>
      </c>
      <c r="E28" s="341"/>
      <c r="F28" s="322"/>
      <c r="G28" s="322"/>
      <c r="H28" s="322"/>
      <c r="I28" s="322"/>
      <c r="J28" s="355">
        <f>+J12-J20+J24+J25+J26</f>
        <v>18297014.755210448</v>
      </c>
      <c r="K28" s="317"/>
      <c r="L28" s="319"/>
      <c r="N28" s="356"/>
      <c r="O28" s="356"/>
      <c r="P28" s="339"/>
      <c r="Q28" s="339"/>
    </row>
    <row r="29" spans="1:17" ht="16.5" thickTop="1">
      <c r="A29" s="323"/>
      <c r="D29" s="317"/>
      <c r="E29" s="341"/>
      <c r="F29" s="322"/>
      <c r="G29" s="322"/>
      <c r="H29" s="322"/>
      <c r="I29" s="322"/>
      <c r="K29" s="317"/>
      <c r="L29" s="319"/>
      <c r="N29" s="357"/>
      <c r="O29" s="358"/>
      <c r="P29" s="339"/>
      <c r="Q29" s="339"/>
    </row>
    <row r="30" spans="1:17">
      <c r="A30" s="323"/>
      <c r="D30" s="322"/>
      <c r="J30" s="322"/>
      <c r="K30" s="317"/>
      <c r="L30" s="319"/>
      <c r="N30" s="350"/>
      <c r="O30" s="351"/>
      <c r="P30" s="339"/>
      <c r="Q30" s="339"/>
    </row>
    <row r="31" spans="1:17">
      <c r="A31" s="323"/>
      <c r="C31" s="332" t="s">
        <v>485</v>
      </c>
      <c r="D31" s="317"/>
      <c r="E31" s="330"/>
      <c r="F31" s="317"/>
      <c r="G31" s="317"/>
      <c r="H31" s="317"/>
      <c r="I31" s="317"/>
      <c r="J31" s="330"/>
      <c r="K31" s="317"/>
      <c r="L31" s="319"/>
      <c r="N31" s="342"/>
      <c r="O31" s="339"/>
      <c r="P31" s="339"/>
      <c r="Q31" s="339"/>
    </row>
    <row r="32" spans="1:17">
      <c r="A32" s="323">
        <v>8</v>
      </c>
      <c r="C32" s="332" t="s">
        <v>486</v>
      </c>
      <c r="E32" s="359"/>
      <c r="F32" s="317"/>
      <c r="G32" s="317"/>
      <c r="H32" s="360" t="s">
        <v>487</v>
      </c>
      <c r="I32" s="317"/>
      <c r="J32" s="361">
        <v>486814</v>
      </c>
      <c r="K32" s="317"/>
      <c r="L32" s="319"/>
      <c r="N32" s="362">
        <v>18</v>
      </c>
      <c r="O32" s="339"/>
      <c r="P32" s="339"/>
      <c r="Q32" s="339"/>
    </row>
    <row r="33" spans="1:12">
      <c r="A33" s="323">
        <v>9</v>
      </c>
      <c r="C33" s="332" t="s">
        <v>488</v>
      </c>
      <c r="D33" s="322"/>
      <c r="E33" s="322"/>
      <c r="F33" s="322"/>
      <c r="G33" s="322"/>
      <c r="H33" s="333" t="s">
        <v>489</v>
      </c>
      <c r="I33" s="322"/>
      <c r="J33" s="361">
        <v>0</v>
      </c>
      <c r="K33" s="317"/>
      <c r="L33" s="319"/>
    </row>
    <row r="34" spans="1:12">
      <c r="A34" s="323">
        <v>10</v>
      </c>
      <c r="C34" s="336" t="s">
        <v>490</v>
      </c>
      <c r="D34" s="317"/>
      <c r="E34" s="363"/>
      <c r="F34" s="317"/>
      <c r="H34" s="360" t="s">
        <v>491</v>
      </c>
      <c r="I34" s="317"/>
      <c r="J34" s="361">
        <v>0</v>
      </c>
      <c r="K34" s="317"/>
      <c r="L34" s="319"/>
    </row>
    <row r="35" spans="1:12">
      <c r="A35" s="323">
        <v>11</v>
      </c>
      <c r="C35" s="332" t="s">
        <v>492</v>
      </c>
      <c r="D35" s="317"/>
      <c r="E35" s="317"/>
      <c r="F35" s="317"/>
      <c r="H35" s="360" t="s">
        <v>493</v>
      </c>
      <c r="I35" s="317"/>
      <c r="J35" s="364">
        <v>0</v>
      </c>
      <c r="K35" s="317"/>
      <c r="L35" s="319"/>
    </row>
    <row r="36" spans="1:12">
      <c r="A36" s="323">
        <v>12</v>
      </c>
      <c r="C36" s="336" t="s">
        <v>494</v>
      </c>
      <c r="D36" s="317"/>
      <c r="E36" s="317"/>
      <c r="F36" s="317"/>
      <c r="G36" s="317"/>
      <c r="H36" s="313"/>
      <c r="I36" s="317"/>
      <c r="J36" s="364">
        <v>0</v>
      </c>
      <c r="K36" s="317"/>
      <c r="L36" s="319"/>
    </row>
    <row r="37" spans="1:12">
      <c r="A37" s="323">
        <v>13</v>
      </c>
      <c r="C37" s="336" t="s">
        <v>495</v>
      </c>
      <c r="D37" s="317"/>
      <c r="E37" s="317"/>
      <c r="F37" s="317"/>
      <c r="G37" s="317"/>
      <c r="H37" s="360"/>
      <c r="I37" s="317"/>
      <c r="J37" s="364">
        <v>0</v>
      </c>
      <c r="K37" s="317"/>
      <c r="L37" s="319"/>
    </row>
    <row r="38" spans="1:12" ht="16.5" thickBot="1">
      <c r="A38" s="323">
        <v>14</v>
      </c>
      <c r="C38" s="336" t="s">
        <v>496</v>
      </c>
      <c r="D38" s="317"/>
      <c r="E38" s="317"/>
      <c r="F38" s="317"/>
      <c r="G38" s="317"/>
      <c r="H38" s="313"/>
      <c r="I38" s="317"/>
      <c r="J38" s="365">
        <v>0</v>
      </c>
      <c r="K38" s="317"/>
      <c r="L38" s="319"/>
    </row>
    <row r="39" spans="1:12">
      <c r="A39" s="323">
        <v>15</v>
      </c>
      <c r="C39" s="311" t="s">
        <v>497</v>
      </c>
      <c r="D39" s="317"/>
      <c r="E39" s="317"/>
      <c r="F39" s="317"/>
      <c r="G39" s="317"/>
      <c r="H39" s="317"/>
      <c r="I39" s="317"/>
      <c r="J39" s="330">
        <f>SUM(J32:J38)</f>
        <v>486814</v>
      </c>
      <c r="K39" s="317"/>
      <c r="L39" s="319"/>
    </row>
    <row r="40" spans="1:12">
      <c r="A40" s="323"/>
      <c r="C40" s="332"/>
      <c r="D40" s="317"/>
      <c r="E40" s="317"/>
      <c r="F40" s="317"/>
      <c r="G40" s="317"/>
      <c r="H40" s="317"/>
      <c r="I40" s="317"/>
      <c r="J40" s="330"/>
      <c r="K40" s="317"/>
      <c r="L40" s="319"/>
    </row>
    <row r="41" spans="1:12">
      <c r="A41" s="323">
        <v>16</v>
      </c>
      <c r="C41" s="332" t="s">
        <v>498</v>
      </c>
      <c r="D41" s="317" t="s">
        <v>499</v>
      </c>
      <c r="E41" s="366">
        <f>IF(J39&gt;0,J28/J39,0)</f>
        <v>37.585227120030339</v>
      </c>
      <c r="F41" s="317"/>
      <c r="G41" s="317"/>
      <c r="H41" s="317"/>
      <c r="I41" s="317"/>
      <c r="K41" s="317"/>
      <c r="L41" s="319"/>
    </row>
    <row r="42" spans="1:12">
      <c r="A42" s="323">
        <v>17</v>
      </c>
      <c r="C42" s="332" t="s">
        <v>500</v>
      </c>
      <c r="D42" s="317" t="s">
        <v>501</v>
      </c>
      <c r="E42" s="366">
        <f>+E41/12</f>
        <v>3.1321022600025281</v>
      </c>
      <c r="F42" s="317"/>
      <c r="G42" s="317"/>
      <c r="H42" s="317"/>
      <c r="I42" s="317"/>
      <c r="K42" s="317"/>
      <c r="L42" s="319"/>
    </row>
    <row r="43" spans="1:12">
      <c r="A43" s="323"/>
      <c r="C43" s="332"/>
      <c r="D43" s="317"/>
      <c r="E43" s="366"/>
      <c r="F43" s="317"/>
      <c r="G43" s="317"/>
      <c r="H43" s="317"/>
      <c r="I43" s="317"/>
      <c r="K43" s="317"/>
      <c r="L43" s="319"/>
    </row>
    <row r="44" spans="1:12">
      <c r="A44" s="323"/>
      <c r="C44" s="332"/>
      <c r="D44" s="317"/>
      <c r="E44" s="367" t="s">
        <v>502</v>
      </c>
      <c r="F44" s="317"/>
      <c r="G44" s="317"/>
      <c r="H44" s="317"/>
      <c r="I44" s="317"/>
      <c r="J44" s="327" t="s">
        <v>503</v>
      </c>
      <c r="K44" s="317"/>
      <c r="L44" s="319"/>
    </row>
    <row r="45" spans="1:12">
      <c r="A45" s="323"/>
      <c r="C45" s="332"/>
      <c r="D45" s="317"/>
      <c r="E45" s="366"/>
      <c r="F45" s="317"/>
      <c r="G45" s="317"/>
      <c r="H45" s="317"/>
      <c r="I45" s="317"/>
      <c r="K45" s="317"/>
      <c r="L45" s="319"/>
    </row>
    <row r="46" spans="1:12">
      <c r="A46" s="323">
        <v>18</v>
      </c>
      <c r="C46" s="332" t="s">
        <v>504</v>
      </c>
      <c r="D46" s="368" t="s">
        <v>505</v>
      </c>
      <c r="E46" s="366">
        <f>+E41/52</f>
        <v>0.72279282923135268</v>
      </c>
      <c r="F46" s="317"/>
      <c r="G46" s="317"/>
      <c r="H46" s="317"/>
      <c r="I46" s="317"/>
      <c r="J46" s="369">
        <f>+E41/52</f>
        <v>0.72279282923135268</v>
      </c>
      <c r="K46" s="317"/>
      <c r="L46" s="319"/>
    </row>
    <row r="47" spans="1:12">
      <c r="A47" s="323">
        <v>19</v>
      </c>
      <c r="C47" s="332" t="s">
        <v>506</v>
      </c>
      <c r="D47" s="368" t="s">
        <v>507</v>
      </c>
      <c r="E47" s="366">
        <f>+E41/260</f>
        <v>0.14455856584627053</v>
      </c>
      <c r="F47" s="317" t="s">
        <v>508</v>
      </c>
      <c r="H47" s="317"/>
      <c r="I47" s="317"/>
      <c r="J47" s="369">
        <f>+E41/365</f>
        <v>0.10297322498638449</v>
      </c>
      <c r="K47" s="317"/>
      <c r="L47" s="319"/>
    </row>
    <row r="48" spans="1:12">
      <c r="A48" s="323">
        <v>20</v>
      </c>
      <c r="C48" s="332" t="s">
        <v>509</v>
      </c>
      <c r="D48" s="370" t="s">
        <v>510</v>
      </c>
      <c r="E48" s="371">
        <f>+E41/4160*1000</f>
        <v>9.0349103653919087</v>
      </c>
      <c r="F48" s="317" t="s">
        <v>511</v>
      </c>
      <c r="H48" s="317"/>
      <c r="I48" s="317"/>
      <c r="J48" s="369">
        <f>+E41/8760*1000</f>
        <v>4.2905510410993539</v>
      </c>
      <c r="K48" s="317"/>
      <c r="L48" s="319" t="s">
        <v>249</v>
      </c>
    </row>
    <row r="49" spans="1:12">
      <c r="A49" s="323"/>
      <c r="C49" s="332"/>
      <c r="D49" s="317"/>
      <c r="E49" s="317"/>
      <c r="F49" s="317"/>
      <c r="H49" s="317"/>
      <c r="I49" s="317"/>
      <c r="K49" s="317"/>
      <c r="L49" s="319" t="s">
        <v>249</v>
      </c>
    </row>
    <row r="50" spans="1:12">
      <c r="A50" s="323">
        <v>21</v>
      </c>
      <c r="C50" s="332" t="s">
        <v>512</v>
      </c>
      <c r="D50" s="317" t="s">
        <v>513</v>
      </c>
      <c r="E50" s="372">
        <v>0</v>
      </c>
      <c r="F50" s="373" t="s">
        <v>514</v>
      </c>
      <c r="G50" s="373"/>
      <c r="H50" s="373"/>
      <c r="I50" s="373"/>
      <c r="J50" s="373">
        <f>E50</f>
        <v>0</v>
      </c>
      <c r="K50" s="373" t="s">
        <v>514</v>
      </c>
      <c r="L50" s="319"/>
    </row>
    <row r="51" spans="1:12">
      <c r="A51" s="323">
        <v>22</v>
      </c>
      <c r="C51" s="332"/>
      <c r="D51" s="317"/>
      <c r="E51" s="372">
        <v>0</v>
      </c>
      <c r="F51" s="373" t="s">
        <v>308</v>
      </c>
      <c r="G51" s="373"/>
      <c r="H51" s="373"/>
      <c r="I51" s="373"/>
      <c r="J51" s="373">
        <f>E51</f>
        <v>0</v>
      </c>
      <c r="K51" s="373" t="s">
        <v>308</v>
      </c>
      <c r="L51" s="319"/>
    </row>
    <row r="52" spans="1:12" s="375" customFormat="1">
      <c r="A52" s="374"/>
      <c r="C52" s="376"/>
      <c r="D52" s="319"/>
      <c r="E52" s="377"/>
      <c r="F52" s="377"/>
      <c r="G52" s="377"/>
      <c r="H52" s="377"/>
      <c r="I52" s="377"/>
      <c r="J52" s="377"/>
      <c r="K52" s="377"/>
      <c r="L52" s="319"/>
    </row>
    <row r="53" spans="1:12" s="375" customFormat="1">
      <c r="A53" s="374"/>
      <c r="C53" s="376"/>
      <c r="D53" s="319"/>
      <c r="E53" s="377"/>
      <c r="F53" s="377"/>
      <c r="G53" s="377"/>
      <c r="H53" s="377"/>
      <c r="I53" s="377"/>
      <c r="J53" s="377"/>
      <c r="K53" s="377"/>
      <c r="L53" s="319"/>
    </row>
    <row r="54" spans="1:12" s="375" customFormat="1">
      <c r="A54" s="374"/>
      <c r="C54" s="376"/>
      <c r="D54" s="319"/>
      <c r="E54" s="377"/>
      <c r="F54" s="377"/>
      <c r="G54" s="377"/>
      <c r="H54" s="377"/>
      <c r="I54" s="377"/>
      <c r="J54" s="377"/>
      <c r="K54" s="377"/>
      <c r="L54" s="319"/>
    </row>
    <row r="55" spans="1:12" s="375" customFormat="1">
      <c r="A55" s="374"/>
      <c r="C55" s="376"/>
      <c r="D55" s="319"/>
      <c r="E55" s="377"/>
      <c r="F55" s="377"/>
      <c r="G55" s="377"/>
      <c r="H55" s="377"/>
      <c r="I55" s="377"/>
      <c r="J55" s="377"/>
      <c r="K55" s="377"/>
      <c r="L55" s="319"/>
    </row>
    <row r="56" spans="1:12" s="375" customFormat="1">
      <c r="A56" s="374"/>
      <c r="C56" s="376"/>
      <c r="D56" s="319"/>
      <c r="E56" s="377"/>
      <c r="F56" s="377"/>
      <c r="G56" s="377"/>
      <c r="H56" s="377"/>
      <c r="I56" s="377"/>
      <c r="J56" s="377"/>
      <c r="K56" s="377"/>
      <c r="L56" s="319"/>
    </row>
    <row r="57" spans="1:12" s="375" customFormat="1">
      <c r="A57" s="374"/>
      <c r="C57" s="376"/>
      <c r="D57" s="319"/>
      <c r="E57" s="377"/>
      <c r="F57" s="377"/>
      <c r="G57" s="377"/>
      <c r="H57" s="377"/>
      <c r="I57" s="377"/>
      <c r="J57" s="377"/>
      <c r="K57" s="377"/>
      <c r="L57" s="319"/>
    </row>
    <row r="58" spans="1:12" s="375" customFormat="1">
      <c r="A58" s="374"/>
      <c r="C58" s="376"/>
      <c r="D58" s="319"/>
      <c r="E58" s="377"/>
      <c r="F58" s="377"/>
      <c r="G58" s="377"/>
      <c r="H58" s="377"/>
      <c r="I58" s="377"/>
      <c r="J58" s="377"/>
      <c r="K58" s="377"/>
      <c r="L58" s="319"/>
    </row>
    <row r="59" spans="1:12" s="375" customFormat="1">
      <c r="A59" s="374"/>
      <c r="C59" s="376"/>
      <c r="D59" s="319"/>
      <c r="E59" s="377"/>
      <c r="F59" s="377"/>
      <c r="G59" s="377"/>
      <c r="H59" s="377"/>
      <c r="I59" s="377"/>
      <c r="J59" s="377"/>
      <c r="K59" s="377"/>
      <c r="L59" s="319"/>
    </row>
    <row r="60" spans="1:12" s="375" customFormat="1">
      <c r="A60" s="374"/>
      <c r="C60" s="376"/>
      <c r="D60" s="319"/>
      <c r="E60" s="377"/>
      <c r="F60" s="377"/>
      <c r="G60" s="377"/>
      <c r="H60" s="377"/>
      <c r="I60" s="377"/>
      <c r="J60" s="377"/>
      <c r="K60" s="377"/>
      <c r="L60" s="319"/>
    </row>
    <row r="61" spans="1:12" s="375" customFormat="1">
      <c r="A61" s="374"/>
      <c r="C61" s="376"/>
      <c r="D61" s="319"/>
      <c r="E61" s="377"/>
      <c r="F61" s="377"/>
      <c r="G61" s="377"/>
      <c r="H61" s="377"/>
      <c r="I61" s="377"/>
      <c r="J61" s="377"/>
      <c r="K61" s="377"/>
      <c r="L61" s="319"/>
    </row>
    <row r="62" spans="1:12" s="375" customFormat="1">
      <c r="A62" s="374"/>
      <c r="C62" s="376"/>
      <c r="D62" s="319"/>
      <c r="E62" s="377"/>
      <c r="F62" s="377"/>
      <c r="G62" s="377"/>
      <c r="H62" s="377"/>
      <c r="I62" s="377"/>
      <c r="J62" s="377"/>
      <c r="K62" s="377"/>
      <c r="L62" s="319"/>
    </row>
    <row r="63" spans="1:12" s="375" customFormat="1">
      <c r="A63" s="374"/>
      <c r="C63" s="376"/>
      <c r="D63" s="319"/>
      <c r="E63" s="377"/>
      <c r="F63" s="377"/>
      <c r="G63" s="377"/>
      <c r="H63" s="377"/>
      <c r="I63" s="377"/>
      <c r="J63" s="377"/>
      <c r="K63" s="377"/>
      <c r="L63" s="319"/>
    </row>
    <row r="64" spans="1:12" s="375" customFormat="1">
      <c r="A64" s="374"/>
      <c r="C64" s="376"/>
      <c r="D64" s="319"/>
      <c r="E64" s="377"/>
      <c r="F64" s="377"/>
      <c r="G64" s="377"/>
      <c r="H64" s="377"/>
      <c r="I64" s="377"/>
      <c r="J64" s="377"/>
      <c r="K64" s="377"/>
      <c r="L64" s="319"/>
    </row>
    <row r="65" spans="1:12" s="375" customFormat="1">
      <c r="A65" s="374"/>
      <c r="C65" s="376"/>
      <c r="D65" s="319"/>
      <c r="E65" s="377"/>
      <c r="F65" s="377"/>
      <c r="G65" s="377"/>
      <c r="H65" s="377"/>
      <c r="I65" s="377"/>
      <c r="J65" s="377"/>
      <c r="K65" s="377"/>
      <c r="L65" s="319"/>
    </row>
    <row r="66" spans="1:12" s="375" customFormat="1">
      <c r="A66" s="374"/>
      <c r="C66" s="376"/>
      <c r="D66" s="319"/>
      <c r="E66" s="377"/>
      <c r="F66" s="377"/>
      <c r="G66" s="377"/>
      <c r="H66" s="377"/>
      <c r="I66" s="377"/>
      <c r="J66" s="377"/>
      <c r="K66" s="377"/>
      <c r="L66" s="319"/>
    </row>
    <row r="67" spans="1:12" s="375" customFormat="1">
      <c r="A67" s="374"/>
      <c r="C67" s="376"/>
      <c r="D67" s="319"/>
      <c r="E67" s="377"/>
      <c r="F67" s="377"/>
      <c r="G67" s="377"/>
      <c r="H67" s="377"/>
      <c r="I67" s="377"/>
      <c r="J67" s="377"/>
      <c r="K67" s="377"/>
      <c r="L67" s="319"/>
    </row>
    <row r="68" spans="1:12" s="375" customFormat="1">
      <c r="A68" s="374"/>
      <c r="C68" s="376"/>
      <c r="D68" s="319"/>
      <c r="E68" s="377"/>
      <c r="F68" s="377"/>
      <c r="G68" s="377"/>
      <c r="H68" s="377"/>
      <c r="I68" s="377"/>
      <c r="J68" s="377"/>
      <c r="K68" s="377"/>
      <c r="L68" s="319"/>
    </row>
    <row r="69" spans="1:12" s="375" customFormat="1">
      <c r="A69" s="374"/>
      <c r="C69" s="376"/>
      <c r="D69" s="319"/>
      <c r="E69" s="377"/>
      <c r="F69" s="377"/>
      <c r="G69" s="377"/>
      <c r="H69" s="377"/>
      <c r="I69" s="377"/>
      <c r="J69" s="377"/>
      <c r="K69" s="377"/>
      <c r="L69" s="319"/>
    </row>
    <row r="70" spans="1:12" s="375" customFormat="1">
      <c r="A70" s="374"/>
      <c r="C70" s="376"/>
      <c r="D70" s="319"/>
      <c r="E70" s="377"/>
      <c r="F70" s="377"/>
      <c r="G70" s="377"/>
      <c r="H70" s="377"/>
      <c r="I70" s="377"/>
      <c r="J70" s="377"/>
      <c r="K70" s="377"/>
      <c r="L70" s="319"/>
    </row>
    <row r="71" spans="1:12" s="375" customFormat="1">
      <c r="A71" s="374"/>
      <c r="C71" s="376"/>
      <c r="D71" s="319"/>
      <c r="E71" s="377"/>
      <c r="F71" s="377"/>
      <c r="G71" s="377"/>
      <c r="H71" s="377"/>
      <c r="I71" s="377"/>
      <c r="J71" s="377"/>
      <c r="K71" s="377"/>
      <c r="L71" s="319"/>
    </row>
    <row r="72" spans="1:12" s="375" customFormat="1">
      <c r="A72" s="374"/>
      <c r="C72" s="376"/>
      <c r="D72" s="319"/>
      <c r="E72" s="377"/>
      <c r="F72" s="377"/>
      <c r="G72" s="377"/>
      <c r="H72" s="377"/>
      <c r="I72" s="377"/>
      <c r="J72" s="377"/>
      <c r="K72" s="377"/>
      <c r="L72" s="319"/>
    </row>
    <row r="73" spans="1:12" s="375" customFormat="1">
      <c r="A73" s="374"/>
      <c r="C73" s="376"/>
      <c r="D73" s="319"/>
      <c r="E73" s="377"/>
      <c r="F73" s="377"/>
      <c r="G73" s="377"/>
      <c r="H73" s="377"/>
      <c r="I73" s="377"/>
      <c r="J73" s="377"/>
      <c r="K73" s="377"/>
      <c r="L73" s="319"/>
    </row>
    <row r="74" spans="1:12" s="375" customFormat="1">
      <c r="A74" s="374"/>
      <c r="C74" s="376"/>
      <c r="D74" s="319"/>
      <c r="E74" s="377"/>
      <c r="F74" s="377"/>
      <c r="G74" s="377"/>
      <c r="H74" s="377"/>
      <c r="I74" s="377"/>
      <c r="J74" s="377"/>
      <c r="K74" s="377"/>
      <c r="L74" s="319"/>
    </row>
    <row r="75" spans="1:12" s="375" customFormat="1">
      <c r="A75" s="374"/>
      <c r="C75" s="376"/>
      <c r="D75" s="319"/>
      <c r="E75" s="377"/>
      <c r="F75" s="377"/>
      <c r="G75" s="377"/>
      <c r="H75" s="377"/>
      <c r="I75" s="377"/>
      <c r="J75" s="377"/>
      <c r="K75" s="377"/>
      <c r="L75" s="319"/>
    </row>
    <row r="76" spans="1:12" s="375" customFormat="1">
      <c r="A76" s="374"/>
      <c r="C76" s="376"/>
      <c r="D76" s="319"/>
      <c r="E76" s="377"/>
      <c r="F76" s="377"/>
      <c r="G76" s="377"/>
      <c r="H76" s="377"/>
      <c r="I76" s="377"/>
      <c r="J76" s="377"/>
      <c r="K76" s="377"/>
      <c r="L76" s="319"/>
    </row>
    <row r="77" spans="1:12">
      <c r="C77" s="311"/>
      <c r="D77" s="311"/>
      <c r="E77" s="312"/>
      <c r="F77" s="311"/>
      <c r="G77" s="311"/>
      <c r="H77" s="311"/>
      <c r="I77" s="313"/>
      <c r="J77" s="323"/>
      <c r="K77" s="323"/>
      <c r="L77" s="315"/>
    </row>
    <row r="78" spans="1:12">
      <c r="C78" s="311"/>
      <c r="D78" s="311"/>
      <c r="E78" s="312"/>
      <c r="F78" s="311"/>
      <c r="G78" s="311"/>
      <c r="H78" s="311"/>
      <c r="I78" s="313"/>
      <c r="J78" s="314"/>
      <c r="K78" s="314"/>
      <c r="L78" s="315"/>
    </row>
    <row r="79" spans="1:12">
      <c r="C79" s="311"/>
      <c r="D79" s="311"/>
      <c r="E79" s="312"/>
      <c r="F79" s="311"/>
      <c r="G79" s="311"/>
      <c r="H79" s="311"/>
      <c r="I79" s="313"/>
      <c r="J79" s="313"/>
      <c r="L79" s="316" t="s">
        <v>0</v>
      </c>
    </row>
    <row r="80" spans="1:12">
      <c r="C80" s="311"/>
      <c r="D80" s="311"/>
      <c r="E80" s="312"/>
      <c r="F80" s="311"/>
      <c r="G80" s="311"/>
      <c r="H80" s="311"/>
      <c r="I80" s="313"/>
      <c r="J80" s="313"/>
      <c r="K80" s="317"/>
      <c r="L80" s="318" t="s">
        <v>515</v>
      </c>
    </row>
    <row r="81" spans="1:16">
      <c r="C81" s="311"/>
      <c r="D81" s="311"/>
      <c r="E81" s="312"/>
      <c r="F81" s="311"/>
      <c r="G81" s="311"/>
      <c r="H81" s="311"/>
      <c r="I81" s="313"/>
      <c r="J81" s="313"/>
      <c r="K81" s="317"/>
      <c r="L81" s="318"/>
    </row>
    <row r="82" spans="1:16">
      <c r="C82" s="311" t="s">
        <v>450</v>
      </c>
      <c r="D82" s="311"/>
      <c r="E82" s="312" t="s">
        <v>451</v>
      </c>
      <c r="F82" s="311"/>
      <c r="G82" s="311"/>
      <c r="H82" s="311"/>
      <c r="I82" s="313"/>
      <c r="J82" s="320" t="str">
        <f>J5</f>
        <v>For the 12 months ended 12/31/13</v>
      </c>
      <c r="K82" s="321"/>
      <c r="L82" s="321"/>
    </row>
    <row r="83" spans="1:16">
      <c r="C83" s="311"/>
      <c r="D83" s="322" t="s">
        <v>249</v>
      </c>
      <c r="E83" s="322" t="s">
        <v>453</v>
      </c>
      <c r="F83" s="322"/>
      <c r="G83" s="322"/>
      <c r="H83" s="322"/>
      <c r="I83" s="313"/>
      <c r="J83" s="313"/>
      <c r="K83" s="317"/>
      <c r="L83" s="319"/>
    </row>
    <row r="84" spans="1:16">
      <c r="C84" s="311"/>
      <c r="D84" s="322"/>
      <c r="E84" s="322"/>
      <c r="F84" s="322"/>
      <c r="G84" s="322"/>
      <c r="H84" s="322"/>
      <c r="I84" s="313"/>
      <c r="J84" s="313"/>
      <c r="K84" s="317"/>
      <c r="L84" s="319"/>
    </row>
    <row r="85" spans="1:16">
      <c r="C85" s="332"/>
      <c r="D85" s="317"/>
      <c r="E85" s="324" t="str">
        <f>E8</f>
        <v>Montana-Dakota Utilities Co.</v>
      </c>
      <c r="F85" s="325"/>
      <c r="G85" s="325"/>
      <c r="H85" s="322"/>
      <c r="I85" s="322"/>
      <c r="J85" s="322"/>
      <c r="K85" s="322"/>
      <c r="L85" s="333"/>
    </row>
    <row r="86" spans="1:16">
      <c r="C86" s="378" t="s">
        <v>516</v>
      </c>
      <c r="D86" s="378" t="s">
        <v>517</v>
      </c>
      <c r="E86" s="378" t="s">
        <v>518</v>
      </c>
      <c r="F86" s="322" t="s">
        <v>249</v>
      </c>
      <c r="G86" s="322"/>
      <c r="H86" s="379" t="s">
        <v>519</v>
      </c>
      <c r="I86" s="322"/>
      <c r="J86" s="380" t="s">
        <v>520</v>
      </c>
      <c r="K86" s="322"/>
      <c r="L86" s="381"/>
    </row>
    <row r="87" spans="1:16">
      <c r="C87" s="332"/>
      <c r="D87" s="382" t="s">
        <v>521</v>
      </c>
      <c r="E87" s="322"/>
      <c r="F87" s="322"/>
      <c r="G87" s="322"/>
      <c r="H87" s="323"/>
      <c r="I87" s="322"/>
      <c r="J87" s="383" t="s">
        <v>2</v>
      </c>
      <c r="K87" s="322"/>
      <c r="L87" s="381"/>
      <c r="N87" s="327" t="s">
        <v>455</v>
      </c>
    </row>
    <row r="88" spans="1:16">
      <c r="A88" s="323" t="s">
        <v>454</v>
      </c>
      <c r="C88" s="332"/>
      <c r="D88" s="384" t="s">
        <v>3</v>
      </c>
      <c r="E88" s="383" t="s">
        <v>522</v>
      </c>
      <c r="F88" s="385"/>
      <c r="G88" s="383" t="s">
        <v>523</v>
      </c>
      <c r="I88" s="385"/>
      <c r="J88" s="323" t="s">
        <v>524</v>
      </c>
      <c r="K88" s="322"/>
      <c r="L88" s="381"/>
      <c r="N88" s="329" t="s">
        <v>458</v>
      </c>
    </row>
    <row r="89" spans="1:16" ht="16.5" thickBot="1">
      <c r="A89" s="328" t="s">
        <v>456</v>
      </c>
      <c r="C89" s="386" t="s">
        <v>525</v>
      </c>
      <c r="D89" s="322"/>
      <c r="E89" s="322"/>
      <c r="F89" s="322"/>
      <c r="G89" s="322"/>
      <c r="H89" s="322"/>
      <c r="I89" s="322"/>
      <c r="J89" s="322"/>
      <c r="K89" s="322"/>
      <c r="L89" s="387"/>
      <c r="M89" s="358"/>
      <c r="N89" s="358"/>
      <c r="O89" s="358"/>
    </row>
    <row r="90" spans="1:16">
      <c r="A90" s="323"/>
      <c r="C90" s="332"/>
      <c r="D90" s="322"/>
      <c r="E90" s="322"/>
      <c r="F90" s="322"/>
      <c r="G90" s="322"/>
      <c r="H90" s="322"/>
      <c r="I90" s="322"/>
      <c r="J90" s="322"/>
      <c r="K90" s="322"/>
      <c r="L90" s="388"/>
      <c r="M90" s="358"/>
      <c r="N90" s="389"/>
      <c r="O90" s="389"/>
    </row>
    <row r="91" spans="1:16">
      <c r="A91" s="323"/>
      <c r="C91" s="390" t="s">
        <v>526</v>
      </c>
      <c r="D91" s="391"/>
      <c r="E91" s="322"/>
      <c r="F91" s="322"/>
      <c r="G91" s="322"/>
      <c r="H91" s="322"/>
      <c r="I91" s="322"/>
      <c r="J91" s="322"/>
      <c r="K91" s="322"/>
      <c r="L91" s="388"/>
      <c r="M91" s="358"/>
      <c r="N91" s="389"/>
      <c r="O91" s="389"/>
    </row>
    <row r="92" spans="1:16">
      <c r="A92" s="323">
        <v>1</v>
      </c>
      <c r="C92" s="332" t="s">
        <v>527</v>
      </c>
      <c r="D92" s="333" t="s">
        <v>4</v>
      </c>
      <c r="E92" s="337">
        <v>471677490</v>
      </c>
      <c r="F92" s="322"/>
      <c r="G92" s="322" t="s">
        <v>528</v>
      </c>
      <c r="H92" s="392" t="s">
        <v>249</v>
      </c>
      <c r="I92" s="322"/>
      <c r="J92" s="322" t="s">
        <v>249</v>
      </c>
      <c r="K92" s="322"/>
      <c r="L92" s="393"/>
      <c r="M92" s="358"/>
      <c r="N92" s="393" t="s">
        <v>529</v>
      </c>
      <c r="O92" s="393"/>
    </row>
    <row r="93" spans="1:16">
      <c r="A93" s="323">
        <v>2</v>
      </c>
      <c r="C93" s="332" t="s">
        <v>530</v>
      </c>
      <c r="D93" s="333" t="s">
        <v>5</v>
      </c>
      <c r="E93" s="337">
        <v>181842812</v>
      </c>
      <c r="F93" s="322"/>
      <c r="G93" s="322" t="s">
        <v>465</v>
      </c>
      <c r="H93" s="392">
        <f>J251</f>
        <v>0.95241720635072447</v>
      </c>
      <c r="I93" s="322"/>
      <c r="J93" s="322">
        <f>+H93*E93</f>
        <v>173190223</v>
      </c>
      <c r="K93" s="322"/>
      <c r="L93" s="387"/>
      <c r="M93" s="358"/>
      <c r="N93" s="393" t="s">
        <v>529</v>
      </c>
      <c r="O93" s="393"/>
      <c r="P93" s="375"/>
    </row>
    <row r="94" spans="1:16">
      <c r="A94" s="323">
        <v>3</v>
      </c>
      <c r="C94" s="332" t="s">
        <v>531</v>
      </c>
      <c r="D94" s="333" t="s">
        <v>6</v>
      </c>
      <c r="E94" s="337">
        <v>242842041</v>
      </c>
      <c r="F94" s="322"/>
      <c r="G94" s="322" t="s">
        <v>528</v>
      </c>
      <c r="H94" s="392" t="s">
        <v>249</v>
      </c>
      <c r="I94" s="322"/>
      <c r="J94" s="322" t="s">
        <v>249</v>
      </c>
      <c r="K94" s="322"/>
      <c r="L94" s="387"/>
      <c r="M94" s="358"/>
      <c r="N94" s="393" t="s">
        <v>529</v>
      </c>
      <c r="O94" s="393"/>
    </row>
    <row r="95" spans="1:16">
      <c r="A95" s="323">
        <v>4</v>
      </c>
      <c r="C95" s="332" t="s">
        <v>532</v>
      </c>
      <c r="D95" s="333" t="s">
        <v>533</v>
      </c>
      <c r="E95" s="337">
        <f>22753986+8726909</f>
        <v>31480895</v>
      </c>
      <c r="F95" s="322"/>
      <c r="G95" s="322" t="s">
        <v>534</v>
      </c>
      <c r="H95" s="392">
        <f>J269</f>
        <v>0.15070038929627774</v>
      </c>
      <c r="I95" s="322"/>
      <c r="J95" s="322">
        <f>+H95*E95</f>
        <v>4744183.1318952432</v>
      </c>
      <c r="K95" s="322"/>
      <c r="L95" s="387"/>
      <c r="M95" s="358"/>
      <c r="N95" s="393" t="s">
        <v>529</v>
      </c>
      <c r="O95" s="393"/>
    </row>
    <row r="96" spans="1:16" ht="16.5" thickBot="1">
      <c r="A96" s="323">
        <v>5</v>
      </c>
      <c r="C96" s="332" t="s">
        <v>535</v>
      </c>
      <c r="D96" s="333" t="s">
        <v>536</v>
      </c>
      <c r="E96" s="394">
        <v>97091208</v>
      </c>
      <c r="F96" s="322"/>
      <c r="G96" s="322" t="s">
        <v>537</v>
      </c>
      <c r="H96" s="392">
        <f>L274</f>
        <v>0.11138246947454092</v>
      </c>
      <c r="I96" s="322"/>
      <c r="J96" s="340">
        <f>+H96*E96</f>
        <v>10814258.511306303</v>
      </c>
      <c r="K96" s="322"/>
      <c r="L96" s="387"/>
      <c r="M96" s="358"/>
      <c r="N96" s="393" t="s">
        <v>538</v>
      </c>
      <c r="O96" s="393"/>
    </row>
    <row r="97" spans="1:15">
      <c r="A97" s="323">
        <v>6</v>
      </c>
      <c r="C97" s="311" t="s">
        <v>539</v>
      </c>
      <c r="D97" s="333"/>
      <c r="E97" s="322">
        <f>SUM(E92:E96)</f>
        <v>1024934446</v>
      </c>
      <c r="F97" s="322"/>
      <c r="G97" s="322" t="s">
        <v>540</v>
      </c>
      <c r="H97" s="395">
        <f>IF(J97&gt;0,J97/E97,0)</f>
        <v>0.18415681644794829</v>
      </c>
      <c r="I97" s="322"/>
      <c r="J97" s="322">
        <f>SUM(J92:J96)</f>
        <v>188748664.64320156</v>
      </c>
      <c r="K97" s="322"/>
      <c r="L97" s="387"/>
      <c r="M97" s="358"/>
      <c r="N97" s="393"/>
      <c r="O97" s="393"/>
    </row>
    <row r="98" spans="1:15">
      <c r="C98" s="332"/>
      <c r="D98" s="322"/>
      <c r="E98" s="322"/>
      <c r="F98" s="322"/>
      <c r="G98" s="322"/>
      <c r="H98" s="395"/>
      <c r="I98" s="322"/>
      <c r="J98" s="322"/>
      <c r="K98" s="322"/>
      <c r="L98" s="387"/>
      <c r="M98" s="358"/>
      <c r="N98" s="393"/>
      <c r="O98" s="393"/>
    </row>
    <row r="99" spans="1:15">
      <c r="C99" s="390" t="s">
        <v>541</v>
      </c>
      <c r="D99" s="322"/>
      <c r="E99" s="322"/>
      <c r="F99" s="322"/>
      <c r="G99" s="322"/>
      <c r="H99" s="322"/>
      <c r="I99" s="322"/>
      <c r="J99" s="322"/>
      <c r="K99" s="322"/>
      <c r="L99" s="393"/>
      <c r="M99" s="393"/>
    </row>
    <row r="100" spans="1:15">
      <c r="A100" s="323">
        <v>7</v>
      </c>
      <c r="C100" s="332" t="str">
        <f>+C92</f>
        <v xml:space="preserve">  Production</v>
      </c>
      <c r="D100" s="322" t="s">
        <v>7</v>
      </c>
      <c r="E100" s="337">
        <v>245754882</v>
      </c>
      <c r="F100" s="322"/>
      <c r="G100" s="322" t="str">
        <f>+G92</f>
        <v>NA</v>
      </c>
      <c r="H100" s="392" t="str">
        <f>+H92</f>
        <v xml:space="preserve"> </v>
      </c>
      <c r="I100" s="322"/>
      <c r="J100" s="322" t="s">
        <v>249</v>
      </c>
      <c r="K100" s="322"/>
      <c r="L100" s="393"/>
      <c r="M100" s="393"/>
      <c r="N100" s="393" t="s">
        <v>542</v>
      </c>
    </row>
    <row r="101" spans="1:15">
      <c r="A101" s="323">
        <v>8</v>
      </c>
      <c r="C101" s="332" t="str">
        <f>+C93</f>
        <v xml:space="preserve">  Transmission</v>
      </c>
      <c r="D101" s="322" t="s">
        <v>8</v>
      </c>
      <c r="E101" s="337">
        <v>87058348</v>
      </c>
      <c r="F101" s="322"/>
      <c r="G101" s="322" t="str">
        <f t="shared" ref="G101:H104" si="1">+G93</f>
        <v>TP</v>
      </c>
      <c r="H101" s="392">
        <f t="shared" si="1"/>
        <v>0.95241720635072447</v>
      </c>
      <c r="I101" s="322"/>
      <c r="J101" s="322">
        <f>+H101*E101</f>
        <v>82915868.591669187</v>
      </c>
      <c r="K101" s="322"/>
      <c r="L101" s="393"/>
      <c r="M101" s="393"/>
      <c r="N101" s="393" t="s">
        <v>542</v>
      </c>
    </row>
    <row r="102" spans="1:15">
      <c r="A102" s="323">
        <v>9</v>
      </c>
      <c r="C102" s="332" t="str">
        <f>+C94</f>
        <v xml:space="preserve">  Distribution</v>
      </c>
      <c r="D102" s="322" t="s">
        <v>9</v>
      </c>
      <c r="E102" s="337">
        <v>106448504</v>
      </c>
      <c r="F102" s="322"/>
      <c r="G102" s="322" t="str">
        <f t="shared" si="1"/>
        <v>NA</v>
      </c>
      <c r="H102" s="392" t="str">
        <f t="shared" si="1"/>
        <v xml:space="preserve"> </v>
      </c>
      <c r="I102" s="322"/>
      <c r="J102" s="322" t="s">
        <v>249</v>
      </c>
      <c r="K102" s="322"/>
      <c r="L102" s="393"/>
      <c r="M102" s="393"/>
      <c r="N102" s="393" t="s">
        <v>542</v>
      </c>
    </row>
    <row r="103" spans="1:15">
      <c r="A103" s="323">
        <v>10</v>
      </c>
      <c r="C103" s="332" t="str">
        <f>+C95</f>
        <v xml:space="preserve">  General &amp; Intangible</v>
      </c>
      <c r="D103" s="322" t="s">
        <v>543</v>
      </c>
      <c r="E103" s="337">
        <f>9724512+6520498</f>
        <v>16245010</v>
      </c>
      <c r="F103" s="322"/>
      <c r="G103" s="322" t="str">
        <f t="shared" si="1"/>
        <v>W/S</v>
      </c>
      <c r="H103" s="392">
        <f t="shared" si="1"/>
        <v>0.15070038929627774</v>
      </c>
      <c r="I103" s="322"/>
      <c r="J103" s="322">
        <f>+H103*E103</f>
        <v>2448129.3311219248</v>
      </c>
      <c r="K103" s="322"/>
      <c r="L103" s="393"/>
      <c r="M103" s="393"/>
      <c r="N103" s="393" t="s">
        <v>542</v>
      </c>
    </row>
    <row r="104" spans="1:15" ht="16.5" thickBot="1">
      <c r="A104" s="323">
        <v>11</v>
      </c>
      <c r="C104" s="332" t="str">
        <f>+C96</f>
        <v xml:space="preserve">  Common</v>
      </c>
      <c r="D104" s="322" t="s">
        <v>536</v>
      </c>
      <c r="E104" s="394">
        <v>41503012</v>
      </c>
      <c r="F104" s="322"/>
      <c r="G104" s="322" t="str">
        <f t="shared" si="1"/>
        <v>CE</v>
      </c>
      <c r="H104" s="392">
        <f t="shared" si="1"/>
        <v>0.11138246947454092</v>
      </c>
      <c r="I104" s="322"/>
      <c r="J104" s="340">
        <f>+H104*E104</f>
        <v>4622707.9671915052</v>
      </c>
      <c r="K104" s="322"/>
      <c r="L104" s="387"/>
      <c r="M104" s="358"/>
      <c r="N104" s="393" t="s">
        <v>544</v>
      </c>
      <c r="O104" s="393"/>
    </row>
    <row r="105" spans="1:15">
      <c r="A105" s="323">
        <v>12</v>
      </c>
      <c r="C105" s="332" t="s">
        <v>545</v>
      </c>
      <c r="D105" s="322"/>
      <c r="E105" s="322">
        <f>SUM(E100:E104)</f>
        <v>497009756</v>
      </c>
      <c r="F105" s="322"/>
      <c r="G105" s="322"/>
      <c r="H105" s="322"/>
      <c r="I105" s="322"/>
      <c r="J105" s="322">
        <f>SUM(J100:J104)</f>
        <v>89986705.889982611</v>
      </c>
      <c r="K105" s="322"/>
      <c r="L105" s="387"/>
      <c r="M105" s="358"/>
      <c r="N105" s="393"/>
      <c r="O105" s="393"/>
    </row>
    <row r="106" spans="1:15">
      <c r="A106" s="323"/>
      <c r="D106" s="322" t="s">
        <v>249</v>
      </c>
      <c r="F106" s="322"/>
      <c r="G106" s="322"/>
      <c r="H106" s="395"/>
      <c r="I106" s="322"/>
      <c r="K106" s="322"/>
      <c r="L106" s="387"/>
      <c r="M106" s="358"/>
      <c r="N106" s="393"/>
      <c r="O106" s="393"/>
    </row>
    <row r="107" spans="1:15">
      <c r="A107" s="323"/>
      <c r="C107" s="390" t="s">
        <v>546</v>
      </c>
      <c r="D107" s="322"/>
      <c r="E107" s="322"/>
      <c r="F107" s="322"/>
      <c r="G107" s="322"/>
      <c r="H107" s="322"/>
      <c r="I107" s="322"/>
      <c r="J107" s="322"/>
      <c r="K107" s="322"/>
      <c r="L107" s="322"/>
      <c r="N107" s="322"/>
      <c r="O107" s="322"/>
    </row>
    <row r="108" spans="1:15">
      <c r="A108" s="323">
        <v>13</v>
      </c>
      <c r="C108" s="332" t="str">
        <f>+C100</f>
        <v xml:space="preserve">  Production</v>
      </c>
      <c r="D108" s="322" t="s">
        <v>547</v>
      </c>
      <c r="E108" s="322">
        <f>E92-E100</f>
        <v>225922608</v>
      </c>
      <c r="F108" s="322"/>
      <c r="G108" s="322"/>
      <c r="H108" s="395"/>
      <c r="I108" s="322"/>
      <c r="J108" s="322" t="s">
        <v>249</v>
      </c>
      <c r="K108" s="322"/>
      <c r="L108" s="322"/>
      <c r="N108" s="322"/>
      <c r="O108" s="322"/>
    </row>
    <row r="109" spans="1:15">
      <c r="A109" s="323">
        <v>14</v>
      </c>
      <c r="C109" s="332" t="str">
        <f>+C101</f>
        <v xml:space="preserve">  Transmission</v>
      </c>
      <c r="D109" s="322" t="s">
        <v>548</v>
      </c>
      <c r="E109" s="322">
        <f>E93-E101</f>
        <v>94784464</v>
      </c>
      <c r="F109" s="322"/>
      <c r="G109" s="322"/>
      <c r="H109" s="392"/>
      <c r="I109" s="322"/>
      <c r="J109" s="322">
        <f>J93-J101</f>
        <v>90274354.408330813</v>
      </c>
      <c r="K109" s="322"/>
      <c r="L109" s="322"/>
      <c r="N109" s="322"/>
      <c r="O109" s="322"/>
    </row>
    <row r="110" spans="1:15">
      <c r="A110" s="323">
        <v>15</v>
      </c>
      <c r="C110" s="332" t="str">
        <f>+C102</f>
        <v xml:space="preserve">  Distribution</v>
      </c>
      <c r="D110" s="322" t="s">
        <v>549</v>
      </c>
      <c r="E110" s="322">
        <f>E94-E102</f>
        <v>136393537</v>
      </c>
      <c r="F110" s="322"/>
      <c r="G110" s="322"/>
      <c r="H110" s="395"/>
      <c r="I110" s="322"/>
      <c r="J110" s="322" t="s">
        <v>249</v>
      </c>
      <c r="K110" s="322"/>
      <c r="L110" s="322"/>
      <c r="N110" s="322"/>
      <c r="O110" s="322"/>
    </row>
    <row r="111" spans="1:15">
      <c r="A111" s="323">
        <v>16</v>
      </c>
      <c r="C111" s="332" t="str">
        <f>+C103</f>
        <v xml:space="preserve">  General &amp; Intangible</v>
      </c>
      <c r="D111" s="322" t="s">
        <v>550</v>
      </c>
      <c r="E111" s="322">
        <f>E95-E103</f>
        <v>15235885</v>
      </c>
      <c r="F111" s="322"/>
      <c r="G111" s="322"/>
      <c r="H111" s="395"/>
      <c r="I111" s="322"/>
      <c r="J111" s="322">
        <f>J95-J103</f>
        <v>2296053.8007733184</v>
      </c>
      <c r="K111" s="322"/>
      <c r="L111" s="322"/>
      <c r="N111" s="322"/>
      <c r="O111" s="322"/>
    </row>
    <row r="112" spans="1:15" ht="16.5" thickBot="1">
      <c r="A112" s="323">
        <v>17</v>
      </c>
      <c r="C112" s="332" t="str">
        <f>+C104</f>
        <v xml:space="preserve">  Common</v>
      </c>
      <c r="D112" s="322" t="s">
        <v>551</v>
      </c>
      <c r="E112" s="340">
        <f>E96-E104</f>
        <v>55588196</v>
      </c>
      <c r="F112" s="322"/>
      <c r="G112" s="322"/>
      <c r="H112" s="395"/>
      <c r="I112" s="322"/>
      <c r="J112" s="340">
        <f>J96-J104</f>
        <v>6191550.5441147974</v>
      </c>
      <c r="K112" s="322"/>
      <c r="L112" s="322"/>
      <c r="N112" s="322"/>
      <c r="O112" s="322"/>
    </row>
    <row r="113" spans="1:17">
      <c r="A113" s="323">
        <v>18</v>
      </c>
      <c r="C113" s="332" t="s">
        <v>552</v>
      </c>
      <c r="D113" s="322"/>
      <c r="E113" s="322">
        <f>SUM(E108:E112)</f>
        <v>527924690</v>
      </c>
      <c r="F113" s="322"/>
      <c r="G113" s="322" t="s">
        <v>553</v>
      </c>
      <c r="H113" s="395">
        <f>IF(J113&gt;0,J113/E113,0)</f>
        <v>0.18707584741531777</v>
      </c>
      <c r="I113" s="322"/>
      <c r="J113" s="322">
        <f>SUM(J108:J112)</f>
        <v>98761958.753218934</v>
      </c>
      <c r="K113" s="322"/>
      <c r="L113" s="322"/>
      <c r="N113" s="322"/>
      <c r="O113" s="322"/>
    </row>
    <row r="114" spans="1:17">
      <c r="A114" s="323"/>
      <c r="C114" s="332"/>
      <c r="D114" s="322"/>
      <c r="E114" s="322"/>
      <c r="F114" s="322"/>
      <c r="G114" s="322"/>
      <c r="H114" s="395"/>
      <c r="I114" s="322"/>
      <c r="J114" s="322"/>
      <c r="K114" s="322"/>
      <c r="L114" s="322"/>
      <c r="N114" s="322"/>
      <c r="O114" s="322"/>
      <c r="P114" s="322"/>
    </row>
    <row r="115" spans="1:17">
      <c r="A115" s="343" t="s">
        <v>554</v>
      </c>
      <c r="C115" s="396" t="s">
        <v>555</v>
      </c>
      <c r="D115" s="397"/>
      <c r="E115" s="322"/>
      <c r="F115" s="322"/>
      <c r="G115" s="322"/>
      <c r="H115" s="395"/>
      <c r="I115" s="322"/>
      <c r="J115" s="322"/>
      <c r="K115" s="322"/>
      <c r="L115" s="322"/>
      <c r="O115" s="322"/>
      <c r="P115" s="322"/>
    </row>
    <row r="116" spans="1:17">
      <c r="B116" s="398"/>
      <c r="C116" s="399" t="s">
        <v>556</v>
      </c>
      <c r="D116" s="400" t="s">
        <v>557</v>
      </c>
      <c r="E116" s="401">
        <v>1407658</v>
      </c>
      <c r="F116" s="344"/>
      <c r="G116" s="344" t="s">
        <v>558</v>
      </c>
      <c r="H116" s="392">
        <v>1</v>
      </c>
      <c r="I116" s="344"/>
      <c r="J116" s="344">
        <f>E116</f>
        <v>1407658</v>
      </c>
      <c r="K116" s="322"/>
      <c r="L116" s="322"/>
      <c r="N116" s="402">
        <v>15</v>
      </c>
      <c r="O116" s="322"/>
      <c r="P116" s="322"/>
    </row>
    <row r="117" spans="1:17">
      <c r="A117" s="323"/>
      <c r="D117" s="322"/>
      <c r="F117" s="322"/>
      <c r="I117" s="322"/>
      <c r="K117" s="322"/>
      <c r="L117" s="322"/>
      <c r="O117" s="322"/>
      <c r="P117" s="322"/>
    </row>
    <row r="118" spans="1:17">
      <c r="A118" s="323"/>
      <c r="C118" s="311" t="s">
        <v>559</v>
      </c>
      <c r="D118" s="391"/>
      <c r="E118" s="322"/>
      <c r="F118" s="322"/>
      <c r="G118" s="322"/>
      <c r="H118" s="322"/>
      <c r="I118" s="322"/>
      <c r="J118" s="322"/>
      <c r="K118" s="322"/>
      <c r="L118" s="322"/>
      <c r="N118" s="322"/>
      <c r="O118" s="322"/>
      <c r="P118" s="322"/>
    </row>
    <row r="119" spans="1:17">
      <c r="A119" s="323">
        <v>19</v>
      </c>
      <c r="C119" s="390" t="s">
        <v>560</v>
      </c>
      <c r="D119" s="333" t="s">
        <v>10</v>
      </c>
      <c r="E119" s="403">
        <v>0</v>
      </c>
      <c r="F119" s="333"/>
      <c r="G119" s="333" t="str">
        <f>+G100</f>
        <v>NA</v>
      </c>
      <c r="H119" s="404" t="s">
        <v>561</v>
      </c>
      <c r="I119" s="322"/>
      <c r="J119" s="405">
        <v>0</v>
      </c>
      <c r="K119" s="322"/>
      <c r="L119" s="322"/>
      <c r="N119" s="322"/>
      <c r="O119" s="322"/>
      <c r="P119" s="322"/>
    </row>
    <row r="120" spans="1:17">
      <c r="A120" s="323">
        <v>20</v>
      </c>
      <c r="C120" s="390" t="s">
        <v>562</v>
      </c>
      <c r="D120" s="333" t="s">
        <v>11</v>
      </c>
      <c r="E120" s="403">
        <v>-138035371</v>
      </c>
      <c r="F120" s="322"/>
      <c r="G120" s="322" t="s">
        <v>563</v>
      </c>
      <c r="H120" s="392">
        <f>+H113</f>
        <v>0.18707584741531777</v>
      </c>
      <c r="I120" s="322"/>
      <c r="J120" s="405">
        <f>E120*H120</f>
        <v>-25823084.003112778</v>
      </c>
      <c r="K120" s="322"/>
      <c r="L120" s="322"/>
      <c r="N120" s="322" t="s">
        <v>564</v>
      </c>
      <c r="O120" s="322"/>
      <c r="P120" s="322"/>
    </row>
    <row r="121" spans="1:17">
      <c r="A121" s="323">
        <v>21</v>
      </c>
      <c r="C121" s="390" t="s">
        <v>565</v>
      </c>
      <c r="D121" s="333" t="s">
        <v>12</v>
      </c>
      <c r="E121" s="406">
        <v>-17053870</v>
      </c>
      <c r="F121" s="322"/>
      <c r="G121" s="322" t="s">
        <v>563</v>
      </c>
      <c r="H121" s="392">
        <f>+H120</f>
        <v>0.18707584741531777</v>
      </c>
      <c r="I121" s="322"/>
      <c r="J121" s="405">
        <f>E121*H121</f>
        <v>-3190367.1819606652</v>
      </c>
      <c r="K121" s="322"/>
      <c r="L121" s="322"/>
      <c r="N121" s="322" t="s">
        <v>564</v>
      </c>
      <c r="O121" s="322"/>
      <c r="P121" s="322"/>
    </row>
    <row r="122" spans="1:17">
      <c r="A122" s="323">
        <v>22</v>
      </c>
      <c r="C122" s="390" t="s">
        <v>566</v>
      </c>
      <c r="D122" s="333" t="s">
        <v>240</v>
      </c>
      <c r="E122" s="406">
        <v>18030471</v>
      </c>
      <c r="F122" s="322"/>
      <c r="G122" s="322" t="str">
        <f>+G121</f>
        <v>NP</v>
      </c>
      <c r="H122" s="392">
        <f>+H121</f>
        <v>0.18707584741531777</v>
      </c>
      <c r="I122" s="322"/>
      <c r="J122" s="405">
        <f>E122*H122</f>
        <v>3373065.6416223119</v>
      </c>
      <c r="K122" s="322"/>
      <c r="L122" s="322"/>
      <c r="N122" s="322" t="s">
        <v>564</v>
      </c>
      <c r="O122" s="322"/>
      <c r="P122" s="322"/>
    </row>
    <row r="123" spans="1:17">
      <c r="A123" s="323">
        <v>23</v>
      </c>
      <c r="C123" s="398" t="s">
        <v>567</v>
      </c>
      <c r="D123" s="375" t="s">
        <v>13</v>
      </c>
      <c r="E123" s="406">
        <v>0</v>
      </c>
      <c r="F123" s="322"/>
      <c r="G123" s="322" t="s">
        <v>563</v>
      </c>
      <c r="H123" s="392">
        <f>+H121</f>
        <v>0.18707584741531777</v>
      </c>
      <c r="I123" s="322"/>
      <c r="J123" s="407">
        <f>E123*H123</f>
        <v>0</v>
      </c>
      <c r="K123" s="322"/>
      <c r="L123" s="393"/>
      <c r="M123" s="358"/>
      <c r="N123" s="393"/>
      <c r="O123" s="393"/>
      <c r="P123" s="358"/>
      <c r="Q123" s="358"/>
    </row>
    <row r="124" spans="1:17">
      <c r="A124" s="323" t="s">
        <v>568</v>
      </c>
      <c r="C124" s="398" t="s">
        <v>569</v>
      </c>
      <c r="D124" s="375"/>
      <c r="E124" s="406"/>
      <c r="F124" s="322"/>
      <c r="G124" s="322"/>
      <c r="H124" s="392"/>
      <c r="I124" s="322"/>
      <c r="J124" s="407"/>
      <c r="K124" s="322"/>
      <c r="L124" s="393"/>
      <c r="M124" s="358"/>
      <c r="N124" s="393"/>
      <c r="O124" s="393"/>
      <c r="P124" s="358"/>
      <c r="Q124" s="358"/>
    </row>
    <row r="125" spans="1:17">
      <c r="A125" s="343" t="s">
        <v>570</v>
      </c>
      <c r="C125" s="398" t="s">
        <v>571</v>
      </c>
      <c r="D125" s="398" t="s">
        <v>572</v>
      </c>
      <c r="E125" s="408">
        <v>0</v>
      </c>
      <c r="F125" s="322"/>
      <c r="G125" s="344" t="s">
        <v>558</v>
      </c>
      <c r="H125" s="392">
        <v>1</v>
      </c>
      <c r="I125" s="344"/>
      <c r="J125" s="409">
        <f>E125*H125</f>
        <v>0</v>
      </c>
      <c r="K125" s="322"/>
      <c r="L125" s="393"/>
      <c r="M125" s="358"/>
      <c r="N125" s="393"/>
      <c r="O125" s="393"/>
      <c r="P125" s="358"/>
      <c r="Q125" s="358"/>
    </row>
    <row r="126" spans="1:17">
      <c r="A126" s="323">
        <v>24</v>
      </c>
      <c r="C126" s="390" t="s">
        <v>573</v>
      </c>
      <c r="D126" s="322"/>
      <c r="E126" s="405">
        <f>SUM(E119:E125)</f>
        <v>-137058770</v>
      </c>
      <c r="F126" s="322"/>
      <c r="G126" s="322"/>
      <c r="H126" s="322"/>
      <c r="I126" s="322"/>
      <c r="J126" s="405">
        <f>SUM(J119:J125)</f>
        <v>-25640385.54345113</v>
      </c>
      <c r="K126" s="322"/>
      <c r="L126" s="393"/>
      <c r="M126" s="358"/>
      <c r="N126" s="393"/>
      <c r="O126" s="393"/>
      <c r="P126" s="358"/>
      <c r="Q126" s="358"/>
    </row>
    <row r="127" spans="1:17">
      <c r="A127" s="323"/>
      <c r="D127" s="322"/>
      <c r="F127" s="322"/>
      <c r="G127" s="322"/>
      <c r="H127" s="395"/>
      <c r="I127" s="322"/>
      <c r="K127" s="322"/>
      <c r="L127" s="393"/>
      <c r="M127" s="358"/>
      <c r="N127" s="393"/>
      <c r="O127" s="393"/>
      <c r="P127" s="358"/>
      <c r="Q127" s="358"/>
    </row>
    <row r="128" spans="1:17">
      <c r="A128" s="323">
        <v>25</v>
      </c>
      <c r="C128" s="410" t="s">
        <v>574</v>
      </c>
      <c r="D128" s="322" t="s">
        <v>575</v>
      </c>
      <c r="E128" s="337">
        <v>0</v>
      </c>
      <c r="F128" s="322"/>
      <c r="G128" s="322" t="str">
        <f>+G101</f>
        <v>TP</v>
      </c>
      <c r="H128" s="392">
        <f>+H101</f>
        <v>0.95241720635072447</v>
      </c>
      <c r="I128" s="322"/>
      <c r="J128" s="322">
        <f>+H128*E128</f>
        <v>0</v>
      </c>
      <c r="K128" s="322"/>
      <c r="L128" s="393"/>
      <c r="M128" s="358"/>
      <c r="N128" s="393"/>
      <c r="O128" s="393"/>
      <c r="P128" s="393"/>
      <c r="Q128" s="358"/>
    </row>
    <row r="129" spans="1:17">
      <c r="A129" s="323"/>
      <c r="C129" s="332"/>
      <c r="D129" s="322"/>
      <c r="E129" s="322"/>
      <c r="F129" s="322"/>
      <c r="G129" s="322"/>
      <c r="H129" s="322"/>
      <c r="I129" s="322"/>
      <c r="J129" s="322"/>
      <c r="K129" s="322"/>
      <c r="L129" s="393"/>
      <c r="M129" s="358"/>
      <c r="N129" s="393"/>
      <c r="O129" s="393"/>
      <c r="P129" s="393"/>
      <c r="Q129" s="358"/>
    </row>
    <row r="130" spans="1:17">
      <c r="A130" s="323"/>
      <c r="C130" s="332" t="s">
        <v>576</v>
      </c>
      <c r="D130" s="322"/>
      <c r="E130" s="322"/>
      <c r="F130" s="322"/>
      <c r="G130" s="322"/>
      <c r="H130" s="322"/>
      <c r="I130" s="322"/>
      <c r="J130" s="322"/>
      <c r="K130" s="322"/>
      <c r="L130" s="393"/>
      <c r="M130" s="358"/>
      <c r="N130" s="393"/>
      <c r="O130" s="393"/>
      <c r="P130" s="393"/>
      <c r="Q130" s="358"/>
    </row>
    <row r="131" spans="1:17">
      <c r="A131" s="323">
        <v>26</v>
      </c>
      <c r="C131" s="332" t="s">
        <v>577</v>
      </c>
      <c r="D131" s="322" t="s">
        <v>578</v>
      </c>
      <c r="E131" s="322">
        <f>+E181/8</f>
        <v>3297649.125</v>
      </c>
      <c r="F131" s="322"/>
      <c r="G131" s="322"/>
      <c r="H131" s="395"/>
      <c r="I131" s="322"/>
      <c r="J131" s="322">
        <f>+J181/8</f>
        <v>1195318.5279498901</v>
      </c>
      <c r="K131" s="317"/>
      <c r="L131" s="393"/>
      <c r="M131" s="358"/>
      <c r="N131" s="393"/>
      <c r="O131" s="393"/>
      <c r="P131" s="393"/>
      <c r="Q131" s="358"/>
    </row>
    <row r="132" spans="1:17">
      <c r="A132" s="323">
        <v>27</v>
      </c>
      <c r="C132" s="332" t="s">
        <v>579</v>
      </c>
      <c r="D132" s="322" t="s">
        <v>580</v>
      </c>
      <c r="E132" s="337">
        <v>350980</v>
      </c>
      <c r="F132" s="322"/>
      <c r="G132" s="322" t="s">
        <v>581</v>
      </c>
      <c r="H132" s="392">
        <f>J261</f>
        <v>0.82548083497312663</v>
      </c>
      <c r="I132" s="322"/>
      <c r="J132" s="322">
        <f>+H132*E132</f>
        <v>289727.26345886796</v>
      </c>
      <c r="K132" s="322" t="s">
        <v>249</v>
      </c>
      <c r="L132" s="393"/>
      <c r="M132" s="358"/>
      <c r="N132" s="411">
        <v>4</v>
      </c>
      <c r="O132" s="393"/>
      <c r="P132" s="393"/>
      <c r="Q132" s="358"/>
    </row>
    <row r="133" spans="1:17" ht="16.5" thickBot="1">
      <c r="A133" s="323">
        <v>28</v>
      </c>
      <c r="C133" s="332" t="s">
        <v>582</v>
      </c>
      <c r="D133" s="322" t="s">
        <v>583</v>
      </c>
      <c r="E133" s="394">
        <v>1864263</v>
      </c>
      <c r="F133" s="322"/>
      <c r="G133" s="322" t="s">
        <v>584</v>
      </c>
      <c r="H133" s="392">
        <f>+H97</f>
        <v>0.18415681644794829</v>
      </c>
      <c r="I133" s="322"/>
      <c r="J133" s="340">
        <f>+H133*E133</f>
        <v>343316.73910170142</v>
      </c>
      <c r="K133" s="322"/>
      <c r="L133" s="393"/>
      <c r="M133" s="358"/>
      <c r="N133" s="411">
        <v>5</v>
      </c>
      <c r="O133" s="393"/>
      <c r="P133" s="393"/>
      <c r="Q133" s="358"/>
    </row>
    <row r="134" spans="1:17">
      <c r="A134" s="323">
        <v>29</v>
      </c>
      <c r="C134" s="332" t="s">
        <v>585</v>
      </c>
      <c r="D134" s="322"/>
      <c r="E134" s="322">
        <f>E131+E132+E133</f>
        <v>5512892.125</v>
      </c>
      <c r="F134" s="317"/>
      <c r="G134" s="317"/>
      <c r="H134" s="317"/>
      <c r="I134" s="317"/>
      <c r="J134" s="322">
        <f>J131+J132+J133</f>
        <v>1828362.5305104596</v>
      </c>
      <c r="K134" s="317"/>
      <c r="L134" s="393"/>
      <c r="M134" s="358"/>
      <c r="N134" s="393"/>
      <c r="O134" s="393"/>
      <c r="P134" s="393"/>
      <c r="Q134" s="358"/>
    </row>
    <row r="135" spans="1:17" ht="16.5" thickBot="1">
      <c r="D135" s="322"/>
      <c r="E135" s="412"/>
      <c r="F135" s="322"/>
      <c r="G135" s="322"/>
      <c r="H135" s="322"/>
      <c r="I135" s="322"/>
      <c r="J135" s="412"/>
      <c r="K135" s="322"/>
      <c r="L135" s="393"/>
      <c r="M135" s="358"/>
      <c r="N135" s="393"/>
      <c r="O135" s="393"/>
      <c r="P135" s="393"/>
      <c r="Q135" s="358"/>
    </row>
    <row r="136" spans="1:17" ht="16.5" thickBot="1">
      <c r="A136" s="323">
        <v>30</v>
      </c>
      <c r="C136" s="413" t="s">
        <v>586</v>
      </c>
      <c r="D136" s="322"/>
      <c r="E136" s="414">
        <f>+E134+E128+E126+E113+E116</f>
        <v>397786470.125</v>
      </c>
      <c r="F136" s="322"/>
      <c r="G136" s="322"/>
      <c r="H136" s="395"/>
      <c r="I136" s="322"/>
      <c r="J136" s="414">
        <f>+J134+J128+J126+J113+J116</f>
        <v>76357593.740278259</v>
      </c>
      <c r="K136" s="322"/>
      <c r="L136" s="393"/>
      <c r="M136" s="358"/>
      <c r="N136" s="393"/>
      <c r="O136" s="393"/>
    </row>
    <row r="137" spans="1:17" ht="16.5" thickTop="1">
      <c r="A137" s="323"/>
      <c r="C137" s="332"/>
      <c r="D137" s="322"/>
      <c r="E137" s="393"/>
      <c r="F137" s="322"/>
      <c r="G137" s="322"/>
      <c r="H137" s="395"/>
      <c r="I137" s="322"/>
      <c r="J137" s="393"/>
      <c r="K137" s="322"/>
      <c r="L137" s="415"/>
    </row>
    <row r="138" spans="1:17">
      <c r="A138" s="323"/>
      <c r="C138" s="332"/>
      <c r="D138" s="322"/>
      <c r="E138" s="393"/>
      <c r="F138" s="322"/>
      <c r="G138" s="322"/>
      <c r="H138" s="395"/>
      <c r="I138" s="322"/>
      <c r="J138" s="393"/>
      <c r="K138" s="322"/>
      <c r="L138" s="415"/>
    </row>
    <row r="139" spans="1:17">
      <c r="A139" s="323"/>
      <c r="C139" s="332"/>
      <c r="D139" s="322"/>
      <c r="E139" s="393"/>
      <c r="F139" s="322"/>
      <c r="G139" s="322"/>
      <c r="H139" s="395"/>
      <c r="I139" s="322"/>
      <c r="J139" s="393"/>
      <c r="K139" s="322"/>
      <c r="L139" s="415"/>
    </row>
    <row r="140" spans="1:17">
      <c r="A140" s="323"/>
      <c r="C140" s="332"/>
      <c r="D140" s="322"/>
      <c r="E140" s="393"/>
      <c r="F140" s="322"/>
      <c r="G140" s="322"/>
      <c r="H140" s="395"/>
      <c r="I140" s="322"/>
      <c r="J140" s="393"/>
      <c r="K140" s="322"/>
      <c r="L140" s="415"/>
    </row>
    <row r="141" spans="1:17">
      <c r="A141" s="323"/>
      <c r="C141" s="332"/>
      <c r="D141" s="322"/>
      <c r="E141" s="393"/>
      <c r="F141" s="322"/>
      <c r="G141" s="322"/>
      <c r="H141" s="395"/>
      <c r="I141" s="322"/>
      <c r="J141" s="393"/>
      <c r="K141" s="322"/>
      <c r="L141" s="415"/>
    </row>
    <row r="142" spans="1:17">
      <c r="A142" s="323"/>
      <c r="C142" s="332"/>
      <c r="D142" s="322"/>
      <c r="E142" s="393"/>
      <c r="F142" s="322"/>
      <c r="G142" s="322"/>
      <c r="H142" s="395"/>
      <c r="I142" s="322"/>
      <c r="J142" s="393"/>
      <c r="K142" s="322"/>
      <c r="L142" s="415"/>
    </row>
    <row r="143" spans="1:17">
      <c r="A143" s="323"/>
      <c r="C143" s="332"/>
      <c r="D143" s="322"/>
      <c r="E143" s="393"/>
      <c r="F143" s="322"/>
      <c r="G143" s="322"/>
      <c r="H143" s="395"/>
      <c r="I143" s="322"/>
      <c r="J143" s="393"/>
      <c r="K143" s="322"/>
      <c r="L143" s="415"/>
    </row>
    <row r="144" spans="1:17">
      <c r="A144" s="323"/>
      <c r="C144" s="332"/>
      <c r="D144" s="322"/>
      <c r="E144" s="393"/>
      <c r="F144" s="322"/>
      <c r="G144" s="322"/>
      <c r="H144" s="395"/>
      <c r="I144" s="322"/>
      <c r="J144" s="393"/>
      <c r="K144" s="322"/>
      <c r="L144" s="415"/>
    </row>
    <row r="145" spans="1:12">
      <c r="A145" s="323"/>
      <c r="C145" s="332"/>
      <c r="D145" s="322"/>
      <c r="E145" s="393"/>
      <c r="F145" s="322"/>
      <c r="G145" s="322"/>
      <c r="H145" s="395"/>
      <c r="I145" s="322"/>
      <c r="J145" s="393"/>
      <c r="K145" s="322"/>
      <c r="L145" s="415"/>
    </row>
    <row r="146" spans="1:12">
      <c r="A146" s="323"/>
      <c r="C146" s="332"/>
      <c r="D146" s="322"/>
      <c r="E146" s="393"/>
      <c r="F146" s="322"/>
      <c r="G146" s="322"/>
      <c r="H146" s="395"/>
      <c r="I146" s="322"/>
      <c r="J146" s="393"/>
      <c r="K146" s="322"/>
      <c r="L146" s="415"/>
    </row>
    <row r="147" spans="1:12">
      <c r="A147" s="323"/>
      <c r="C147" s="332"/>
      <c r="D147" s="322"/>
      <c r="E147" s="393"/>
      <c r="F147" s="322"/>
      <c r="G147" s="322"/>
      <c r="H147" s="395"/>
      <c r="I147" s="322"/>
      <c r="J147" s="393"/>
      <c r="K147" s="322"/>
      <c r="L147" s="415"/>
    </row>
    <row r="148" spans="1:12">
      <c r="A148" s="323"/>
      <c r="C148" s="332"/>
      <c r="D148" s="322"/>
      <c r="E148" s="393"/>
      <c r="F148" s="322"/>
      <c r="G148" s="322"/>
      <c r="H148" s="395"/>
      <c r="I148" s="322"/>
      <c r="J148" s="393"/>
      <c r="K148" s="322"/>
      <c r="L148" s="415"/>
    </row>
    <row r="149" spans="1:12">
      <c r="A149" s="323"/>
      <c r="C149" s="332"/>
      <c r="D149" s="322"/>
      <c r="E149" s="393"/>
      <c r="F149" s="322"/>
      <c r="G149" s="322"/>
      <c r="H149" s="395"/>
      <c r="I149" s="322"/>
      <c r="J149" s="393"/>
      <c r="K149" s="322"/>
      <c r="L149" s="415"/>
    </row>
    <row r="150" spans="1:12">
      <c r="A150" s="323"/>
      <c r="C150" s="332"/>
      <c r="D150" s="322"/>
      <c r="E150" s="393"/>
      <c r="F150" s="322"/>
      <c r="G150" s="322"/>
      <c r="H150" s="395"/>
      <c r="I150" s="322"/>
      <c r="J150" s="393"/>
      <c r="K150" s="322"/>
      <c r="L150" s="415"/>
    </row>
    <row r="151" spans="1:12">
      <c r="A151" s="323"/>
      <c r="C151" s="332"/>
      <c r="D151" s="322"/>
      <c r="E151" s="393"/>
      <c r="F151" s="322"/>
      <c r="G151" s="322"/>
      <c r="H151" s="395"/>
      <c r="I151" s="322"/>
      <c r="J151" s="393"/>
      <c r="K151" s="322"/>
      <c r="L151" s="415"/>
    </row>
    <row r="152" spans="1:12">
      <c r="A152" s="323"/>
      <c r="C152" s="332"/>
      <c r="D152" s="322"/>
      <c r="E152" s="393"/>
      <c r="F152" s="322"/>
      <c r="G152" s="322"/>
      <c r="H152" s="395"/>
      <c r="I152" s="322"/>
      <c r="J152" s="393"/>
      <c r="K152" s="322"/>
      <c r="L152" s="415"/>
    </row>
    <row r="153" spans="1:12">
      <c r="A153" s="323"/>
      <c r="C153" s="332"/>
      <c r="D153" s="322"/>
      <c r="E153" s="393"/>
      <c r="F153" s="322"/>
      <c r="G153" s="322"/>
      <c r="H153" s="395"/>
      <c r="I153" s="322"/>
      <c r="J153" s="393"/>
      <c r="K153" s="322"/>
      <c r="L153" s="415"/>
    </row>
    <row r="154" spans="1:12">
      <c r="A154" s="323"/>
      <c r="C154" s="332"/>
      <c r="D154" s="322"/>
      <c r="E154" s="393"/>
      <c r="F154" s="322"/>
      <c r="G154" s="322"/>
      <c r="H154" s="395"/>
      <c r="I154" s="322"/>
      <c r="J154" s="393"/>
      <c r="K154" s="322"/>
      <c r="L154" s="415"/>
    </row>
    <row r="155" spans="1:12">
      <c r="A155" s="323"/>
      <c r="C155" s="332"/>
      <c r="D155" s="322"/>
      <c r="E155" s="393"/>
      <c r="F155" s="322"/>
      <c r="G155" s="322"/>
      <c r="H155" s="395"/>
      <c r="I155" s="322"/>
      <c r="J155" s="393"/>
      <c r="K155" s="322"/>
      <c r="L155" s="415"/>
    </row>
    <row r="156" spans="1:12">
      <c r="C156" s="311"/>
      <c r="D156" s="311"/>
      <c r="E156" s="312"/>
      <c r="F156" s="311"/>
      <c r="G156" s="311"/>
      <c r="H156" s="311"/>
      <c r="I156" s="313"/>
      <c r="J156" s="323"/>
      <c r="K156" s="323"/>
      <c r="L156" s="315"/>
    </row>
    <row r="157" spans="1:12">
      <c r="C157" s="311"/>
      <c r="D157" s="311"/>
      <c r="E157" s="312"/>
      <c r="F157" s="311"/>
      <c r="G157" s="311"/>
      <c r="H157" s="311"/>
      <c r="I157" s="313"/>
      <c r="J157" s="314"/>
      <c r="K157" s="314"/>
      <c r="L157" s="315"/>
    </row>
    <row r="158" spans="1:12">
      <c r="C158" s="311"/>
      <c r="D158" s="311"/>
      <c r="E158" s="312"/>
      <c r="F158" s="311"/>
      <c r="G158" s="311"/>
      <c r="H158" s="311"/>
      <c r="I158" s="313"/>
      <c r="J158" s="314"/>
      <c r="K158" s="314"/>
      <c r="L158" s="315"/>
    </row>
    <row r="159" spans="1:12">
      <c r="C159" s="311"/>
      <c r="D159" s="311"/>
      <c r="E159" s="312"/>
      <c r="F159" s="311"/>
      <c r="G159" s="311"/>
      <c r="H159" s="311"/>
      <c r="I159" s="313"/>
      <c r="J159" s="313"/>
      <c r="L159" s="316" t="s">
        <v>0</v>
      </c>
    </row>
    <row r="160" spans="1:12">
      <c r="C160" s="311"/>
      <c r="D160" s="311"/>
      <c r="E160" s="312"/>
      <c r="F160" s="311"/>
      <c r="G160" s="311"/>
      <c r="H160" s="311"/>
      <c r="I160" s="313"/>
      <c r="J160" s="313"/>
      <c r="K160" s="317"/>
      <c r="L160" s="318" t="s">
        <v>587</v>
      </c>
    </row>
    <row r="161" spans="1:15">
      <c r="C161" s="311"/>
      <c r="D161" s="311"/>
      <c r="E161" s="312"/>
      <c r="F161" s="311"/>
      <c r="G161" s="311"/>
      <c r="H161" s="311"/>
      <c r="I161" s="313"/>
      <c r="J161" s="313"/>
      <c r="K161" s="317"/>
      <c r="L161" s="318"/>
    </row>
    <row r="162" spans="1:15">
      <c r="C162" s="311" t="s">
        <v>450</v>
      </c>
      <c r="D162" s="311"/>
      <c r="E162" s="312" t="s">
        <v>451</v>
      </c>
      <c r="F162" s="311"/>
      <c r="G162" s="311"/>
      <c r="H162" s="311"/>
      <c r="I162" s="313"/>
      <c r="J162" s="320" t="str">
        <f>J5</f>
        <v>For the 12 months ended 12/31/13</v>
      </c>
      <c r="K162" s="321"/>
      <c r="L162" s="321"/>
    </row>
    <row r="163" spans="1:15">
      <c r="C163" s="311"/>
      <c r="D163" s="322" t="s">
        <v>249</v>
      </c>
      <c r="E163" s="322" t="s">
        <v>453</v>
      </c>
      <c r="F163" s="322"/>
      <c r="G163" s="322"/>
      <c r="H163" s="322"/>
      <c r="I163" s="313"/>
      <c r="J163" s="313"/>
      <c r="K163" s="317"/>
      <c r="L163" s="319"/>
    </row>
    <row r="164" spans="1:15">
      <c r="C164" s="311"/>
      <c r="D164" s="322"/>
      <c r="E164" s="322"/>
      <c r="F164" s="322"/>
      <c r="G164" s="322"/>
      <c r="H164" s="322"/>
      <c r="I164" s="313"/>
      <c r="J164" s="313"/>
      <c r="K164" s="317"/>
      <c r="L164" s="319"/>
    </row>
    <row r="165" spans="1:15">
      <c r="A165" s="323"/>
      <c r="E165" s="324" t="str">
        <f>E8</f>
        <v>Montana-Dakota Utilities Co.</v>
      </c>
      <c r="F165" s="325"/>
      <c r="G165" s="325"/>
      <c r="K165" s="322"/>
      <c r="L165" s="333"/>
    </row>
    <row r="166" spans="1:15">
      <c r="A166" s="323"/>
      <c r="C166" s="378" t="s">
        <v>516</v>
      </c>
      <c r="D166" s="378" t="s">
        <v>517</v>
      </c>
      <c r="E166" s="378" t="s">
        <v>518</v>
      </c>
      <c r="F166" s="322" t="s">
        <v>249</v>
      </c>
      <c r="G166" s="322"/>
      <c r="H166" s="379" t="s">
        <v>519</v>
      </c>
      <c r="I166" s="322"/>
      <c r="J166" s="380" t="s">
        <v>520</v>
      </c>
      <c r="K166" s="322"/>
      <c r="L166" s="333"/>
    </row>
    <row r="167" spans="1:15">
      <c r="A167" s="323"/>
      <c r="C167" s="378"/>
      <c r="D167" s="313"/>
      <c r="E167" s="313"/>
      <c r="F167" s="313"/>
      <c r="G167" s="313"/>
      <c r="H167" s="313"/>
      <c r="I167" s="313"/>
      <c r="J167" s="313"/>
      <c r="K167" s="313"/>
      <c r="L167" s="416"/>
    </row>
    <row r="168" spans="1:15">
      <c r="A168" s="323" t="s">
        <v>454</v>
      </c>
      <c r="C168" s="332"/>
      <c r="D168" s="382" t="s">
        <v>521</v>
      </c>
      <c r="E168" s="322"/>
      <c r="F168" s="322"/>
      <c r="G168" s="322"/>
      <c r="H168" s="323"/>
      <c r="I168" s="322"/>
      <c r="J168" s="383" t="s">
        <v>2</v>
      </c>
      <c r="K168" s="322"/>
      <c r="L168" s="416"/>
      <c r="N168" s="327" t="s">
        <v>455</v>
      </c>
    </row>
    <row r="169" spans="1:15" ht="16.5" thickBot="1">
      <c r="A169" s="328" t="s">
        <v>456</v>
      </c>
      <c r="C169" s="332"/>
      <c r="D169" s="384" t="s">
        <v>3</v>
      </c>
      <c r="E169" s="383" t="s">
        <v>522</v>
      </c>
      <c r="F169" s="385"/>
      <c r="G169" s="383" t="s">
        <v>523</v>
      </c>
      <c r="I169" s="385"/>
      <c r="J169" s="323" t="s">
        <v>524</v>
      </c>
      <c r="K169" s="322"/>
      <c r="L169" s="416"/>
      <c r="N169" s="329" t="s">
        <v>458</v>
      </c>
    </row>
    <row r="170" spans="1:15">
      <c r="C170" s="332"/>
      <c r="D170" s="322"/>
      <c r="E170" s="417"/>
      <c r="F170" s="418"/>
      <c r="G170" s="419"/>
      <c r="I170" s="418"/>
      <c r="J170" s="417"/>
      <c r="K170" s="322"/>
      <c r="L170" s="388"/>
      <c r="M170" s="358"/>
      <c r="N170" s="389"/>
      <c r="O170" s="389"/>
    </row>
    <row r="171" spans="1:15">
      <c r="A171" s="323"/>
      <c r="C171" s="332" t="s">
        <v>588</v>
      </c>
      <c r="D171" s="322"/>
      <c r="E171" s="322"/>
      <c r="F171" s="322"/>
      <c r="G171" s="322"/>
      <c r="H171" s="322"/>
      <c r="I171" s="322"/>
      <c r="J171" s="322"/>
      <c r="K171" s="322"/>
      <c r="L171" s="388"/>
      <c r="M171" s="358"/>
      <c r="N171" s="389"/>
      <c r="O171" s="389"/>
    </row>
    <row r="172" spans="1:15">
      <c r="A172" s="323">
        <v>1</v>
      </c>
      <c r="C172" s="332" t="s">
        <v>589</v>
      </c>
      <c r="D172" s="322" t="s">
        <v>590</v>
      </c>
      <c r="E172" s="337">
        <v>10601838</v>
      </c>
      <c r="F172" s="322"/>
      <c r="G172" s="322" t="s">
        <v>581</v>
      </c>
      <c r="H172" s="392">
        <f>J261</f>
        <v>0.82548083497312663</v>
      </c>
      <c r="I172" s="322"/>
      <c r="J172" s="322">
        <f>+H172*E172</f>
        <v>8751614.0844898224</v>
      </c>
      <c r="K172" s="317"/>
      <c r="L172" s="393"/>
      <c r="M172" s="358"/>
      <c r="N172" s="411">
        <v>6</v>
      </c>
      <c r="O172" s="393"/>
    </row>
    <row r="173" spans="1:15">
      <c r="A173" s="374" t="s">
        <v>591</v>
      </c>
      <c r="B173" s="375"/>
      <c r="C173" s="376" t="s">
        <v>592</v>
      </c>
      <c r="D173" s="333"/>
      <c r="E173" s="337">
        <v>489820</v>
      </c>
      <c r="F173" s="322"/>
      <c r="G173" s="420"/>
      <c r="H173" s="392">
        <v>1</v>
      </c>
      <c r="I173" s="322"/>
      <c r="J173" s="322">
        <f>+H173*E173</f>
        <v>489820</v>
      </c>
      <c r="K173" s="317"/>
      <c r="L173" s="393"/>
      <c r="M173" s="358"/>
      <c r="N173" s="411">
        <v>6</v>
      </c>
      <c r="O173" s="393"/>
    </row>
    <row r="174" spans="1:15">
      <c r="A174" s="323">
        <v>2</v>
      </c>
      <c r="C174" s="332" t="s">
        <v>593</v>
      </c>
      <c r="D174" s="322" t="s">
        <v>594</v>
      </c>
      <c r="E174" s="337">
        <v>1705765</v>
      </c>
      <c r="F174" s="322"/>
      <c r="G174" s="322" t="s">
        <v>581</v>
      </c>
      <c r="H174" s="392">
        <f>+H172</f>
        <v>0.82548083497312663</v>
      </c>
      <c r="I174" s="322"/>
      <c r="J174" s="322">
        <f t="shared" ref="J174:J180" si="2">+H174*E174</f>
        <v>1408076.3164679355</v>
      </c>
      <c r="K174" s="317"/>
      <c r="L174" s="393"/>
      <c r="M174" s="358"/>
      <c r="N174" s="411">
        <v>6</v>
      </c>
      <c r="O174" s="393"/>
    </row>
    <row r="175" spans="1:15">
      <c r="A175" s="323">
        <v>3</v>
      </c>
      <c r="C175" s="332" t="s">
        <v>595</v>
      </c>
      <c r="D175" s="322" t="s">
        <v>596</v>
      </c>
      <c r="E175" s="337">
        <v>18554979</v>
      </c>
      <c r="F175" s="322"/>
      <c r="G175" s="322" t="s">
        <v>534</v>
      </c>
      <c r="H175" s="392">
        <f>+H103</f>
        <v>0.15070038929627774</v>
      </c>
      <c r="I175" s="322"/>
      <c r="J175" s="322">
        <f t="shared" si="2"/>
        <v>2796242.5586842583</v>
      </c>
      <c r="K175" s="322"/>
      <c r="L175" s="393"/>
      <c r="M175" s="358"/>
      <c r="N175" s="411">
        <v>7</v>
      </c>
      <c r="O175" s="393"/>
    </row>
    <row r="176" spans="1:15">
      <c r="A176" s="323">
        <v>4</v>
      </c>
      <c r="C176" s="332" t="s">
        <v>597</v>
      </c>
      <c r="D176" s="322"/>
      <c r="E176" s="337">
        <v>187914</v>
      </c>
      <c r="F176" s="322"/>
      <c r="G176" s="322" t="str">
        <f>+G175</f>
        <v>W/S</v>
      </c>
      <c r="H176" s="392">
        <f>+H175</f>
        <v>0.15070038929627774</v>
      </c>
      <c r="I176" s="322"/>
      <c r="J176" s="322">
        <f t="shared" si="2"/>
        <v>28318.712954220737</v>
      </c>
      <c r="K176" s="322"/>
      <c r="L176" s="393"/>
      <c r="M176" s="358"/>
      <c r="N176" s="411">
        <v>8</v>
      </c>
      <c r="O176" s="393"/>
    </row>
    <row r="177" spans="1:15">
      <c r="A177" s="323">
        <v>5</v>
      </c>
      <c r="C177" s="376" t="s">
        <v>598</v>
      </c>
      <c r="D177" s="333"/>
      <c r="E177" s="337">
        <v>392125</v>
      </c>
      <c r="F177" s="322"/>
      <c r="G177" s="322" t="str">
        <f>+G176</f>
        <v>W/S</v>
      </c>
      <c r="H177" s="392">
        <f>+H176</f>
        <v>0.15070038929627774</v>
      </c>
      <c r="I177" s="322"/>
      <c r="J177" s="322">
        <f t="shared" si="2"/>
        <v>59093.390152802909</v>
      </c>
      <c r="K177" s="322"/>
      <c r="L177" s="393"/>
      <c r="M177" s="358"/>
      <c r="N177" s="411">
        <v>8</v>
      </c>
      <c r="O177" s="393"/>
    </row>
    <row r="178" spans="1:15">
      <c r="A178" s="323" t="s">
        <v>599</v>
      </c>
      <c r="C178" s="376" t="s">
        <v>600</v>
      </c>
      <c r="D178" s="333"/>
      <c r="E178" s="337">
        <v>0</v>
      </c>
      <c r="F178" s="322"/>
      <c r="G178" s="421" t="str">
        <f>+G172</f>
        <v>TE</v>
      </c>
      <c r="H178" s="422">
        <f>+H172</f>
        <v>0.82548083497312663</v>
      </c>
      <c r="I178" s="322"/>
      <c r="J178" s="322">
        <f>+H178*E178</f>
        <v>0</v>
      </c>
      <c r="K178" s="322"/>
      <c r="L178" s="393"/>
      <c r="M178" s="358"/>
      <c r="N178" s="411"/>
      <c r="O178" s="393"/>
    </row>
    <row r="179" spans="1:15">
      <c r="A179" s="323">
        <v>6</v>
      </c>
      <c r="C179" s="376" t="s">
        <v>535</v>
      </c>
      <c r="D179" s="333" t="str">
        <f>+D104</f>
        <v>356.1</v>
      </c>
      <c r="E179" s="337">
        <v>0</v>
      </c>
      <c r="F179" s="322"/>
      <c r="G179" s="322" t="s">
        <v>537</v>
      </c>
      <c r="H179" s="392">
        <f>+H104</f>
        <v>0.11138246947454092</v>
      </c>
      <c r="I179" s="322"/>
      <c r="J179" s="322">
        <f t="shared" si="2"/>
        <v>0</v>
      </c>
      <c r="K179" s="322"/>
      <c r="L179" s="393"/>
      <c r="M179" s="358"/>
      <c r="N179" s="411"/>
      <c r="O179" s="393"/>
    </row>
    <row r="180" spans="1:15" ht="16.5" thickBot="1">
      <c r="A180" s="323">
        <v>7</v>
      </c>
      <c r="C180" s="332" t="s">
        <v>601</v>
      </c>
      <c r="D180" s="322"/>
      <c r="E180" s="394">
        <v>0</v>
      </c>
      <c r="F180" s="322"/>
      <c r="G180" s="322" t="s">
        <v>249</v>
      </c>
      <c r="H180" s="392">
        <v>1</v>
      </c>
      <c r="I180" s="322"/>
      <c r="J180" s="340">
        <f t="shared" si="2"/>
        <v>0</v>
      </c>
      <c r="K180" s="322"/>
      <c r="L180" s="393"/>
      <c r="M180" s="358"/>
      <c r="N180" s="411"/>
      <c r="O180" s="393"/>
    </row>
    <row r="181" spans="1:15">
      <c r="A181" s="323">
        <v>8</v>
      </c>
      <c r="C181" s="332" t="s">
        <v>602</v>
      </c>
      <c r="D181" s="322"/>
      <c r="E181" s="322">
        <f>+E172-E173-E174+E175-E176-E177+E178+E179+E180</f>
        <v>26381193</v>
      </c>
      <c r="F181" s="322"/>
      <c r="G181" s="322"/>
      <c r="H181" s="322"/>
      <c r="I181" s="322"/>
      <c r="J181" s="322">
        <f>+J172-J173-J174+J175-J176-J177+J178+J179+J180</f>
        <v>9562548.223599121</v>
      </c>
      <c r="K181" s="322"/>
      <c r="L181" s="393"/>
      <c r="M181" s="358"/>
      <c r="N181" s="411"/>
      <c r="O181" s="393"/>
    </row>
    <row r="182" spans="1:15">
      <c r="A182" s="323"/>
      <c r="D182" s="322"/>
      <c r="F182" s="322"/>
      <c r="G182" s="322"/>
      <c r="H182" s="322"/>
      <c r="I182" s="322"/>
      <c r="K182" s="322"/>
      <c r="L182" s="387"/>
      <c r="M182" s="358"/>
      <c r="N182" s="423"/>
      <c r="O182" s="358"/>
    </row>
    <row r="183" spans="1:15">
      <c r="A183" s="323"/>
      <c r="C183" s="413" t="s">
        <v>603</v>
      </c>
      <c r="D183" s="322"/>
      <c r="E183" s="322"/>
      <c r="F183" s="322"/>
      <c r="G183" s="322"/>
      <c r="H183" s="322"/>
      <c r="I183" s="322"/>
      <c r="J183" s="322"/>
      <c r="K183" s="322"/>
      <c r="L183" s="387"/>
      <c r="M183" s="358"/>
      <c r="N183" s="423"/>
      <c r="O183" s="358"/>
    </row>
    <row r="184" spans="1:15">
      <c r="A184" s="323">
        <v>9</v>
      </c>
      <c r="C184" s="332" t="str">
        <f>+C172</f>
        <v xml:space="preserve">  Transmission </v>
      </c>
      <c r="D184" s="322" t="s">
        <v>14</v>
      </c>
      <c r="E184" s="337">
        <v>3336016</v>
      </c>
      <c r="F184" s="322"/>
      <c r="G184" s="322" t="s">
        <v>465</v>
      </c>
      <c r="H184" s="392">
        <f>+H128</f>
        <v>0.95241720635072447</v>
      </c>
      <c r="I184" s="322"/>
      <c r="J184" s="322">
        <f>+H184*E184</f>
        <v>3177279.0390613186</v>
      </c>
      <c r="K184" s="322"/>
      <c r="L184" s="393"/>
      <c r="M184" s="358"/>
      <c r="N184" s="411">
        <v>9</v>
      </c>
      <c r="O184" s="393"/>
    </row>
    <row r="185" spans="1:15">
      <c r="A185" s="424" t="s">
        <v>604</v>
      </c>
      <c r="B185" s="425"/>
      <c r="C185" s="398" t="s">
        <v>605</v>
      </c>
      <c r="D185" s="344" t="s">
        <v>606</v>
      </c>
      <c r="E185" s="337">
        <v>0</v>
      </c>
      <c r="F185" s="426"/>
      <c r="G185" s="426" t="s">
        <v>558</v>
      </c>
      <c r="H185" s="427">
        <v>1</v>
      </c>
      <c r="I185" s="426"/>
      <c r="J185" s="426">
        <f>+H185*E185</f>
        <v>0</v>
      </c>
      <c r="K185" s="322"/>
      <c r="L185" s="393"/>
      <c r="M185" s="358"/>
      <c r="N185" s="411"/>
      <c r="O185" s="393"/>
    </row>
    <row r="186" spans="1:15">
      <c r="A186" s="323">
        <v>10</v>
      </c>
      <c r="C186" s="413" t="s">
        <v>532</v>
      </c>
      <c r="D186" s="426" t="s">
        <v>607</v>
      </c>
      <c r="E186" s="337">
        <v>948145</v>
      </c>
      <c r="F186" s="322"/>
      <c r="G186" s="322" t="s">
        <v>534</v>
      </c>
      <c r="H186" s="392">
        <f>+H175</f>
        <v>0.15070038929627774</v>
      </c>
      <c r="I186" s="322"/>
      <c r="J186" s="322">
        <f>+H186*E186</f>
        <v>142885.82060931926</v>
      </c>
      <c r="K186" s="322"/>
      <c r="L186" s="393"/>
      <c r="M186" s="358"/>
      <c r="N186" s="411">
        <v>9</v>
      </c>
      <c r="O186" s="393"/>
    </row>
    <row r="187" spans="1:15" ht="16.5" thickBot="1">
      <c r="A187" s="323">
        <v>11</v>
      </c>
      <c r="C187" s="332" t="str">
        <f>+C179</f>
        <v xml:space="preserve">  Common</v>
      </c>
      <c r="D187" s="322" t="s">
        <v>15</v>
      </c>
      <c r="E187" s="394">
        <v>1120695</v>
      </c>
      <c r="F187" s="322"/>
      <c r="G187" s="322" t="s">
        <v>537</v>
      </c>
      <c r="H187" s="392">
        <f>+H179</f>
        <v>0.11138246947454092</v>
      </c>
      <c r="I187" s="322"/>
      <c r="J187" s="340">
        <f>+H187*E187</f>
        <v>124825.77662777064</v>
      </c>
      <c r="K187" s="322"/>
      <c r="L187" s="393"/>
      <c r="M187" s="358"/>
      <c r="N187" s="411">
        <v>9</v>
      </c>
      <c r="O187" s="393"/>
    </row>
    <row r="188" spans="1:15">
      <c r="A188" s="323">
        <v>12</v>
      </c>
      <c r="C188" s="332" t="s">
        <v>608</v>
      </c>
      <c r="D188" s="322"/>
      <c r="E188" s="322">
        <f>SUM(E184:E187)</f>
        <v>5404856</v>
      </c>
      <c r="F188" s="322"/>
      <c r="G188" s="322"/>
      <c r="H188" s="322"/>
      <c r="I188" s="322"/>
      <c r="J188" s="322">
        <f>SUM(J184:J187)</f>
        <v>3444990.6362984087</v>
      </c>
      <c r="K188" s="322"/>
      <c r="L188" s="393"/>
      <c r="M188" s="358"/>
      <c r="N188" s="411"/>
      <c r="O188" s="393"/>
    </row>
    <row r="189" spans="1:15">
      <c r="A189" s="323"/>
      <c r="C189" s="332"/>
      <c r="D189" s="322"/>
      <c r="E189" s="322"/>
      <c r="F189" s="322"/>
      <c r="G189" s="322"/>
      <c r="H189" s="322"/>
      <c r="I189" s="322"/>
      <c r="J189" s="322"/>
      <c r="K189" s="322"/>
      <c r="L189" s="393"/>
      <c r="M189" s="358"/>
      <c r="N189" s="411"/>
      <c r="O189" s="393"/>
    </row>
    <row r="190" spans="1:15">
      <c r="A190" s="323" t="s">
        <v>249</v>
      </c>
      <c r="C190" s="332" t="s">
        <v>609</v>
      </c>
      <c r="E190" s="322"/>
      <c r="F190" s="322"/>
      <c r="G190" s="322"/>
      <c r="H190" s="322"/>
      <c r="I190" s="322"/>
      <c r="J190" s="322"/>
      <c r="K190" s="322"/>
      <c r="L190" s="393"/>
      <c r="M190" s="358"/>
      <c r="N190" s="411"/>
      <c r="O190" s="393"/>
    </row>
    <row r="191" spans="1:15">
      <c r="A191" s="323"/>
      <c r="C191" s="332" t="s">
        <v>610</v>
      </c>
      <c r="F191" s="322"/>
      <c r="G191" s="322"/>
      <c r="I191" s="322"/>
      <c r="K191" s="322"/>
      <c r="L191" s="393"/>
      <c r="M191" s="358"/>
      <c r="N191" s="411"/>
      <c r="O191" s="393"/>
    </row>
    <row r="192" spans="1:15">
      <c r="A192" s="323">
        <v>13</v>
      </c>
      <c r="C192" s="332" t="s">
        <v>611</v>
      </c>
      <c r="D192" s="322" t="s">
        <v>16</v>
      </c>
      <c r="E192" s="337">
        <v>2116136</v>
      </c>
      <c r="F192" s="322"/>
      <c r="G192" s="322" t="s">
        <v>534</v>
      </c>
      <c r="H192" s="335">
        <f>+H186</f>
        <v>0.15070038929627774</v>
      </c>
      <c r="I192" s="322"/>
      <c r="J192" s="322">
        <f>+H192*E192</f>
        <v>318902.51900386799</v>
      </c>
      <c r="K192" s="322"/>
      <c r="L192" s="393"/>
      <c r="M192" s="358"/>
      <c r="N192" s="411">
        <v>9</v>
      </c>
      <c r="O192" s="393"/>
    </row>
    <row r="193" spans="1:15">
      <c r="A193" s="323">
        <v>14</v>
      </c>
      <c r="C193" s="332" t="s">
        <v>612</v>
      </c>
      <c r="D193" s="322" t="str">
        <f>+D192</f>
        <v>263.i</v>
      </c>
      <c r="E193" s="337">
        <v>2596</v>
      </c>
      <c r="F193" s="322"/>
      <c r="G193" s="322" t="str">
        <f>+G192</f>
        <v>W/S</v>
      </c>
      <c r="H193" s="335">
        <f>+H192</f>
        <v>0.15070038929627774</v>
      </c>
      <c r="I193" s="322"/>
      <c r="J193" s="322">
        <f>+H193*E193</f>
        <v>391.21821061313705</v>
      </c>
      <c r="K193" s="322"/>
      <c r="L193" s="393"/>
      <c r="M193" s="358"/>
      <c r="N193" s="411">
        <v>9</v>
      </c>
      <c r="O193" s="393"/>
    </row>
    <row r="194" spans="1:15">
      <c r="A194" s="323">
        <v>15</v>
      </c>
      <c r="C194" s="332" t="s">
        <v>613</v>
      </c>
      <c r="D194" s="322" t="s">
        <v>249</v>
      </c>
      <c r="F194" s="322"/>
      <c r="G194" s="322"/>
      <c r="I194" s="322"/>
      <c r="K194" s="322"/>
      <c r="L194" s="393"/>
      <c r="M194" s="358"/>
      <c r="N194" s="411"/>
      <c r="O194" s="393"/>
    </row>
    <row r="195" spans="1:15">
      <c r="A195" s="323">
        <v>16</v>
      </c>
      <c r="C195" s="332" t="s">
        <v>614</v>
      </c>
      <c r="D195" s="322" t="s">
        <v>16</v>
      </c>
      <c r="E195" s="337">
        <v>6229955</v>
      </c>
      <c r="F195" s="322"/>
      <c r="G195" s="322" t="s">
        <v>584</v>
      </c>
      <c r="H195" s="335">
        <f>+H97</f>
        <v>0.18415681644794829</v>
      </c>
      <c r="I195" s="322"/>
      <c r="J195" s="322">
        <f>+H195*E195</f>
        <v>1147288.6794139778</v>
      </c>
      <c r="K195" s="322"/>
      <c r="L195" s="393"/>
      <c r="M195" s="358"/>
      <c r="N195" s="411">
        <v>9</v>
      </c>
      <c r="O195" s="393"/>
    </row>
    <row r="196" spans="1:15">
      <c r="A196" s="323">
        <v>17</v>
      </c>
      <c r="C196" s="332" t="s">
        <v>615</v>
      </c>
      <c r="D196" s="322" t="s">
        <v>16</v>
      </c>
      <c r="E196" s="337">
        <v>-60205</v>
      </c>
      <c r="F196" s="322"/>
      <c r="G196" s="333" t="str">
        <f>+G119</f>
        <v>NA</v>
      </c>
      <c r="H196" s="428" t="s">
        <v>561</v>
      </c>
      <c r="I196" s="322"/>
      <c r="J196" s="322">
        <v>0</v>
      </c>
      <c r="K196" s="322"/>
      <c r="L196" s="393"/>
      <c r="M196" s="358"/>
      <c r="N196" s="411">
        <v>9</v>
      </c>
      <c r="O196" s="393"/>
    </row>
    <row r="197" spans="1:15">
      <c r="A197" s="323">
        <v>18</v>
      </c>
      <c r="C197" s="332" t="s">
        <v>616</v>
      </c>
      <c r="D197" s="322" t="str">
        <f>+D196</f>
        <v>263.i</v>
      </c>
      <c r="E197" s="337">
        <v>1122898</v>
      </c>
      <c r="F197" s="322"/>
      <c r="G197" s="322" t="str">
        <f>+G195</f>
        <v>GP</v>
      </c>
      <c r="H197" s="335">
        <f>+H195</f>
        <v>0.18415681644794829</v>
      </c>
      <c r="I197" s="322"/>
      <c r="J197" s="322">
        <f>+H197*E197</f>
        <v>206789.32087576823</v>
      </c>
      <c r="K197" s="322"/>
      <c r="L197" s="393"/>
      <c r="M197" s="358"/>
      <c r="N197" s="411">
        <v>9</v>
      </c>
      <c r="O197" s="393"/>
    </row>
    <row r="198" spans="1:15" ht="16.5" thickBot="1">
      <c r="A198" s="323">
        <v>19</v>
      </c>
      <c r="C198" s="332" t="s">
        <v>617</v>
      </c>
      <c r="D198" s="322"/>
      <c r="E198" s="394">
        <v>92988</v>
      </c>
      <c r="F198" s="322"/>
      <c r="G198" s="322" t="s">
        <v>584</v>
      </c>
      <c r="H198" s="335">
        <f>+H195</f>
        <v>0.18415681644794829</v>
      </c>
      <c r="I198" s="322"/>
      <c r="J198" s="340">
        <f>+H198*E198</f>
        <v>17124.374047861817</v>
      </c>
      <c r="K198" s="322"/>
      <c r="L198" s="393"/>
      <c r="M198" s="358"/>
      <c r="N198" s="411">
        <v>9</v>
      </c>
      <c r="O198" s="393"/>
    </row>
    <row r="199" spans="1:15">
      <c r="A199" s="323">
        <v>20</v>
      </c>
      <c r="C199" s="332" t="s">
        <v>618</v>
      </c>
      <c r="D199" s="322"/>
      <c r="E199" s="322">
        <f>SUM(E192:E198)</f>
        <v>9504368</v>
      </c>
      <c r="F199" s="322"/>
      <c r="G199" s="322"/>
      <c r="H199" s="335"/>
      <c r="I199" s="322"/>
      <c r="J199" s="322">
        <f>SUM(J192:J198)</f>
        <v>1690496.1115520892</v>
      </c>
      <c r="K199" s="322"/>
      <c r="L199" s="393"/>
      <c r="M199" s="358"/>
      <c r="N199" s="411"/>
      <c r="O199" s="393"/>
    </row>
    <row r="200" spans="1:15">
      <c r="A200" s="323"/>
      <c r="C200" s="332"/>
      <c r="D200" s="322"/>
      <c r="E200" s="322"/>
      <c r="F200" s="322"/>
      <c r="G200" s="322"/>
      <c r="H200" s="335"/>
      <c r="I200" s="322"/>
      <c r="J200" s="322"/>
      <c r="K200" s="322"/>
      <c r="L200" s="393"/>
      <c r="M200" s="358"/>
      <c r="N200" s="411"/>
      <c r="O200" s="393"/>
    </row>
    <row r="201" spans="1:15">
      <c r="A201" s="323" t="s">
        <v>619</v>
      </c>
      <c r="C201" s="332"/>
      <c r="D201" s="322"/>
      <c r="E201" s="322"/>
      <c r="F201" s="322"/>
      <c r="G201" s="322"/>
      <c r="H201" s="335"/>
      <c r="I201" s="322"/>
      <c r="J201" s="322"/>
      <c r="K201" s="322"/>
      <c r="L201" s="322"/>
      <c r="N201" s="429"/>
      <c r="O201" s="322"/>
    </row>
    <row r="202" spans="1:15">
      <c r="A202" s="323" t="s">
        <v>249</v>
      </c>
      <c r="C202" s="332" t="s">
        <v>620</v>
      </c>
      <c r="D202" s="322" t="s">
        <v>621</v>
      </c>
      <c r="E202" s="322"/>
      <c r="F202" s="322"/>
      <c r="H202" s="430"/>
      <c r="I202" s="322"/>
      <c r="K202" s="322"/>
      <c r="L202" s="322"/>
      <c r="N202" s="429"/>
      <c r="O202" s="322"/>
    </row>
    <row r="203" spans="1:15">
      <c r="A203" s="323">
        <v>21</v>
      </c>
      <c r="C203" s="431" t="s">
        <v>622</v>
      </c>
      <c r="D203" s="322"/>
      <c r="E203" s="432">
        <f>IF(E349&gt;0,1-(((1-E350)*(1-E349))/(1-E350*E349*E351)),0)</f>
        <v>0.381135</v>
      </c>
      <c r="F203" s="322"/>
      <c r="H203" s="430"/>
      <c r="I203" s="322"/>
      <c r="K203" s="322"/>
      <c r="L203" s="322"/>
      <c r="N203" s="429"/>
      <c r="O203" s="322"/>
    </row>
    <row r="204" spans="1:15">
      <c r="A204" s="323">
        <v>22</v>
      </c>
      <c r="C204" s="310" t="s">
        <v>623</v>
      </c>
      <c r="D204" s="322"/>
      <c r="E204" s="432">
        <f>IF(J293&gt;0,(E203/(1-E203))*(1-J290/J293),0)</f>
        <v>0.44443376892360126</v>
      </c>
      <c r="F204" s="322"/>
      <c r="H204" s="430"/>
      <c r="I204" s="322"/>
      <c r="K204" s="322"/>
      <c r="L204" s="322"/>
      <c r="N204" s="429"/>
      <c r="O204" s="322"/>
    </row>
    <row r="205" spans="1:15">
      <c r="A205" s="323"/>
      <c r="C205" s="332" t="s">
        <v>624</v>
      </c>
      <c r="D205" s="322"/>
      <c r="E205" s="322"/>
      <c r="F205" s="322"/>
      <c r="H205" s="430"/>
      <c r="I205" s="322"/>
      <c r="K205" s="322"/>
      <c r="L205" s="393"/>
      <c r="N205" s="411"/>
      <c r="O205" s="393"/>
    </row>
    <row r="206" spans="1:15">
      <c r="A206" s="323"/>
      <c r="C206" s="332" t="s">
        <v>625</v>
      </c>
      <c r="D206" s="322"/>
      <c r="E206" s="322"/>
      <c r="F206" s="322"/>
      <c r="H206" s="430"/>
      <c r="I206" s="322"/>
      <c r="K206" s="322"/>
      <c r="L206" s="322"/>
      <c r="N206" s="429"/>
      <c r="O206" s="322"/>
    </row>
    <row r="207" spans="1:15">
      <c r="A207" s="323">
        <v>23</v>
      </c>
      <c r="C207" s="431" t="s">
        <v>626</v>
      </c>
      <c r="D207" s="322"/>
      <c r="E207" s="433">
        <f>IF(E203&gt;0,1/(1-E203),0)</f>
        <v>1.615861294466483</v>
      </c>
      <c r="F207" s="322"/>
      <c r="H207" s="430"/>
      <c r="I207" s="322"/>
      <c r="K207" s="322"/>
      <c r="L207" s="322"/>
      <c r="N207" s="429"/>
      <c r="O207" s="322"/>
    </row>
    <row r="208" spans="1:15">
      <c r="A208" s="323">
        <v>24</v>
      </c>
      <c r="C208" s="332" t="s">
        <v>627</v>
      </c>
      <c r="D208" s="434"/>
      <c r="E208" s="337">
        <v>-46505</v>
      </c>
      <c r="F208" s="322"/>
      <c r="H208" s="430"/>
      <c r="I208" s="322"/>
      <c r="K208" s="322"/>
      <c r="L208" s="322"/>
      <c r="N208" s="429"/>
      <c r="O208" s="322"/>
    </row>
    <row r="209" spans="1:15">
      <c r="A209" s="323"/>
      <c r="C209" s="332"/>
      <c r="D209" s="322"/>
      <c r="E209" s="322"/>
      <c r="F209" s="322"/>
      <c r="H209" s="430"/>
      <c r="I209" s="322"/>
      <c r="K209" s="322"/>
      <c r="L209" s="322"/>
      <c r="N209" s="429"/>
      <c r="O209" s="322"/>
    </row>
    <row r="210" spans="1:15">
      <c r="A210" s="323">
        <v>25</v>
      </c>
      <c r="C210" s="431" t="s">
        <v>628</v>
      </c>
      <c r="D210" s="435"/>
      <c r="E210" s="322">
        <f>E204*E214</f>
        <v>15495100.355311189</v>
      </c>
      <c r="F210" s="322"/>
      <c r="G210" s="322" t="s">
        <v>528</v>
      </c>
      <c r="H210" s="335"/>
      <c r="I210" s="322"/>
      <c r="J210" s="322">
        <f>E204*J214</f>
        <v>2974381.1485692193</v>
      </c>
      <c r="K210" s="322"/>
      <c r="L210" s="393"/>
      <c r="M210" s="358"/>
      <c r="N210" s="411"/>
      <c r="O210" s="393"/>
    </row>
    <row r="211" spans="1:15" ht="16.5" thickBot="1">
      <c r="A211" s="323">
        <v>26</v>
      </c>
      <c r="C211" s="310" t="s">
        <v>629</v>
      </c>
      <c r="D211" s="435"/>
      <c r="E211" s="436">
        <f>E207*E208</f>
        <v>-75145.629499163784</v>
      </c>
      <c r="F211" s="322"/>
      <c r="G211" s="310" t="s">
        <v>563</v>
      </c>
      <c r="H211" s="335">
        <f>H113</f>
        <v>0.18707584741531777</v>
      </c>
      <c r="I211" s="322"/>
      <c r="J211" s="436">
        <f>H211*E211</f>
        <v>-14057.932318113566</v>
      </c>
      <c r="K211" s="322"/>
      <c r="L211" s="393"/>
      <c r="M211" s="358"/>
      <c r="N211" s="411"/>
      <c r="O211" s="393"/>
    </row>
    <row r="212" spans="1:15">
      <c r="A212" s="323">
        <v>27</v>
      </c>
      <c r="C212" s="437" t="s">
        <v>630</v>
      </c>
      <c r="D212" s="310" t="s">
        <v>631</v>
      </c>
      <c r="E212" s="438">
        <f>+E210+E211</f>
        <v>15419954.725812025</v>
      </c>
      <c r="F212" s="322"/>
      <c r="G212" s="322" t="s">
        <v>249</v>
      </c>
      <c r="H212" s="335" t="s">
        <v>249</v>
      </c>
      <c r="I212" s="322"/>
      <c r="J212" s="438">
        <f>+J210+J211</f>
        <v>2960323.2162511055</v>
      </c>
      <c r="K212" s="322"/>
      <c r="L212" s="393"/>
      <c r="M212" s="358"/>
      <c r="N212" s="411"/>
      <c r="O212" s="393"/>
    </row>
    <row r="213" spans="1:15">
      <c r="A213" s="323" t="s">
        <v>249</v>
      </c>
      <c r="D213" s="439"/>
      <c r="E213" s="322"/>
      <c r="F213" s="322"/>
      <c r="G213" s="322"/>
      <c r="H213" s="335"/>
      <c r="I213" s="322"/>
      <c r="J213" s="322"/>
      <c r="K213" s="322"/>
      <c r="L213" s="393"/>
      <c r="M213" s="358"/>
      <c r="N213" s="411"/>
      <c r="O213" s="393"/>
    </row>
    <row r="214" spans="1:15">
      <c r="A214" s="323">
        <v>28</v>
      </c>
      <c r="C214" s="332" t="s">
        <v>632</v>
      </c>
      <c r="D214" s="395"/>
      <c r="E214" s="322">
        <f>+$J293*E136</f>
        <v>34864813.249541387</v>
      </c>
      <c r="F214" s="322"/>
      <c r="G214" s="322" t="s">
        <v>528</v>
      </c>
      <c r="H214" s="430"/>
      <c r="I214" s="322"/>
      <c r="J214" s="322">
        <f>+$J293*J136</f>
        <v>6692518.3380485186</v>
      </c>
      <c r="K214" s="322"/>
      <c r="L214" s="393"/>
      <c r="M214" s="358"/>
      <c r="N214" s="411"/>
      <c r="O214" s="393"/>
    </row>
    <row r="215" spans="1:15">
      <c r="A215" s="323"/>
      <c r="C215" s="437" t="s">
        <v>633</v>
      </c>
      <c r="E215" s="322"/>
      <c r="F215" s="322"/>
      <c r="G215" s="322"/>
      <c r="H215" s="430"/>
      <c r="I215" s="322"/>
      <c r="J215" s="322"/>
      <c r="K215" s="322"/>
      <c r="L215" s="322"/>
      <c r="N215" s="429"/>
      <c r="O215" s="322"/>
    </row>
    <row r="216" spans="1:15">
      <c r="A216" s="323"/>
      <c r="C216" s="332"/>
      <c r="E216" s="393"/>
      <c r="F216" s="322"/>
      <c r="G216" s="322"/>
      <c r="H216" s="430"/>
      <c r="I216" s="322"/>
      <c r="J216" s="393"/>
      <c r="K216" s="322"/>
      <c r="L216" s="322"/>
      <c r="N216" s="429"/>
      <c r="O216" s="322"/>
    </row>
    <row r="217" spans="1:15">
      <c r="A217" s="323">
        <v>29</v>
      </c>
      <c r="C217" s="332" t="s">
        <v>634</v>
      </c>
      <c r="D217" s="322"/>
      <c r="E217" s="387">
        <f>+E214+E212+E199+E188+E181</f>
        <v>91575184.97535342</v>
      </c>
      <c r="F217" s="322"/>
      <c r="G217" s="322"/>
      <c r="H217" s="322"/>
      <c r="I217" s="322"/>
      <c r="J217" s="393">
        <f>+J214+J212+J199+J188+J181</f>
        <v>24350876.525749244</v>
      </c>
      <c r="K217" s="317"/>
      <c r="L217" s="322"/>
      <c r="N217" s="429"/>
      <c r="O217" s="322"/>
    </row>
    <row r="218" spans="1:15">
      <c r="A218" s="323">
        <v>30</v>
      </c>
      <c r="C218" s="390" t="s">
        <v>635</v>
      </c>
      <c r="D218" s="344"/>
      <c r="E218" s="393"/>
      <c r="F218" s="322"/>
      <c r="G218" s="322"/>
      <c r="H218" s="322"/>
      <c r="I218" s="322"/>
      <c r="J218" s="393"/>
      <c r="K218" s="317"/>
      <c r="L218" s="322"/>
      <c r="N218" s="429"/>
      <c r="O218" s="322"/>
    </row>
    <row r="219" spans="1:15">
      <c r="C219" s="566" t="s">
        <v>636</v>
      </c>
      <c r="D219" s="566"/>
      <c r="E219" s="393"/>
      <c r="F219" s="322"/>
      <c r="G219" s="322"/>
      <c r="H219" s="322"/>
      <c r="I219" s="322"/>
      <c r="J219" s="393"/>
      <c r="K219" s="317"/>
      <c r="L219" s="322"/>
      <c r="N219" s="322"/>
      <c r="O219" s="322"/>
    </row>
    <row r="220" spans="1:15">
      <c r="A220" s="323"/>
      <c r="C220" s="390" t="s">
        <v>637</v>
      </c>
      <c r="D220" s="344"/>
      <c r="E220" s="337">
        <v>1754830</v>
      </c>
      <c r="F220" s="322"/>
      <c r="G220" s="322"/>
      <c r="H220" s="322"/>
      <c r="I220" s="322"/>
      <c r="J220" s="440">
        <f>+E220</f>
        <v>1754830</v>
      </c>
      <c r="K220" s="317"/>
      <c r="L220" s="322"/>
      <c r="N220" s="322"/>
      <c r="O220" s="322"/>
    </row>
    <row r="221" spans="1:15">
      <c r="A221" s="323"/>
      <c r="C221" s="390"/>
      <c r="D221" s="344"/>
      <c r="E221" s="333"/>
      <c r="F221" s="322"/>
      <c r="G221" s="322"/>
      <c r="H221" s="322"/>
      <c r="I221" s="322"/>
      <c r="J221" s="393"/>
      <c r="K221" s="317"/>
      <c r="L221" s="393"/>
      <c r="N221" s="393"/>
      <c r="O221" s="393"/>
    </row>
    <row r="222" spans="1:15">
      <c r="A222" s="323" t="s">
        <v>638</v>
      </c>
      <c r="C222" s="390" t="s">
        <v>639</v>
      </c>
      <c r="D222" s="344"/>
      <c r="E222" s="393"/>
      <c r="F222" s="322"/>
      <c r="G222" s="322"/>
      <c r="H222" s="322"/>
      <c r="I222" s="322"/>
      <c r="J222" s="393"/>
      <c r="K222" s="317"/>
      <c r="L222" s="322"/>
      <c r="N222" s="322"/>
      <c r="O222" s="322"/>
    </row>
    <row r="223" spans="1:15">
      <c r="C223" s="566" t="s">
        <v>636</v>
      </c>
      <c r="D223" s="566"/>
      <c r="E223" s="393"/>
      <c r="F223" s="322"/>
      <c r="G223" s="322"/>
      <c r="H223" s="322"/>
      <c r="I223" s="322"/>
      <c r="J223" s="393"/>
      <c r="K223" s="317"/>
      <c r="L223" s="322"/>
      <c r="N223" s="322"/>
      <c r="O223" s="322"/>
    </row>
    <row r="224" spans="1:15" ht="16.5" thickBot="1">
      <c r="A224" s="323"/>
      <c r="C224" s="390" t="s">
        <v>640</v>
      </c>
      <c r="D224" s="344"/>
      <c r="E224" s="441">
        <v>188144.81253497169</v>
      </c>
      <c r="F224" s="322"/>
      <c r="G224" s="322"/>
      <c r="H224" s="322"/>
      <c r="I224" s="322"/>
      <c r="J224" s="440">
        <f>+E224</f>
        <v>188144.81253497169</v>
      </c>
      <c r="K224" s="317"/>
      <c r="L224" s="322"/>
      <c r="N224" s="322"/>
      <c r="O224" s="322"/>
    </row>
    <row r="225" spans="1:15" ht="16.5" thickBot="1">
      <c r="A225" s="323">
        <v>31</v>
      </c>
      <c r="C225" s="332" t="s">
        <v>641</v>
      </c>
      <c r="D225" s="322"/>
      <c r="E225" s="442">
        <f>+E217-E220-E224</f>
        <v>89632210.162818447</v>
      </c>
      <c r="F225" s="322"/>
      <c r="G225" s="322"/>
      <c r="H225" s="322"/>
      <c r="I225" s="322"/>
      <c r="J225" s="442">
        <f>+J217-J220-J224</f>
        <v>22407901.713214271</v>
      </c>
      <c r="K225" s="317"/>
      <c r="L225" s="322"/>
      <c r="N225" s="322"/>
      <c r="O225" s="322"/>
    </row>
    <row r="226" spans="1:15" ht="16.5" thickTop="1">
      <c r="A226" s="323"/>
      <c r="C226" s="390" t="s">
        <v>642</v>
      </c>
      <c r="D226" s="322"/>
      <c r="E226" s="393"/>
      <c r="F226" s="322"/>
      <c r="G226" s="322"/>
      <c r="H226" s="322"/>
      <c r="I226" s="322"/>
      <c r="J226" s="393"/>
      <c r="K226" s="317"/>
      <c r="L226" s="322"/>
      <c r="N226" s="322"/>
      <c r="O226" s="322"/>
    </row>
    <row r="227" spans="1:15">
      <c r="A227" s="323"/>
      <c r="C227" s="332"/>
      <c r="D227" s="322"/>
      <c r="E227" s="393"/>
      <c r="F227" s="322"/>
      <c r="G227" s="322"/>
      <c r="H227" s="322"/>
      <c r="I227" s="322"/>
      <c r="J227" s="393"/>
      <c r="K227" s="317"/>
      <c r="L227" s="322"/>
      <c r="N227" s="322"/>
      <c r="O227" s="322"/>
    </row>
    <row r="228" spans="1:15">
      <c r="A228" s="323"/>
      <c r="C228" s="332"/>
      <c r="D228" s="322"/>
      <c r="E228" s="393"/>
      <c r="F228" s="322"/>
      <c r="G228" s="322"/>
      <c r="H228" s="322"/>
      <c r="I228" s="322"/>
      <c r="J228" s="393"/>
      <c r="K228" s="317"/>
      <c r="L228" s="322"/>
      <c r="N228" s="322"/>
      <c r="O228" s="322"/>
    </row>
    <row r="229" spans="1:15">
      <c r="A229" s="311"/>
      <c r="C229" s="332"/>
      <c r="D229" s="322"/>
      <c r="E229" s="393"/>
      <c r="F229" s="322"/>
      <c r="G229" s="322"/>
      <c r="H229" s="395"/>
      <c r="I229" s="322"/>
      <c r="J229" s="393"/>
      <c r="K229" s="333"/>
      <c r="L229" s="393"/>
      <c r="N229" s="393"/>
      <c r="O229" s="393"/>
    </row>
    <row r="230" spans="1:15">
      <c r="A230" s="311"/>
      <c r="C230" s="376"/>
      <c r="D230" s="322"/>
      <c r="E230" s="393"/>
      <c r="F230" s="322"/>
      <c r="G230" s="322"/>
      <c r="H230" s="395"/>
      <c r="I230" s="322"/>
      <c r="J230" s="393"/>
      <c r="K230" s="322"/>
      <c r="L230" s="322"/>
      <c r="N230" s="322"/>
      <c r="O230" s="322"/>
    </row>
    <row r="231" spans="1:15">
      <c r="A231" s="311"/>
      <c r="C231" s="376"/>
      <c r="D231" s="322"/>
      <c r="E231" s="393"/>
      <c r="F231" s="322"/>
      <c r="G231" s="322"/>
      <c r="H231" s="395"/>
      <c r="I231" s="322"/>
      <c r="J231" s="393"/>
      <c r="K231" s="322"/>
      <c r="L231" s="322"/>
      <c r="N231" s="322"/>
      <c r="O231" s="322"/>
    </row>
    <row r="232" spans="1:15">
      <c r="A232" s="311"/>
      <c r="C232" s="376"/>
      <c r="D232" s="322"/>
      <c r="E232" s="393"/>
      <c r="F232" s="322"/>
      <c r="G232" s="322"/>
      <c r="H232" s="395"/>
      <c r="I232" s="322"/>
      <c r="J232" s="393"/>
      <c r="K232" s="322"/>
      <c r="L232" s="438"/>
    </row>
    <row r="233" spans="1:15">
      <c r="C233" s="311"/>
      <c r="D233" s="311"/>
      <c r="E233" s="312"/>
      <c r="F233" s="311"/>
      <c r="G233" s="311"/>
      <c r="H233" s="311"/>
      <c r="I233" s="313"/>
      <c r="J233" s="323"/>
      <c r="K233" s="323"/>
      <c r="L233" s="315"/>
    </row>
    <row r="234" spans="1:15">
      <c r="C234" s="311"/>
      <c r="D234" s="311"/>
      <c r="E234" s="312"/>
      <c r="F234" s="311"/>
      <c r="G234" s="311"/>
      <c r="H234" s="311"/>
      <c r="I234" s="313"/>
      <c r="J234" s="314"/>
      <c r="K234" s="314"/>
      <c r="L234" s="315"/>
    </row>
    <row r="235" spans="1:15">
      <c r="C235" s="311"/>
      <c r="D235" s="311"/>
      <c r="E235" s="312"/>
      <c r="F235" s="311"/>
      <c r="G235" s="311"/>
      <c r="H235" s="311"/>
      <c r="I235" s="313"/>
      <c r="J235" s="313"/>
      <c r="L235" s="316" t="s">
        <v>0</v>
      </c>
    </row>
    <row r="236" spans="1:15">
      <c r="C236" s="311"/>
      <c r="D236" s="311"/>
      <c r="E236" s="312"/>
      <c r="F236" s="311"/>
      <c r="G236" s="311"/>
      <c r="H236" s="311"/>
      <c r="I236" s="313"/>
      <c r="J236" s="313"/>
      <c r="K236" s="317"/>
      <c r="L236" s="318" t="s">
        <v>643</v>
      </c>
    </row>
    <row r="237" spans="1:15">
      <c r="C237" s="311"/>
      <c r="D237" s="311"/>
      <c r="E237" s="312"/>
      <c r="F237" s="311"/>
      <c r="G237" s="311"/>
      <c r="H237" s="311"/>
      <c r="I237" s="313"/>
      <c r="J237" s="313"/>
      <c r="K237" s="317"/>
      <c r="L237" s="318"/>
    </row>
    <row r="238" spans="1:15">
      <c r="C238" s="311" t="s">
        <v>450</v>
      </c>
      <c r="D238" s="311"/>
      <c r="E238" s="312" t="s">
        <v>451</v>
      </c>
      <c r="F238" s="311"/>
      <c r="G238" s="311"/>
      <c r="H238" s="311"/>
      <c r="I238" s="313"/>
      <c r="J238" s="320" t="str">
        <f>J5</f>
        <v>For the 12 months ended 12/31/13</v>
      </c>
      <c r="K238" s="321"/>
      <c r="L238" s="321"/>
    </row>
    <row r="239" spans="1:15">
      <c r="C239" s="311"/>
      <c r="D239" s="322" t="s">
        <v>249</v>
      </c>
      <c r="E239" s="322" t="s">
        <v>453</v>
      </c>
      <c r="F239" s="322"/>
      <c r="G239" s="322"/>
      <c r="H239" s="322"/>
      <c r="I239" s="313"/>
      <c r="J239" s="313"/>
      <c r="K239" s="317"/>
      <c r="L239" s="319"/>
    </row>
    <row r="240" spans="1:15">
      <c r="A240" s="323"/>
      <c r="K240" s="322"/>
      <c r="L240" s="333"/>
    </row>
    <row r="241" spans="1:19">
      <c r="A241" s="323"/>
      <c r="E241" s="324" t="str">
        <f>E8</f>
        <v>Montana-Dakota Utilities Co.</v>
      </c>
      <c r="F241" s="325"/>
      <c r="G241" s="325"/>
      <c r="K241" s="322"/>
      <c r="L241" s="333"/>
    </row>
    <row r="242" spans="1:19">
      <c r="A242" s="323"/>
      <c r="D242" s="386" t="s">
        <v>644</v>
      </c>
      <c r="F242" s="317"/>
      <c r="G242" s="317"/>
      <c r="H242" s="317"/>
      <c r="I242" s="317"/>
      <c r="J242" s="317"/>
      <c r="K242" s="322"/>
      <c r="L242" s="333"/>
    </row>
    <row r="243" spans="1:19">
      <c r="A243" s="323" t="s">
        <v>454</v>
      </c>
      <c r="C243" s="386"/>
      <c r="D243" s="317"/>
      <c r="E243" s="317"/>
      <c r="F243" s="317"/>
      <c r="G243" s="317"/>
      <c r="H243" s="317"/>
      <c r="I243" s="317"/>
      <c r="J243" s="317"/>
      <c r="K243" s="322"/>
      <c r="L243" s="333"/>
    </row>
    <row r="244" spans="1:19" ht="16.5" thickBot="1">
      <c r="A244" s="328" t="s">
        <v>456</v>
      </c>
      <c r="C244" s="443" t="s">
        <v>645</v>
      </c>
      <c r="D244" s="319"/>
      <c r="E244" s="319"/>
      <c r="F244" s="319"/>
      <c r="G244" s="319"/>
      <c r="H244" s="319"/>
      <c r="I244" s="375"/>
      <c r="J244" s="375"/>
      <c r="K244" s="333"/>
      <c r="L244" s="333"/>
      <c r="N244" s="327" t="s">
        <v>455</v>
      </c>
    </row>
    <row r="245" spans="1:19">
      <c r="A245" s="323"/>
      <c r="C245" s="443"/>
      <c r="D245" s="319"/>
      <c r="E245" s="319"/>
      <c r="F245" s="319"/>
      <c r="G245" s="319"/>
      <c r="H245" s="319"/>
      <c r="I245" s="319"/>
      <c r="J245" s="319"/>
      <c r="K245" s="333"/>
      <c r="L245" s="333"/>
      <c r="N245" s="329" t="s">
        <v>458</v>
      </c>
    </row>
    <row r="246" spans="1:19">
      <c r="A246" s="323">
        <v>1</v>
      </c>
      <c r="C246" s="360" t="s">
        <v>646</v>
      </c>
      <c r="D246" s="319"/>
      <c r="E246" s="333"/>
      <c r="F246" s="333"/>
      <c r="G246" s="333"/>
      <c r="H246" s="333"/>
      <c r="I246" s="333"/>
      <c r="J246" s="333">
        <f>E93</f>
        <v>181842812</v>
      </c>
      <c r="K246" s="333"/>
      <c r="L246" s="333"/>
    </row>
    <row r="247" spans="1:19">
      <c r="A247" s="323">
        <v>2</v>
      </c>
      <c r="C247" s="311" t="s">
        <v>647</v>
      </c>
      <c r="D247" s="322"/>
      <c r="E247" s="375"/>
      <c r="F247" s="375"/>
      <c r="G247" s="375"/>
      <c r="H247" s="375"/>
      <c r="I247" s="375"/>
      <c r="J247" s="337">
        <v>0</v>
      </c>
      <c r="K247" s="333"/>
      <c r="L247" s="333"/>
    </row>
    <row r="248" spans="1:19" ht="16.5" thickBot="1">
      <c r="A248" s="323">
        <v>3</v>
      </c>
      <c r="C248" s="444" t="s">
        <v>648</v>
      </c>
      <c r="D248" s="445"/>
      <c r="E248" s="446"/>
      <c r="F248" s="333"/>
      <c r="G248" s="333"/>
      <c r="H248" s="447"/>
      <c r="I248" s="333"/>
      <c r="J248" s="394">
        <v>8652589</v>
      </c>
      <c r="K248" s="333"/>
      <c r="L248" s="333"/>
      <c r="N248" s="429">
        <v>10</v>
      </c>
    </row>
    <row r="249" spans="1:19">
      <c r="A249" s="323">
        <v>4</v>
      </c>
      <c r="C249" s="360" t="s">
        <v>649</v>
      </c>
      <c r="D249" s="319"/>
      <c r="E249" s="333"/>
      <c r="F249" s="333"/>
      <c r="G249" s="333"/>
      <c r="H249" s="447"/>
      <c r="I249" s="333"/>
      <c r="J249" s="333">
        <f>J246-J247-J248</f>
        <v>173190223</v>
      </c>
      <c r="K249" s="333"/>
      <c r="L249" s="333"/>
    </row>
    <row r="250" spans="1:19">
      <c r="A250" s="323"/>
      <c r="C250" s="375"/>
      <c r="D250" s="319"/>
      <c r="E250" s="333"/>
      <c r="F250" s="333"/>
      <c r="G250" s="333"/>
      <c r="H250" s="447"/>
      <c r="I250" s="333"/>
      <c r="J250" s="375"/>
      <c r="K250" s="333"/>
      <c r="L250" s="333"/>
    </row>
    <row r="251" spans="1:19">
      <c r="A251" s="323">
        <v>5</v>
      </c>
      <c r="C251" s="360" t="s">
        <v>650</v>
      </c>
      <c r="D251" s="448"/>
      <c r="E251" s="449"/>
      <c r="F251" s="449"/>
      <c r="G251" s="449"/>
      <c r="H251" s="450"/>
      <c r="I251" s="333" t="s">
        <v>651</v>
      </c>
      <c r="J251" s="404">
        <f>IF(J246&gt;0,J249/J246,0)</f>
        <v>0.95241720635072447</v>
      </c>
      <c r="K251" s="333"/>
      <c r="L251" s="333"/>
    </row>
    <row r="252" spans="1:19">
      <c r="A252" s="323"/>
      <c r="C252" s="375"/>
      <c r="D252" s="375"/>
      <c r="E252" s="375"/>
      <c r="F252" s="375"/>
      <c r="G252" s="375"/>
      <c r="H252" s="375"/>
      <c r="I252" s="375"/>
      <c r="J252" s="375"/>
      <c r="K252" s="333"/>
      <c r="L252" s="333"/>
      <c r="N252" s="451" t="s">
        <v>652</v>
      </c>
      <c r="O252" s="451"/>
      <c r="P252" s="451"/>
    </row>
    <row r="253" spans="1:19">
      <c r="A253" s="323"/>
      <c r="C253" s="376" t="s">
        <v>653</v>
      </c>
      <c r="D253" s="375"/>
      <c r="E253" s="375"/>
      <c r="F253" s="375"/>
      <c r="G253" s="375"/>
      <c r="H253" s="375"/>
      <c r="I253" s="375"/>
      <c r="J253" s="375"/>
      <c r="K253" s="333"/>
      <c r="L253" s="333"/>
      <c r="N253" s="452"/>
      <c r="O253" s="339"/>
      <c r="P253" s="453"/>
      <c r="Q253" s="452"/>
      <c r="R253" s="339"/>
      <c r="S253" s="339"/>
    </row>
    <row r="254" spans="1:19">
      <c r="A254" s="323"/>
      <c r="C254" s="375"/>
      <c r="D254" s="375"/>
      <c r="E254" s="375"/>
      <c r="F254" s="375"/>
      <c r="G254" s="375"/>
      <c r="H254" s="375"/>
      <c r="I254" s="375"/>
      <c r="J254" s="375"/>
      <c r="K254" s="333"/>
      <c r="L254" s="333"/>
      <c r="N254" s="567" t="s">
        <v>654</v>
      </c>
      <c r="O254" s="568"/>
      <c r="P254" s="568"/>
      <c r="Q254" s="568"/>
      <c r="R254" s="568"/>
      <c r="S254" s="569"/>
    </row>
    <row r="255" spans="1:19">
      <c r="A255" s="323">
        <v>6</v>
      </c>
      <c r="C255" s="375" t="s">
        <v>655</v>
      </c>
      <c r="D255" s="375"/>
      <c r="E255" s="319"/>
      <c r="F255" s="319"/>
      <c r="G255" s="319"/>
      <c r="H255" s="381"/>
      <c r="I255" s="319"/>
      <c r="J255" s="333">
        <f>E172</f>
        <v>10601838</v>
      </c>
      <c r="K255" s="333"/>
      <c r="L255" s="333"/>
      <c r="N255" s="454"/>
      <c r="O255" s="455"/>
      <c r="P255" s="456"/>
      <c r="Q255" s="457"/>
      <c r="R255" s="455"/>
      <c r="S255" s="458"/>
    </row>
    <row r="256" spans="1:19" ht="16.5" thickBot="1">
      <c r="A256" s="323">
        <v>7</v>
      </c>
      <c r="C256" s="459" t="s">
        <v>656</v>
      </c>
      <c r="D256" s="460"/>
      <c r="E256" s="446"/>
      <c r="F256" s="446"/>
      <c r="G256" s="333"/>
      <c r="H256" s="333"/>
      <c r="I256" s="333"/>
      <c r="J256" s="394">
        <v>1412993</v>
      </c>
      <c r="K256" s="333"/>
      <c r="L256" s="333"/>
      <c r="M256" s="360"/>
      <c r="N256" s="461">
        <v>1412993</v>
      </c>
      <c r="O256" s="462" t="s">
        <v>17</v>
      </c>
      <c r="P256" s="456"/>
      <c r="Q256" s="457"/>
      <c r="R256" s="455"/>
      <c r="S256" s="458"/>
    </row>
    <row r="257" spans="1:19">
      <c r="A257" s="323">
        <v>8</v>
      </c>
      <c r="C257" s="360" t="s">
        <v>657</v>
      </c>
      <c r="D257" s="448"/>
      <c r="E257" s="449"/>
      <c r="F257" s="449"/>
      <c r="G257" s="449"/>
      <c r="H257" s="450"/>
      <c r="I257" s="449"/>
      <c r="J257" s="333">
        <f>+J255-J256</f>
        <v>9188845</v>
      </c>
      <c r="K257" s="375"/>
      <c r="N257" s="463">
        <v>707859</v>
      </c>
      <c r="O257" s="464" t="s">
        <v>18</v>
      </c>
      <c r="P257" s="465"/>
      <c r="Q257" s="465"/>
      <c r="R257" s="466"/>
      <c r="S257" s="467"/>
    </row>
    <row r="258" spans="1:19">
      <c r="A258" s="323"/>
      <c r="C258" s="360"/>
      <c r="D258" s="319"/>
      <c r="E258" s="333"/>
      <c r="F258" s="333"/>
      <c r="G258" s="333"/>
      <c r="H258" s="333"/>
      <c r="I258" s="375"/>
      <c r="J258" s="375"/>
      <c r="K258" s="375"/>
      <c r="N258" s="468">
        <f>N256-N257</f>
        <v>705134</v>
      </c>
      <c r="O258" s="464" t="s">
        <v>19</v>
      </c>
      <c r="P258" s="466"/>
      <c r="Q258" s="466"/>
      <c r="R258" s="466"/>
      <c r="S258" s="467"/>
    </row>
    <row r="259" spans="1:19">
      <c r="A259" s="323">
        <v>9</v>
      </c>
      <c r="C259" s="360" t="s">
        <v>658</v>
      </c>
      <c r="D259" s="319"/>
      <c r="E259" s="333"/>
      <c r="F259" s="333"/>
      <c r="G259" s="333"/>
      <c r="H259" s="333"/>
      <c r="I259" s="333"/>
      <c r="J259" s="422">
        <f>IF(J255&gt;0,J257/J255,0)</f>
        <v>0.86672188350736923</v>
      </c>
      <c r="K259" s="375"/>
      <c r="N259" s="469"/>
      <c r="O259" s="470" t="s">
        <v>20</v>
      </c>
      <c r="P259" s="471"/>
      <c r="Q259" s="471"/>
      <c r="R259" s="455"/>
      <c r="S259" s="458"/>
    </row>
    <row r="260" spans="1:19">
      <c r="A260" s="323">
        <v>10</v>
      </c>
      <c r="C260" s="360" t="s">
        <v>659</v>
      </c>
      <c r="D260" s="319"/>
      <c r="E260" s="333"/>
      <c r="F260" s="333"/>
      <c r="G260" s="333"/>
      <c r="H260" s="333"/>
      <c r="I260" s="319" t="s">
        <v>465</v>
      </c>
      <c r="J260" s="472">
        <f>J251</f>
        <v>0.95241720635072447</v>
      </c>
      <c r="K260" s="375"/>
      <c r="N260" s="461">
        <v>0</v>
      </c>
      <c r="O260" s="471" t="s">
        <v>660</v>
      </c>
      <c r="P260" s="473"/>
      <c r="Q260" s="471"/>
      <c r="R260" s="455"/>
      <c r="S260" s="458"/>
    </row>
    <row r="261" spans="1:19">
      <c r="A261" s="323">
        <v>11</v>
      </c>
      <c r="C261" s="360" t="s">
        <v>661</v>
      </c>
      <c r="D261" s="319"/>
      <c r="E261" s="319"/>
      <c r="F261" s="319"/>
      <c r="G261" s="319"/>
      <c r="H261" s="319"/>
      <c r="I261" s="319" t="s">
        <v>662</v>
      </c>
      <c r="J261" s="474">
        <f>+J260*J259</f>
        <v>0.82548083497312663</v>
      </c>
      <c r="K261" s="375"/>
      <c r="N261" s="475">
        <v>0</v>
      </c>
      <c r="O261" s="471" t="s">
        <v>663</v>
      </c>
      <c r="P261" s="473"/>
      <c r="Q261" s="471"/>
      <c r="R261" s="455"/>
      <c r="S261" s="458"/>
    </row>
    <row r="262" spans="1:19">
      <c r="A262" s="323"/>
      <c r="D262" s="317"/>
      <c r="E262" s="322"/>
      <c r="F262" s="322"/>
      <c r="G262" s="322"/>
      <c r="H262" s="476"/>
      <c r="I262" s="322"/>
      <c r="N262" s="463">
        <v>52567</v>
      </c>
      <c r="O262" s="471" t="s">
        <v>664</v>
      </c>
      <c r="P262" s="473"/>
      <c r="Q262" s="477"/>
      <c r="R262" s="455"/>
      <c r="S262" s="458"/>
    </row>
    <row r="263" spans="1:19">
      <c r="A263" s="323" t="s">
        <v>249</v>
      </c>
      <c r="C263" s="332" t="s">
        <v>665</v>
      </c>
      <c r="D263" s="322"/>
      <c r="E263" s="322"/>
      <c r="F263" s="322"/>
      <c r="G263" s="322"/>
      <c r="H263" s="322"/>
      <c r="I263" s="322"/>
      <c r="J263" s="322"/>
      <c r="K263" s="322"/>
      <c r="L263" s="333"/>
      <c r="N263" s="468">
        <f>SUM(N260:N262)</f>
        <v>52567</v>
      </c>
      <c r="O263" s="478" t="s">
        <v>666</v>
      </c>
      <c r="P263" s="456"/>
      <c r="Q263" s="457"/>
      <c r="R263" s="455"/>
      <c r="S263" s="458"/>
    </row>
    <row r="264" spans="1:19" ht="16.5" thickBot="1">
      <c r="A264" s="323" t="s">
        <v>249</v>
      </c>
      <c r="C264" s="332"/>
      <c r="D264" s="340" t="s">
        <v>667</v>
      </c>
      <c r="E264" s="479" t="s">
        <v>668</v>
      </c>
      <c r="F264" s="479" t="s">
        <v>465</v>
      </c>
      <c r="G264" s="322"/>
      <c r="H264" s="479" t="s">
        <v>669</v>
      </c>
      <c r="I264" s="322"/>
      <c r="J264" s="322"/>
      <c r="K264" s="322"/>
      <c r="L264" s="333"/>
      <c r="N264" s="480">
        <f>N258-N263</f>
        <v>652567</v>
      </c>
      <c r="O264" s="481" t="s">
        <v>21</v>
      </c>
      <c r="P264" s="482"/>
      <c r="Q264" s="483"/>
      <c r="R264" s="484"/>
      <c r="S264" s="485"/>
    </row>
    <row r="265" spans="1:19">
      <c r="A265" s="323">
        <v>12</v>
      </c>
      <c r="C265" s="332" t="s">
        <v>527</v>
      </c>
      <c r="D265" s="322" t="s">
        <v>271</v>
      </c>
      <c r="E265" s="337">
        <v>7937303</v>
      </c>
      <c r="F265" s="486">
        <v>0</v>
      </c>
      <c r="G265" s="486"/>
      <c r="H265" s="322">
        <f>E265*F265</f>
        <v>0</v>
      </c>
      <c r="I265" s="322"/>
      <c r="J265" s="322"/>
      <c r="K265" s="322"/>
      <c r="L265" s="333"/>
      <c r="N265" s="429">
        <v>12</v>
      </c>
    </row>
    <row r="266" spans="1:19">
      <c r="A266" s="323">
        <v>13</v>
      </c>
      <c r="C266" s="332" t="s">
        <v>530</v>
      </c>
      <c r="D266" s="322" t="s">
        <v>272</v>
      </c>
      <c r="E266" s="337">
        <v>3367715</v>
      </c>
      <c r="F266" s="486">
        <f>+J251</f>
        <v>0.95241720635072447</v>
      </c>
      <c r="G266" s="486"/>
      <c r="H266" s="322">
        <f>E266*F266</f>
        <v>3207469.71208543</v>
      </c>
      <c r="I266" s="322"/>
      <c r="J266" s="322"/>
      <c r="K266" s="322"/>
      <c r="L266" s="333"/>
      <c r="N266" s="429">
        <v>12</v>
      </c>
    </row>
    <row r="267" spans="1:19">
      <c r="A267" s="323">
        <v>14</v>
      </c>
      <c r="C267" s="332" t="s">
        <v>531</v>
      </c>
      <c r="D267" s="322" t="s">
        <v>273</v>
      </c>
      <c r="E267" s="337">
        <v>8033499</v>
      </c>
      <c r="F267" s="486">
        <v>0</v>
      </c>
      <c r="G267" s="486"/>
      <c r="H267" s="322">
        <f>E267*F267</f>
        <v>0</v>
      </c>
      <c r="I267" s="322"/>
      <c r="J267" s="487" t="s">
        <v>670</v>
      </c>
      <c r="K267" s="322"/>
      <c r="L267" s="333"/>
      <c r="N267" s="429">
        <v>12</v>
      </c>
    </row>
    <row r="268" spans="1:19" ht="16.5" thickBot="1">
      <c r="A268" s="323">
        <v>15</v>
      </c>
      <c r="C268" s="332" t="s">
        <v>671</v>
      </c>
      <c r="D268" s="322" t="s">
        <v>672</v>
      </c>
      <c r="E268" s="394">
        <v>1945235</v>
      </c>
      <c r="F268" s="486">
        <v>0</v>
      </c>
      <c r="G268" s="486"/>
      <c r="H268" s="340">
        <f>E268*F268</f>
        <v>0</v>
      </c>
      <c r="I268" s="322"/>
      <c r="J268" s="328" t="s">
        <v>673</v>
      </c>
      <c r="K268" s="322"/>
      <c r="L268" s="333"/>
      <c r="N268" s="429">
        <v>12</v>
      </c>
    </row>
    <row r="269" spans="1:19">
      <c r="A269" s="323">
        <v>16</v>
      </c>
      <c r="C269" s="332" t="s">
        <v>674</v>
      </c>
      <c r="D269" s="322"/>
      <c r="E269" s="322">
        <f>SUM(E265:E268)</f>
        <v>21283752</v>
      </c>
      <c r="F269" s="322"/>
      <c r="G269" s="322"/>
      <c r="H269" s="322">
        <f>SUM(H265:H268)</f>
        <v>3207469.71208543</v>
      </c>
      <c r="I269" s="378" t="s">
        <v>675</v>
      </c>
      <c r="J269" s="392">
        <f>IF(H269&gt;0,H269/E269,0)</f>
        <v>0.15070038929627774</v>
      </c>
      <c r="K269" s="476" t="s">
        <v>675</v>
      </c>
      <c r="L269" s="333" t="s">
        <v>676</v>
      </c>
    </row>
    <row r="270" spans="1:19">
      <c r="A270" s="323"/>
      <c r="C270" s="332"/>
      <c r="D270" s="322"/>
      <c r="E270" s="322"/>
      <c r="F270" s="322"/>
      <c r="G270" s="322"/>
      <c r="H270" s="322"/>
      <c r="I270" s="322"/>
      <c r="J270" s="322"/>
      <c r="K270" s="322"/>
      <c r="L270" s="333"/>
    </row>
    <row r="271" spans="1:19">
      <c r="A271" s="323"/>
      <c r="C271" s="332" t="s">
        <v>677</v>
      </c>
      <c r="D271" s="322"/>
      <c r="E271" s="322"/>
      <c r="F271" s="322"/>
      <c r="G271" s="322"/>
      <c r="H271" s="322"/>
      <c r="I271" s="322"/>
      <c r="J271" s="322"/>
      <c r="K271" s="322"/>
      <c r="L271" s="333"/>
    </row>
    <row r="272" spans="1:19">
      <c r="A272" s="323"/>
      <c r="C272" s="332"/>
      <c r="D272" s="322"/>
      <c r="E272" s="382" t="s">
        <v>668</v>
      </c>
      <c r="F272" s="322"/>
      <c r="G272" s="322"/>
      <c r="H272" s="476" t="s">
        <v>678</v>
      </c>
      <c r="I272" s="430" t="s">
        <v>249</v>
      </c>
      <c r="J272" s="395" t="str">
        <f>+J267</f>
        <v>W&amp;S Allocator</v>
      </c>
    </row>
    <row r="273" spans="1:19">
      <c r="A273" s="323">
        <v>17</v>
      </c>
      <c r="C273" s="332" t="s">
        <v>679</v>
      </c>
      <c r="D273" s="322" t="s">
        <v>279</v>
      </c>
      <c r="E273" s="337">
        <v>1057102842</v>
      </c>
      <c r="F273" s="322"/>
      <c r="H273" s="323" t="s">
        <v>680</v>
      </c>
      <c r="I273" s="488"/>
      <c r="J273" s="323" t="s">
        <v>681</v>
      </c>
      <c r="K273" s="322"/>
      <c r="L273" s="381" t="s">
        <v>537</v>
      </c>
      <c r="N273" s="429">
        <v>13</v>
      </c>
    </row>
    <row r="274" spans="1:19">
      <c r="A274" s="323">
        <v>18</v>
      </c>
      <c r="C274" s="332" t="s">
        <v>682</v>
      </c>
      <c r="D274" s="322" t="s">
        <v>280</v>
      </c>
      <c r="E274" s="337">
        <v>373156431</v>
      </c>
      <c r="F274" s="322"/>
      <c r="H274" s="335">
        <f>IF(E276&gt;0,E273/E276,0)</f>
        <v>0.73909875080390408</v>
      </c>
      <c r="I274" s="476" t="s">
        <v>683</v>
      </c>
      <c r="J274" s="335">
        <f>J269</f>
        <v>0.15070038929627774</v>
      </c>
      <c r="K274" s="430" t="s">
        <v>675</v>
      </c>
      <c r="L274" s="489">
        <f>J274*H274</f>
        <v>0.11138246947454092</v>
      </c>
      <c r="N274" s="429">
        <v>13</v>
      </c>
    </row>
    <row r="275" spans="1:19" ht="16.5" thickBot="1">
      <c r="A275" s="323">
        <v>19</v>
      </c>
      <c r="C275" s="490" t="s">
        <v>684</v>
      </c>
      <c r="D275" s="340" t="s">
        <v>685</v>
      </c>
      <c r="E275" s="394">
        <v>0</v>
      </c>
      <c r="F275" s="322"/>
      <c r="G275" s="322"/>
      <c r="H275" s="322" t="s">
        <v>249</v>
      </c>
      <c r="I275" s="322"/>
      <c r="J275" s="322"/>
      <c r="K275" s="322"/>
      <c r="L275" s="333"/>
    </row>
    <row r="276" spans="1:19">
      <c r="A276" s="323">
        <v>20</v>
      </c>
      <c r="C276" s="332" t="s">
        <v>686</v>
      </c>
      <c r="D276" s="322"/>
      <c r="E276" s="322">
        <f>E273+E274+E275</f>
        <v>1430259273</v>
      </c>
      <c r="F276" s="322"/>
      <c r="G276" s="322"/>
      <c r="H276" s="322"/>
      <c r="I276" s="322"/>
      <c r="J276" s="322"/>
      <c r="K276" s="322"/>
      <c r="L276" s="333"/>
    </row>
    <row r="277" spans="1:19">
      <c r="A277" s="323"/>
      <c r="C277" s="332"/>
      <c r="D277" s="322"/>
      <c r="F277" s="322"/>
      <c r="G277" s="322"/>
      <c r="H277" s="322"/>
      <c r="I277" s="322"/>
      <c r="J277" s="322"/>
      <c r="K277" s="322"/>
      <c r="L277" s="333"/>
    </row>
    <row r="278" spans="1:19" ht="16.5" thickBot="1">
      <c r="A278" s="323"/>
      <c r="B278" s="313"/>
      <c r="C278" s="311" t="s">
        <v>687</v>
      </c>
      <c r="D278" s="322"/>
      <c r="E278" s="322"/>
      <c r="F278" s="322"/>
      <c r="G278" s="322"/>
      <c r="H278" s="322"/>
      <c r="I278" s="322"/>
      <c r="J278" s="479" t="s">
        <v>668</v>
      </c>
      <c r="K278" s="322"/>
      <c r="L278" s="333"/>
      <c r="N278" s="452"/>
      <c r="O278" s="339"/>
      <c r="P278" s="453"/>
      <c r="Q278" s="452"/>
      <c r="R278" s="339"/>
      <c r="S278" s="339"/>
    </row>
    <row r="279" spans="1:19">
      <c r="A279" s="323">
        <v>21</v>
      </c>
      <c r="B279" s="313"/>
      <c r="C279" s="313"/>
      <c r="D279" s="322" t="s">
        <v>688</v>
      </c>
      <c r="E279" s="322"/>
      <c r="F279" s="322"/>
      <c r="G279" s="322"/>
      <c r="H279" s="322"/>
      <c r="I279" s="322"/>
      <c r="J279" s="491">
        <f>18140295+189843+719510</f>
        <v>19049648</v>
      </c>
      <c r="K279" s="322"/>
      <c r="L279" s="333"/>
      <c r="N279" s="429">
        <v>16</v>
      </c>
      <c r="O279" s="339"/>
      <c r="P279" s="453"/>
      <c r="Q279" s="452"/>
      <c r="R279" s="339"/>
      <c r="S279" s="339"/>
    </row>
    <row r="280" spans="1:19">
      <c r="A280" s="323"/>
      <c r="C280" s="332"/>
      <c r="D280" s="322"/>
      <c r="E280" s="322"/>
      <c r="F280" s="322"/>
      <c r="G280" s="322"/>
      <c r="H280" s="322"/>
      <c r="I280" s="322"/>
      <c r="J280" s="322"/>
      <c r="K280" s="322"/>
      <c r="L280" s="333"/>
    </row>
    <row r="281" spans="1:19">
      <c r="A281" s="323">
        <v>22</v>
      </c>
      <c r="B281" s="313"/>
      <c r="C281" s="311"/>
      <c r="D281" s="322" t="s">
        <v>689</v>
      </c>
      <c r="E281" s="322"/>
      <c r="F281" s="322"/>
      <c r="G281" s="322"/>
      <c r="H281" s="322"/>
      <c r="I281" s="333"/>
      <c r="J281" s="492">
        <v>685003</v>
      </c>
      <c r="K281" s="322"/>
      <c r="L281" s="333"/>
      <c r="N281" s="429">
        <v>16</v>
      </c>
    </row>
    <row r="282" spans="1:19">
      <c r="A282" s="323"/>
      <c r="B282" s="313"/>
      <c r="C282" s="311"/>
      <c r="D282" s="322"/>
      <c r="E282" s="322"/>
      <c r="F282" s="322"/>
      <c r="G282" s="322"/>
      <c r="H282" s="322"/>
      <c r="I282" s="322"/>
      <c r="J282" s="322"/>
      <c r="K282" s="322"/>
      <c r="L282" s="333"/>
    </row>
    <row r="283" spans="1:19">
      <c r="A283" s="323"/>
      <c r="B283" s="313"/>
      <c r="C283" s="311" t="s">
        <v>690</v>
      </c>
      <c r="D283" s="322"/>
      <c r="E283" s="322"/>
      <c r="F283" s="322"/>
      <c r="G283" s="322"/>
      <c r="H283" s="322"/>
      <c r="I283" s="322"/>
      <c r="J283" s="322"/>
      <c r="K283" s="322"/>
      <c r="L283" s="333"/>
    </row>
    <row r="284" spans="1:19">
      <c r="A284" s="323">
        <v>23</v>
      </c>
      <c r="B284" s="313"/>
      <c r="C284" s="311"/>
      <c r="D284" s="397" t="s">
        <v>691</v>
      </c>
      <c r="E284" s="313"/>
      <c r="F284" s="322"/>
      <c r="G284" s="322"/>
      <c r="H284" s="322"/>
      <c r="I284" s="322"/>
      <c r="J284" s="337">
        <f>2687923159+15000000</f>
        <v>2702923159</v>
      </c>
      <c r="K284" s="322"/>
      <c r="L284" s="333"/>
      <c r="N284" s="429">
        <v>16</v>
      </c>
    </row>
    <row r="285" spans="1:19">
      <c r="A285" s="323">
        <v>24</v>
      </c>
      <c r="B285" s="313"/>
      <c r="C285" s="311"/>
      <c r="D285" s="322" t="s">
        <v>692</v>
      </c>
      <c r="E285" s="322"/>
      <c r="F285" s="322"/>
      <c r="G285" s="322"/>
      <c r="H285" s="322"/>
      <c r="I285" s="322"/>
      <c r="J285" s="493">
        <f>-E291</f>
        <v>-15000000</v>
      </c>
      <c r="K285" s="322"/>
      <c r="L285" s="333"/>
    </row>
    <row r="286" spans="1:19" ht="16.5" thickBot="1">
      <c r="A286" s="323">
        <v>25</v>
      </c>
      <c r="B286" s="313"/>
      <c r="C286" s="311"/>
      <c r="D286" s="397" t="s">
        <v>693</v>
      </c>
      <c r="E286" s="322"/>
      <c r="F286" s="322"/>
      <c r="G286" s="322"/>
      <c r="H286" s="322"/>
      <c r="I286" s="322"/>
      <c r="J286" s="394">
        <v>-2294529877</v>
      </c>
      <c r="K286" s="322"/>
      <c r="L286" s="333"/>
      <c r="N286" s="429">
        <v>16</v>
      </c>
    </row>
    <row r="287" spans="1:19">
      <c r="A287" s="323">
        <v>26</v>
      </c>
      <c r="B287" s="313"/>
      <c r="C287" s="313"/>
      <c r="D287" s="322" t="s">
        <v>694</v>
      </c>
      <c r="E287" s="313" t="s">
        <v>695</v>
      </c>
      <c r="F287" s="313"/>
      <c r="G287" s="313"/>
      <c r="H287" s="313"/>
      <c r="I287" s="313"/>
      <c r="J287" s="322">
        <f>+J284+J285+J286</f>
        <v>393393282</v>
      </c>
      <c r="K287" s="322"/>
      <c r="L287" s="333"/>
    </row>
    <row r="288" spans="1:19">
      <c r="A288" s="323"/>
      <c r="C288" s="332"/>
      <c r="D288" s="322"/>
      <c r="E288" s="322"/>
      <c r="F288" s="322"/>
      <c r="G288" s="322"/>
      <c r="H288" s="476" t="s">
        <v>696</v>
      </c>
      <c r="I288" s="322"/>
      <c r="J288" s="322"/>
      <c r="K288" s="322"/>
      <c r="L288" s="333"/>
    </row>
    <row r="289" spans="1:16" ht="16.5" thickBot="1">
      <c r="A289" s="323"/>
      <c r="C289" s="332"/>
      <c r="D289" s="322"/>
      <c r="E289" s="328" t="s">
        <v>668</v>
      </c>
      <c r="F289" s="328" t="s">
        <v>697</v>
      </c>
      <c r="G289" s="322"/>
      <c r="H289" s="328" t="s">
        <v>698</v>
      </c>
      <c r="I289" s="322"/>
      <c r="J289" s="328" t="s">
        <v>699</v>
      </c>
      <c r="K289" s="322"/>
      <c r="L289" s="333"/>
    </row>
    <row r="290" spans="1:16">
      <c r="A290" s="323">
        <v>27</v>
      </c>
      <c r="C290" s="494" t="s">
        <v>700</v>
      </c>
      <c r="E290" s="337">
        <v>372428596</v>
      </c>
      <c r="F290" s="495">
        <f>IF($E$293&gt;0,E290/$E$293,0)</f>
        <v>0.47696998059780288</v>
      </c>
      <c r="G290" s="496"/>
      <c r="H290" s="496">
        <f>IF(E290&gt;0,J279/E290,0)</f>
        <v>5.1149799463841385E-2</v>
      </c>
      <c r="J290" s="496">
        <f>H290*F290</f>
        <v>2.4396918857849934E-2</v>
      </c>
      <c r="K290" s="497" t="s">
        <v>701</v>
      </c>
      <c r="N290" s="429">
        <v>16</v>
      </c>
    </row>
    <row r="291" spans="1:16">
      <c r="A291" s="323">
        <v>28</v>
      </c>
      <c r="C291" s="311" t="s">
        <v>702</v>
      </c>
      <c r="E291" s="337">
        <v>15000000</v>
      </c>
      <c r="F291" s="495">
        <f>IF($E$293&gt;0,E291/$E$293,0)</f>
        <v>1.921052729518934E-2</v>
      </c>
      <c r="G291" s="496"/>
      <c r="H291" s="496">
        <f>IF(E291&gt;0,J281/E291,0)</f>
        <v>4.5666866666666667E-2</v>
      </c>
      <c r="J291" s="496">
        <f>H291*F291</f>
        <v>8.7728458858577223E-4</v>
      </c>
      <c r="K291" s="322"/>
      <c r="N291" s="429">
        <v>16</v>
      </c>
    </row>
    <row r="292" spans="1:16" ht="16.5" thickBot="1">
      <c r="A292" s="323">
        <v>29</v>
      </c>
      <c r="C292" s="311" t="s">
        <v>703</v>
      </c>
      <c r="E292" s="340">
        <f>J287</f>
        <v>393393282</v>
      </c>
      <c r="F292" s="495">
        <f>IF($E$293&gt;0,E292/$E$293,0)</f>
        <v>0.50381949210700783</v>
      </c>
      <c r="G292" s="496"/>
      <c r="H292" s="498">
        <v>0.12379999999999999</v>
      </c>
      <c r="J292" s="499">
        <f>H292*F292</f>
        <v>6.2372853122847564E-2</v>
      </c>
      <c r="K292" s="322"/>
    </row>
    <row r="293" spans="1:16">
      <c r="A293" s="323">
        <v>30</v>
      </c>
      <c r="C293" s="332" t="s">
        <v>704</v>
      </c>
      <c r="E293" s="322">
        <f>E292+E291+E290</f>
        <v>780821878</v>
      </c>
      <c r="F293" s="322" t="s">
        <v>249</v>
      </c>
      <c r="G293" s="322"/>
      <c r="H293" s="322"/>
      <c r="I293" s="322"/>
      <c r="J293" s="496">
        <f>SUM(J290:J292)</f>
        <v>8.7647056569283274E-2</v>
      </c>
      <c r="K293" s="497" t="s">
        <v>705</v>
      </c>
    </row>
    <row r="294" spans="1:16">
      <c r="F294" s="322"/>
      <c r="G294" s="322"/>
      <c r="H294" s="322"/>
      <c r="I294" s="322"/>
    </row>
    <row r="295" spans="1:16">
      <c r="A295" s="323"/>
      <c r="L295" s="333"/>
    </row>
    <row r="296" spans="1:16">
      <c r="A296" s="323"/>
      <c r="C296" s="311" t="s">
        <v>706</v>
      </c>
      <c r="D296" s="313"/>
      <c r="E296" s="313"/>
      <c r="F296" s="313"/>
      <c r="G296" s="313"/>
      <c r="H296" s="313"/>
      <c r="I296" s="313"/>
      <c r="J296" s="313"/>
      <c r="K296" s="313"/>
      <c r="L296" s="360"/>
    </row>
    <row r="297" spans="1:16" ht="16.5" thickBot="1">
      <c r="A297" s="323"/>
      <c r="C297" s="311"/>
      <c r="D297" s="311"/>
      <c r="E297" s="311"/>
      <c r="F297" s="311"/>
      <c r="G297" s="311"/>
      <c r="H297" s="311"/>
      <c r="I297" s="311"/>
      <c r="J297" s="328" t="s">
        <v>707</v>
      </c>
      <c r="K297" s="500"/>
    </row>
    <row r="298" spans="1:16">
      <c r="A298" s="323"/>
      <c r="C298" s="311" t="s">
        <v>708</v>
      </c>
      <c r="D298" s="313"/>
      <c r="E298" s="313" t="s">
        <v>709</v>
      </c>
      <c r="F298" s="313" t="s">
        <v>710</v>
      </c>
      <c r="G298" s="313"/>
      <c r="H298" s="501" t="s">
        <v>249</v>
      </c>
      <c r="I298" s="502"/>
      <c r="J298" s="503"/>
      <c r="K298" s="503"/>
    </row>
    <row r="299" spans="1:16">
      <c r="A299" s="323">
        <v>31</v>
      </c>
      <c r="C299" s="310" t="s">
        <v>711</v>
      </c>
      <c r="D299" s="313"/>
      <c r="E299" s="313"/>
      <c r="G299" s="313"/>
      <c r="I299" s="502"/>
      <c r="J299" s="504">
        <v>0</v>
      </c>
      <c r="K299" s="505"/>
    </row>
    <row r="300" spans="1:16" ht="16.5" thickBot="1">
      <c r="A300" s="323">
        <v>32</v>
      </c>
      <c r="C300" s="412" t="s">
        <v>712</v>
      </c>
      <c r="D300" s="506"/>
      <c r="E300" s="412"/>
      <c r="F300" s="507"/>
      <c r="G300" s="507"/>
      <c r="H300" s="507"/>
      <c r="I300" s="313"/>
      <c r="J300" s="508">
        <v>0</v>
      </c>
      <c r="K300" s="509"/>
    </row>
    <row r="301" spans="1:16">
      <c r="A301" s="323">
        <v>33</v>
      </c>
      <c r="C301" s="310" t="s">
        <v>713</v>
      </c>
      <c r="D301" s="317"/>
      <c r="F301" s="313"/>
      <c r="G301" s="313"/>
      <c r="H301" s="313"/>
      <c r="I301" s="313"/>
      <c r="J301" s="510">
        <f>+J299-J300</f>
        <v>0</v>
      </c>
      <c r="K301" s="505"/>
      <c r="N301" s="358"/>
      <c r="O301" s="358"/>
    </row>
    <row r="302" spans="1:16">
      <c r="A302" s="323"/>
      <c r="C302" s="310" t="s">
        <v>249</v>
      </c>
      <c r="D302" s="317"/>
      <c r="F302" s="313"/>
      <c r="G302" s="313"/>
      <c r="H302" s="373"/>
      <c r="I302" s="313"/>
      <c r="J302" s="511" t="s">
        <v>249</v>
      </c>
      <c r="K302" s="503"/>
      <c r="L302" s="512"/>
      <c r="N302" s="358"/>
      <c r="O302" s="358"/>
    </row>
    <row r="303" spans="1:16">
      <c r="A303" s="323">
        <v>34</v>
      </c>
      <c r="C303" s="311" t="s">
        <v>714</v>
      </c>
      <c r="D303" s="317"/>
      <c r="F303" s="313"/>
      <c r="G303" s="313"/>
      <c r="H303" s="513"/>
      <c r="I303" s="313"/>
      <c r="J303" s="514">
        <v>1807970</v>
      </c>
      <c r="K303" s="503"/>
      <c r="L303" s="515"/>
      <c r="M303" s="358"/>
      <c r="N303" s="429">
        <v>17</v>
      </c>
      <c r="O303" s="358"/>
      <c r="P303" s="358"/>
    </row>
    <row r="304" spans="1:16">
      <c r="A304" s="323"/>
      <c r="D304" s="313"/>
      <c r="E304" s="313"/>
      <c r="F304" s="313"/>
      <c r="G304" s="313"/>
      <c r="H304" s="313"/>
      <c r="I304" s="313"/>
      <c r="J304" s="511"/>
      <c r="K304" s="503"/>
      <c r="L304" s="388"/>
      <c r="M304" s="358"/>
      <c r="N304" s="389"/>
      <c r="O304" s="389"/>
      <c r="P304" s="358"/>
    </row>
    <row r="305" spans="1:16">
      <c r="C305" s="311" t="s">
        <v>715</v>
      </c>
      <c r="D305" s="313"/>
      <c r="E305" s="313" t="s">
        <v>716</v>
      </c>
      <c r="F305" s="313"/>
      <c r="G305" s="313"/>
      <c r="H305" s="313"/>
      <c r="I305" s="313"/>
      <c r="L305" s="388"/>
      <c r="M305" s="358"/>
      <c r="N305" s="389"/>
      <c r="O305" s="389"/>
      <c r="P305" s="358"/>
    </row>
    <row r="306" spans="1:16">
      <c r="A306" s="323">
        <v>35</v>
      </c>
      <c r="C306" s="311" t="s">
        <v>717</v>
      </c>
      <c r="D306" s="322"/>
      <c r="E306" s="322"/>
      <c r="F306" s="322"/>
      <c r="G306" s="322"/>
      <c r="H306" s="322"/>
      <c r="I306" s="322"/>
      <c r="J306" s="516">
        <v>2508297</v>
      </c>
      <c r="K306" s="517"/>
      <c r="L306" s="393"/>
      <c r="M306" s="358"/>
      <c r="N306" s="411">
        <v>11</v>
      </c>
      <c r="O306" s="393"/>
      <c r="P306" s="358"/>
    </row>
    <row r="307" spans="1:16">
      <c r="A307" s="323">
        <v>36</v>
      </c>
      <c r="C307" s="518" t="s">
        <v>718</v>
      </c>
      <c r="D307" s="519"/>
      <c r="E307" s="519"/>
      <c r="F307" s="519"/>
      <c r="G307" s="519"/>
      <c r="H307" s="313"/>
      <c r="I307" s="313"/>
      <c r="J307" s="516"/>
      <c r="L307" s="393"/>
      <c r="M307" s="358"/>
      <c r="N307" s="393"/>
      <c r="O307" s="393"/>
      <c r="P307" s="358"/>
    </row>
    <row r="308" spans="1:16">
      <c r="A308" s="323" t="s">
        <v>719</v>
      </c>
      <c r="C308" s="520" t="s">
        <v>720</v>
      </c>
      <c r="D308" s="521"/>
      <c r="E308" s="519"/>
      <c r="F308" s="519"/>
      <c r="G308" s="519"/>
      <c r="H308" s="313"/>
      <c r="I308" s="313"/>
      <c r="J308" s="516"/>
      <c r="L308" s="393"/>
      <c r="M308" s="358"/>
      <c r="N308" s="393"/>
      <c r="O308" s="393"/>
      <c r="P308" s="358"/>
    </row>
    <row r="309" spans="1:16" ht="16.5" thickBot="1">
      <c r="A309" s="323" t="s">
        <v>721</v>
      </c>
      <c r="C309" s="522" t="s">
        <v>722</v>
      </c>
      <c r="D309" s="444"/>
      <c r="E309" s="507"/>
      <c r="F309" s="507"/>
      <c r="G309" s="507"/>
      <c r="H309" s="313"/>
      <c r="I309" s="313"/>
      <c r="J309" s="523"/>
      <c r="L309" s="393"/>
      <c r="M309" s="358"/>
      <c r="N309" s="393"/>
      <c r="O309" s="393"/>
      <c r="P309" s="358"/>
    </row>
    <row r="310" spans="1:16">
      <c r="A310" s="323">
        <v>37</v>
      </c>
      <c r="C310" s="524" t="s">
        <v>723</v>
      </c>
      <c r="D310" s="323"/>
      <c r="E310" s="322"/>
      <c r="F310" s="322"/>
      <c r="G310" s="322"/>
      <c r="H310" s="322"/>
      <c r="I310" s="313"/>
      <c r="J310" s="525">
        <f>+J306-J307-J308-J309</f>
        <v>2508297</v>
      </c>
      <c r="K310" s="517"/>
      <c r="L310" s="393"/>
      <c r="M310" s="358"/>
      <c r="N310" s="393"/>
      <c r="O310" s="393"/>
      <c r="P310" s="358"/>
    </row>
    <row r="311" spans="1:16">
      <c r="A311" s="323"/>
      <c r="C311" s="526"/>
      <c r="D311" s="323"/>
      <c r="E311" s="322"/>
      <c r="F311" s="322"/>
      <c r="G311" s="322"/>
      <c r="H311" s="322"/>
      <c r="I311" s="313"/>
      <c r="J311" s="525"/>
      <c r="K311" s="517"/>
      <c r="L311" s="527"/>
      <c r="M311" s="358"/>
      <c r="N311" s="358"/>
      <c r="O311" s="358"/>
      <c r="P311" s="358"/>
    </row>
    <row r="312" spans="1:16">
      <c r="C312" s="311"/>
      <c r="D312" s="311"/>
      <c r="E312" s="312"/>
      <c r="F312" s="311"/>
      <c r="G312" s="311"/>
      <c r="H312" s="311"/>
      <c r="I312" s="313"/>
      <c r="J312" s="323"/>
      <c r="K312" s="323"/>
      <c r="L312" s="315"/>
    </row>
    <row r="313" spans="1:16">
      <c r="C313" s="311"/>
      <c r="D313" s="311"/>
      <c r="E313" s="312"/>
      <c r="F313" s="311"/>
      <c r="G313" s="311"/>
      <c r="H313" s="311"/>
      <c r="I313" s="313"/>
      <c r="J313" s="314"/>
      <c r="K313" s="314"/>
      <c r="L313" s="315"/>
    </row>
    <row r="314" spans="1:16">
      <c r="C314" s="311"/>
      <c r="D314" s="311"/>
      <c r="E314" s="312"/>
      <c r="F314" s="311"/>
      <c r="G314" s="311"/>
      <c r="H314" s="311"/>
      <c r="I314" s="313"/>
      <c r="J314" s="313"/>
      <c r="L314" s="316" t="s">
        <v>0</v>
      </c>
    </row>
    <row r="315" spans="1:16">
      <c r="C315" s="311"/>
      <c r="D315" s="311"/>
      <c r="E315" s="312"/>
      <c r="F315" s="311"/>
      <c r="G315" s="311"/>
      <c r="H315" s="311"/>
      <c r="I315" s="313"/>
      <c r="J315" s="313"/>
      <c r="K315" s="317"/>
      <c r="L315" s="318" t="s">
        <v>724</v>
      </c>
    </row>
    <row r="316" spans="1:16">
      <c r="C316" s="311"/>
      <c r="D316" s="311"/>
      <c r="E316" s="312"/>
      <c r="F316" s="311"/>
      <c r="G316" s="311"/>
      <c r="H316" s="311"/>
      <c r="I316" s="313"/>
      <c r="J316" s="313"/>
      <c r="K316" s="317"/>
      <c r="L316" s="318"/>
    </row>
    <row r="317" spans="1:16">
      <c r="C317" s="311" t="s">
        <v>450</v>
      </c>
      <c r="D317" s="311"/>
      <c r="E317" s="312" t="s">
        <v>451</v>
      </c>
      <c r="F317" s="311"/>
      <c r="G317" s="311"/>
      <c r="H317" s="311"/>
      <c r="I317" s="313"/>
      <c r="J317" s="320" t="str">
        <f>J5</f>
        <v>For the 12 months ended 12/31/13</v>
      </c>
      <c r="K317" s="321"/>
      <c r="L317" s="321"/>
    </row>
    <row r="318" spans="1:16">
      <c r="C318" s="311"/>
      <c r="D318" s="322" t="s">
        <v>249</v>
      </c>
      <c r="E318" s="322" t="s">
        <v>453</v>
      </c>
      <c r="F318" s="322"/>
      <c r="G318" s="322"/>
      <c r="H318" s="322"/>
      <c r="I318" s="313"/>
      <c r="J318" s="313"/>
      <c r="K318" s="317"/>
      <c r="L318" s="319"/>
    </row>
    <row r="319" spans="1:16">
      <c r="A319" s="323"/>
      <c r="B319" s="313"/>
      <c r="C319" s="526"/>
      <c r="D319" s="323"/>
      <c r="E319" s="322"/>
      <c r="F319" s="322"/>
      <c r="G319" s="322"/>
      <c r="H319" s="322"/>
      <c r="I319" s="313"/>
      <c r="J319" s="528"/>
      <c r="K319" s="503"/>
      <c r="L319" s="529"/>
    </row>
    <row r="320" spans="1:16">
      <c r="A320" s="323"/>
      <c r="B320" s="313"/>
      <c r="C320" s="526"/>
      <c r="D320" s="323"/>
      <c r="E320" s="324" t="str">
        <f>E8</f>
        <v>Montana-Dakota Utilities Co.</v>
      </c>
      <c r="F320" s="325"/>
      <c r="G320" s="325"/>
      <c r="H320" s="322"/>
      <c r="I320" s="313"/>
      <c r="J320" s="528"/>
      <c r="K320" s="503"/>
      <c r="L320" s="529"/>
    </row>
    <row r="321" spans="1:14">
      <c r="A321" s="323"/>
      <c r="B321" s="313"/>
      <c r="C321" s="526"/>
      <c r="D321" s="323"/>
      <c r="E321" s="322"/>
      <c r="F321" s="322"/>
      <c r="G321" s="322"/>
      <c r="H321" s="322"/>
      <c r="I321" s="313"/>
      <c r="J321" s="528"/>
      <c r="K321" s="503"/>
      <c r="L321" s="529"/>
    </row>
    <row r="322" spans="1:14">
      <c r="A322" s="323"/>
      <c r="B322" s="313"/>
      <c r="C322" s="311" t="s">
        <v>725</v>
      </c>
      <c r="D322" s="323"/>
      <c r="E322" s="322"/>
      <c r="F322" s="322"/>
      <c r="G322" s="322"/>
      <c r="H322" s="322"/>
      <c r="I322" s="313"/>
      <c r="J322" s="322"/>
      <c r="K322" s="313"/>
      <c r="L322" s="333"/>
    </row>
    <row r="323" spans="1:14">
      <c r="A323" s="323"/>
      <c r="B323" s="313"/>
      <c r="C323" s="311" t="s">
        <v>726</v>
      </c>
      <c r="D323" s="323"/>
      <c r="E323" s="322"/>
      <c r="F323" s="322"/>
      <c r="G323" s="322"/>
      <c r="H323" s="322"/>
      <c r="I323" s="313"/>
      <c r="J323" s="322"/>
      <c r="K323" s="313"/>
      <c r="L323" s="333"/>
    </row>
    <row r="324" spans="1:14">
      <c r="A324" s="323" t="s">
        <v>727</v>
      </c>
      <c r="B324" s="313"/>
      <c r="C324" s="311"/>
      <c r="D324" s="313"/>
      <c r="E324" s="322"/>
      <c r="F324" s="322"/>
      <c r="G324" s="322"/>
      <c r="H324" s="322"/>
      <c r="I324" s="313"/>
      <c r="J324" s="322"/>
      <c r="K324" s="313"/>
      <c r="L324" s="333"/>
      <c r="N324" s="327" t="s">
        <v>455</v>
      </c>
    </row>
    <row r="325" spans="1:14" ht="16.5" thickBot="1">
      <c r="A325" s="328" t="s">
        <v>728</v>
      </c>
      <c r="B325" s="313"/>
      <c r="C325" s="311"/>
      <c r="D325" s="313"/>
      <c r="E325" s="322"/>
      <c r="F325" s="322"/>
      <c r="G325" s="322"/>
      <c r="H325" s="322"/>
      <c r="I325" s="313"/>
      <c r="J325" s="322"/>
      <c r="K325" s="313"/>
      <c r="L325" s="333"/>
      <c r="N325" s="329" t="s">
        <v>458</v>
      </c>
    </row>
    <row r="326" spans="1:14">
      <c r="A326" s="323" t="s">
        <v>729</v>
      </c>
      <c r="B326" s="313"/>
      <c r="C326" s="443" t="s">
        <v>730</v>
      </c>
      <c r="D326" s="360"/>
      <c r="E326" s="333"/>
      <c r="F326" s="333"/>
      <c r="G326" s="333"/>
      <c r="H326" s="333"/>
      <c r="I326" s="360"/>
      <c r="J326" s="333"/>
      <c r="K326" s="360"/>
      <c r="L326" s="333"/>
    </row>
    <row r="327" spans="1:14">
      <c r="A327" s="323" t="s">
        <v>731</v>
      </c>
      <c r="B327" s="313"/>
      <c r="C327" s="443" t="s">
        <v>732</v>
      </c>
      <c r="D327" s="360"/>
      <c r="E327" s="333"/>
      <c r="F327" s="333"/>
      <c r="G327" s="333"/>
      <c r="H327" s="333"/>
      <c r="I327" s="360"/>
      <c r="J327" s="333"/>
      <c r="K327" s="360"/>
      <c r="L327" s="333"/>
    </row>
    <row r="328" spans="1:14">
      <c r="A328" s="323" t="s">
        <v>733</v>
      </c>
      <c r="B328" s="313"/>
      <c r="C328" s="443" t="s">
        <v>734</v>
      </c>
      <c r="D328" s="360"/>
      <c r="E328" s="360"/>
      <c r="F328" s="360"/>
      <c r="G328" s="360"/>
      <c r="H328" s="360"/>
      <c r="I328" s="360"/>
      <c r="J328" s="333"/>
      <c r="K328" s="360"/>
      <c r="L328" s="360"/>
    </row>
    <row r="329" spans="1:14">
      <c r="A329" s="323" t="s">
        <v>735</v>
      </c>
      <c r="B329" s="313"/>
      <c r="C329" s="443" t="s">
        <v>734</v>
      </c>
      <c r="D329" s="360"/>
      <c r="E329" s="360"/>
      <c r="F329" s="360"/>
      <c r="G329" s="360"/>
      <c r="H329" s="360"/>
      <c r="I329" s="360"/>
      <c r="J329" s="333"/>
      <c r="K329" s="360"/>
      <c r="L329" s="360"/>
    </row>
    <row r="330" spans="1:14">
      <c r="A330" s="323" t="s">
        <v>736</v>
      </c>
      <c r="B330" s="313"/>
      <c r="C330" s="360" t="s">
        <v>737</v>
      </c>
      <c r="D330" s="360"/>
      <c r="E330" s="360"/>
      <c r="F330" s="360"/>
      <c r="G330" s="360"/>
      <c r="H330" s="360"/>
      <c r="I330" s="360"/>
      <c r="J330" s="360"/>
      <c r="K330" s="360"/>
      <c r="L330" s="360"/>
    </row>
    <row r="331" spans="1:14">
      <c r="A331" s="323" t="s">
        <v>738</v>
      </c>
      <c r="B331" s="313"/>
      <c r="C331" s="360" t="s">
        <v>739</v>
      </c>
      <c r="D331" s="360"/>
      <c r="E331" s="360"/>
      <c r="F331" s="360"/>
      <c r="G331" s="360"/>
      <c r="H331" s="360"/>
      <c r="I331" s="360"/>
      <c r="J331" s="360"/>
      <c r="K331" s="360"/>
      <c r="L331" s="360"/>
    </row>
    <row r="332" spans="1:14">
      <c r="A332" s="323"/>
      <c r="B332" s="313"/>
      <c r="C332" s="360" t="s">
        <v>740</v>
      </c>
      <c r="D332" s="360"/>
      <c r="E332" s="360"/>
      <c r="F332" s="360"/>
      <c r="G332" s="360"/>
      <c r="H332" s="360"/>
      <c r="I332" s="360"/>
      <c r="J332" s="360"/>
      <c r="K332" s="360"/>
      <c r="L332" s="360"/>
    </row>
    <row r="333" spans="1:14">
      <c r="A333" s="323"/>
      <c r="B333" s="313"/>
      <c r="C333" s="360" t="s">
        <v>741</v>
      </c>
      <c r="D333" s="360"/>
      <c r="E333" s="360"/>
      <c r="F333" s="360"/>
      <c r="G333" s="360"/>
      <c r="H333" s="360"/>
      <c r="I333" s="360"/>
      <c r="J333" s="360"/>
      <c r="K333" s="360"/>
      <c r="L333" s="360"/>
    </row>
    <row r="334" spans="1:14">
      <c r="A334" s="323" t="s">
        <v>742</v>
      </c>
      <c r="B334" s="313"/>
      <c r="C334" s="360" t="s">
        <v>743</v>
      </c>
      <c r="D334" s="360"/>
      <c r="E334" s="360"/>
      <c r="F334" s="360"/>
      <c r="G334" s="360"/>
      <c r="H334" s="360"/>
      <c r="I334" s="360"/>
      <c r="J334" s="360"/>
      <c r="K334" s="360"/>
      <c r="L334" s="360"/>
    </row>
    <row r="335" spans="1:14">
      <c r="A335" s="323" t="s">
        <v>744</v>
      </c>
      <c r="B335" s="313"/>
      <c r="C335" s="360" t="s">
        <v>745</v>
      </c>
      <c r="D335" s="360"/>
      <c r="E335" s="360"/>
      <c r="F335" s="360"/>
      <c r="G335" s="360"/>
      <c r="H335" s="360"/>
      <c r="I335" s="360"/>
      <c r="J335" s="360"/>
      <c r="K335" s="360"/>
      <c r="L335" s="360"/>
    </row>
    <row r="336" spans="1:14">
      <c r="A336" s="323"/>
      <c r="B336" s="313"/>
      <c r="C336" s="360" t="s">
        <v>746</v>
      </c>
      <c r="D336" s="360"/>
      <c r="E336" s="360"/>
      <c r="F336" s="360"/>
      <c r="G336" s="360"/>
      <c r="H336" s="360"/>
      <c r="I336" s="360"/>
      <c r="J336" s="360"/>
      <c r="K336" s="360"/>
      <c r="L336" s="360"/>
    </row>
    <row r="337" spans="1:14">
      <c r="A337" s="323" t="s">
        <v>747</v>
      </c>
      <c r="B337" s="313"/>
      <c r="C337" s="360" t="s">
        <v>748</v>
      </c>
      <c r="D337" s="360"/>
      <c r="E337" s="360"/>
      <c r="F337" s="360"/>
      <c r="G337" s="360"/>
      <c r="H337" s="360"/>
      <c r="I337" s="360"/>
      <c r="J337" s="360"/>
      <c r="K337" s="360"/>
      <c r="L337" s="360"/>
    </row>
    <row r="338" spans="1:14">
      <c r="A338" s="323"/>
      <c r="B338" s="313"/>
      <c r="C338" s="375" t="s">
        <v>749</v>
      </c>
      <c r="D338" s="360"/>
      <c r="E338" s="360"/>
      <c r="F338" s="360"/>
      <c r="G338" s="360"/>
      <c r="H338" s="360"/>
      <c r="I338" s="360"/>
      <c r="J338" s="360"/>
      <c r="K338" s="360"/>
      <c r="L338" s="360"/>
    </row>
    <row r="339" spans="1:14">
      <c r="A339" s="323"/>
      <c r="B339" s="313"/>
      <c r="C339" s="360" t="s">
        <v>750</v>
      </c>
      <c r="D339" s="360"/>
      <c r="E339" s="360"/>
      <c r="F339" s="360"/>
      <c r="G339" s="360"/>
      <c r="H339" s="360"/>
      <c r="I339" s="360"/>
      <c r="J339" s="360"/>
      <c r="K339" s="360"/>
      <c r="L339" s="360"/>
    </row>
    <row r="340" spans="1:14">
      <c r="A340" s="323" t="s">
        <v>751</v>
      </c>
      <c r="B340" s="313"/>
      <c r="C340" s="360" t="s">
        <v>752</v>
      </c>
      <c r="D340" s="360"/>
      <c r="E340" s="360"/>
      <c r="F340" s="360"/>
      <c r="G340" s="360"/>
      <c r="H340" s="360"/>
      <c r="I340" s="360"/>
      <c r="J340" s="360"/>
      <c r="K340" s="360"/>
      <c r="L340" s="360"/>
    </row>
    <row r="341" spans="1:14">
      <c r="A341" s="323"/>
      <c r="B341" s="313"/>
      <c r="C341" s="360" t="s">
        <v>753</v>
      </c>
      <c r="D341" s="360"/>
      <c r="E341" s="360"/>
      <c r="F341" s="360"/>
      <c r="G341" s="360"/>
      <c r="H341" s="360"/>
      <c r="I341" s="360"/>
      <c r="J341" s="360"/>
      <c r="K341" s="360"/>
      <c r="L341" s="360"/>
    </row>
    <row r="342" spans="1:14">
      <c r="A342" s="323"/>
      <c r="B342" s="313"/>
      <c r="C342" s="360" t="s">
        <v>754</v>
      </c>
      <c r="D342" s="360"/>
      <c r="E342" s="360"/>
      <c r="F342" s="360"/>
      <c r="G342" s="360"/>
      <c r="H342" s="360"/>
      <c r="I342" s="360"/>
      <c r="J342" s="360"/>
      <c r="K342" s="360"/>
      <c r="L342" s="360"/>
    </row>
    <row r="343" spans="1:14">
      <c r="A343" s="323" t="s">
        <v>755</v>
      </c>
      <c r="B343" s="313"/>
      <c r="C343" s="360" t="s">
        <v>309</v>
      </c>
      <c r="D343" s="360"/>
      <c r="E343" s="360"/>
      <c r="F343" s="360"/>
      <c r="G343" s="360"/>
      <c r="H343" s="360"/>
      <c r="I343" s="360"/>
      <c r="J343" s="360"/>
      <c r="K343" s="360"/>
      <c r="L343" s="360"/>
    </row>
    <row r="344" spans="1:14">
      <c r="A344" s="323"/>
      <c r="B344" s="313"/>
      <c r="C344" s="360" t="s">
        <v>310</v>
      </c>
      <c r="D344" s="360"/>
      <c r="E344" s="360"/>
      <c r="F344" s="360"/>
      <c r="G344" s="360"/>
      <c r="H344" s="360"/>
      <c r="I344" s="360"/>
      <c r="J344" s="360"/>
      <c r="K344" s="360"/>
      <c r="L344" s="360"/>
    </row>
    <row r="345" spans="1:14">
      <c r="A345" s="323"/>
      <c r="B345" s="313"/>
      <c r="C345" s="360" t="s">
        <v>311</v>
      </c>
      <c r="D345" s="360"/>
      <c r="E345" s="360"/>
      <c r="F345" s="360"/>
      <c r="G345" s="360"/>
      <c r="H345" s="360"/>
      <c r="I345" s="360"/>
      <c r="J345" s="360"/>
      <c r="K345" s="360"/>
      <c r="L345" s="360"/>
    </row>
    <row r="346" spans="1:14">
      <c r="A346" s="323"/>
      <c r="B346" s="313"/>
      <c r="C346" s="360" t="s">
        <v>312</v>
      </c>
      <c r="D346" s="360"/>
      <c r="E346" s="360"/>
      <c r="F346" s="360"/>
      <c r="G346" s="360"/>
      <c r="H346" s="360"/>
      <c r="I346" s="360"/>
      <c r="J346" s="360"/>
      <c r="K346" s="360"/>
      <c r="L346" s="360"/>
    </row>
    <row r="347" spans="1:14">
      <c r="A347" s="323"/>
      <c r="B347" s="313"/>
      <c r="C347" s="360" t="s">
        <v>313</v>
      </c>
      <c r="D347" s="360"/>
      <c r="E347" s="360"/>
      <c r="F347" s="360"/>
      <c r="G347" s="360"/>
      <c r="H347" s="360"/>
      <c r="I347" s="360"/>
      <c r="J347" s="360"/>
      <c r="K347" s="360"/>
      <c r="L347" s="360"/>
    </row>
    <row r="348" spans="1:14">
      <c r="A348" s="323"/>
      <c r="B348" s="313"/>
      <c r="C348" s="360" t="s">
        <v>314</v>
      </c>
      <c r="D348" s="360"/>
      <c r="E348" s="360"/>
      <c r="F348" s="360"/>
      <c r="G348" s="360"/>
      <c r="H348" s="360"/>
      <c r="I348" s="360"/>
      <c r="J348" s="360"/>
      <c r="K348" s="360"/>
      <c r="L348" s="360"/>
    </row>
    <row r="349" spans="1:14">
      <c r="A349" s="323" t="s">
        <v>249</v>
      </c>
      <c r="B349" s="313"/>
      <c r="C349" s="360" t="s">
        <v>756</v>
      </c>
      <c r="D349" s="530" t="s">
        <v>315</v>
      </c>
      <c r="E349" s="531">
        <v>0.35</v>
      </c>
      <c r="F349" s="360"/>
      <c r="G349" s="360"/>
      <c r="H349" s="360"/>
      <c r="I349" s="360"/>
      <c r="J349" s="360"/>
      <c r="K349" s="360"/>
      <c r="L349" s="360"/>
    </row>
    <row r="350" spans="1:14">
      <c r="A350" s="323"/>
      <c r="B350" s="313"/>
      <c r="C350" s="360"/>
      <c r="D350" s="530" t="s">
        <v>316</v>
      </c>
      <c r="E350" s="531">
        <v>4.7899999999999998E-2</v>
      </c>
      <c r="F350" s="360" t="s">
        <v>317</v>
      </c>
      <c r="G350" s="360"/>
      <c r="H350" s="360"/>
      <c r="I350" s="360"/>
      <c r="J350" s="360"/>
      <c r="K350" s="360"/>
      <c r="L350" s="360"/>
      <c r="N350" s="402">
        <v>14</v>
      </c>
    </row>
    <row r="351" spans="1:14">
      <c r="A351" s="323"/>
      <c r="B351" s="313"/>
      <c r="C351" s="360"/>
      <c r="D351" s="530" t="s">
        <v>318</v>
      </c>
      <c r="E351" s="531">
        <v>0</v>
      </c>
      <c r="F351" s="360" t="s">
        <v>319</v>
      </c>
      <c r="G351" s="360"/>
      <c r="H351" s="360"/>
      <c r="I351" s="360"/>
      <c r="J351" s="360"/>
      <c r="K351" s="360"/>
      <c r="L351" s="360"/>
    </row>
    <row r="352" spans="1:14">
      <c r="A352" s="323" t="s">
        <v>757</v>
      </c>
      <c r="B352" s="313"/>
      <c r="C352" s="360" t="s">
        <v>758</v>
      </c>
      <c r="D352" s="360"/>
      <c r="E352" s="360"/>
      <c r="F352" s="360"/>
      <c r="G352" s="360"/>
      <c r="H352" s="360"/>
      <c r="I352" s="360"/>
      <c r="J352" s="532"/>
      <c r="K352" s="532"/>
      <c r="L352" s="360"/>
    </row>
    <row r="353" spans="1:12">
      <c r="A353" s="323" t="s">
        <v>759</v>
      </c>
      <c r="B353" s="313"/>
      <c r="C353" s="360" t="s">
        <v>760</v>
      </c>
      <c r="D353" s="360"/>
      <c r="E353" s="360"/>
      <c r="F353" s="360"/>
      <c r="G353" s="360"/>
      <c r="H353" s="360"/>
      <c r="I353" s="360"/>
      <c r="J353" s="360"/>
      <c r="K353" s="360"/>
      <c r="L353" s="360"/>
    </row>
    <row r="354" spans="1:12">
      <c r="A354" s="323"/>
      <c r="B354" s="313"/>
      <c r="C354" s="360" t="s">
        <v>761</v>
      </c>
      <c r="D354" s="360"/>
      <c r="E354" s="360"/>
      <c r="F354" s="360"/>
      <c r="G354" s="360"/>
      <c r="H354" s="360"/>
      <c r="I354" s="360"/>
      <c r="J354" s="360"/>
      <c r="K354" s="360"/>
      <c r="L354" s="360"/>
    </row>
    <row r="355" spans="1:12">
      <c r="A355" s="323" t="s">
        <v>762</v>
      </c>
      <c r="B355" s="313"/>
      <c r="C355" s="360" t="s">
        <v>763</v>
      </c>
      <c r="D355" s="360"/>
      <c r="E355" s="360"/>
      <c r="F355" s="360"/>
      <c r="G355" s="360"/>
      <c r="H355" s="360"/>
      <c r="I355" s="360"/>
      <c r="J355" s="360"/>
      <c r="K355" s="360"/>
      <c r="L355" s="360"/>
    </row>
    <row r="356" spans="1:12">
      <c r="A356" s="323"/>
      <c r="B356" s="313"/>
      <c r="C356" s="360" t="s">
        <v>764</v>
      </c>
      <c r="D356" s="360"/>
      <c r="E356" s="360"/>
      <c r="F356" s="360"/>
      <c r="G356" s="360"/>
      <c r="H356" s="360"/>
      <c r="I356" s="360"/>
      <c r="J356" s="360"/>
      <c r="K356" s="360"/>
      <c r="L356" s="360"/>
    </row>
    <row r="357" spans="1:12">
      <c r="A357" s="323"/>
      <c r="B357" s="313"/>
      <c r="C357" s="360" t="s">
        <v>765</v>
      </c>
      <c r="D357" s="360"/>
      <c r="E357" s="360"/>
      <c r="F357" s="360"/>
      <c r="G357" s="360"/>
      <c r="H357" s="360"/>
      <c r="I357" s="360"/>
      <c r="J357" s="360"/>
      <c r="K357" s="360"/>
      <c r="L357" s="360"/>
    </row>
    <row r="358" spans="1:12">
      <c r="A358" s="323" t="s">
        <v>766</v>
      </c>
      <c r="B358" s="313"/>
      <c r="C358" s="360" t="s">
        <v>767</v>
      </c>
      <c r="D358" s="360"/>
      <c r="E358" s="360"/>
      <c r="F358" s="360"/>
      <c r="G358" s="360"/>
      <c r="H358" s="360"/>
      <c r="I358" s="360"/>
      <c r="J358" s="360"/>
      <c r="K358" s="360"/>
      <c r="L358" s="360"/>
    </row>
    <row r="359" spans="1:12">
      <c r="A359" s="323" t="s">
        <v>768</v>
      </c>
      <c r="B359" s="313"/>
      <c r="C359" s="360" t="s">
        <v>769</v>
      </c>
      <c r="D359" s="360"/>
      <c r="E359" s="360"/>
      <c r="F359" s="360"/>
      <c r="G359" s="360"/>
      <c r="H359" s="360"/>
      <c r="I359" s="360"/>
      <c r="J359" s="360"/>
      <c r="K359" s="360"/>
      <c r="L359" s="360"/>
    </row>
    <row r="360" spans="1:12">
      <c r="A360" s="323"/>
      <c r="B360" s="313"/>
      <c r="C360" s="360" t="s">
        <v>770</v>
      </c>
      <c r="D360" s="360"/>
      <c r="E360" s="360"/>
      <c r="F360" s="360"/>
      <c r="G360" s="360"/>
      <c r="H360" s="360"/>
      <c r="I360" s="360"/>
      <c r="J360" s="360"/>
      <c r="K360" s="360"/>
      <c r="L360" s="360"/>
    </row>
    <row r="361" spans="1:12">
      <c r="A361" s="323"/>
      <c r="B361" s="313"/>
      <c r="C361" s="360" t="s">
        <v>771</v>
      </c>
      <c r="D361" s="360"/>
      <c r="E361" s="360"/>
      <c r="F361" s="360"/>
      <c r="G361" s="360"/>
      <c r="H361" s="360"/>
      <c r="I361" s="360"/>
      <c r="J361" s="360"/>
      <c r="K361" s="360"/>
      <c r="L361" s="360"/>
    </row>
    <row r="362" spans="1:12">
      <c r="A362" s="323" t="s">
        <v>772</v>
      </c>
      <c r="B362" s="313"/>
      <c r="C362" s="360" t="s">
        <v>773</v>
      </c>
      <c r="D362" s="360"/>
      <c r="E362" s="360"/>
      <c r="F362" s="360"/>
      <c r="G362" s="360"/>
      <c r="H362" s="360"/>
      <c r="I362" s="360"/>
      <c r="J362" s="360"/>
      <c r="K362" s="360"/>
      <c r="L362" s="360"/>
    </row>
    <row r="363" spans="1:12">
      <c r="A363" s="323"/>
      <c r="B363" s="313"/>
      <c r="C363" s="360" t="s">
        <v>774</v>
      </c>
      <c r="D363" s="360"/>
      <c r="E363" s="360"/>
      <c r="F363" s="360"/>
      <c r="G363" s="360"/>
      <c r="H363" s="360"/>
      <c r="I363" s="360"/>
      <c r="J363" s="360"/>
      <c r="K363" s="360"/>
      <c r="L363" s="360"/>
    </row>
    <row r="364" spans="1:12">
      <c r="A364" s="323" t="s">
        <v>775</v>
      </c>
      <c r="B364" s="313"/>
      <c r="C364" s="360" t="s">
        <v>776</v>
      </c>
      <c r="D364" s="360"/>
      <c r="E364" s="360"/>
      <c r="F364" s="360"/>
      <c r="G364" s="360"/>
      <c r="H364" s="360"/>
      <c r="I364" s="360"/>
      <c r="J364" s="360"/>
      <c r="K364" s="360"/>
      <c r="L364" s="360"/>
    </row>
    <row r="365" spans="1:12">
      <c r="A365" s="323" t="s">
        <v>777</v>
      </c>
      <c r="B365" s="313"/>
      <c r="C365" s="360" t="s">
        <v>778</v>
      </c>
      <c r="D365" s="360"/>
      <c r="E365" s="360"/>
      <c r="F365" s="360"/>
      <c r="G365" s="360"/>
      <c r="H365" s="360"/>
      <c r="I365" s="360"/>
      <c r="J365" s="360"/>
      <c r="K365" s="360"/>
      <c r="L365" s="360"/>
    </row>
    <row r="366" spans="1:12">
      <c r="B366" s="313"/>
      <c r="C366" s="360" t="s">
        <v>779</v>
      </c>
      <c r="D366" s="360"/>
      <c r="E366" s="360"/>
      <c r="F366" s="360"/>
      <c r="G366" s="360"/>
      <c r="H366" s="360"/>
      <c r="I366" s="360"/>
      <c r="J366" s="360"/>
      <c r="K366" s="360"/>
      <c r="L366" s="360"/>
    </row>
    <row r="367" spans="1:12">
      <c r="C367" s="319" t="s">
        <v>780</v>
      </c>
      <c r="D367" s="319"/>
      <c r="E367" s="319"/>
      <c r="F367" s="319"/>
      <c r="G367" s="319"/>
      <c r="H367" s="319"/>
      <c r="I367" s="319"/>
      <c r="J367" s="319"/>
      <c r="K367" s="319"/>
      <c r="L367" s="319"/>
    </row>
    <row r="368" spans="1:12">
      <c r="A368" s="327" t="s">
        <v>781</v>
      </c>
      <c r="C368" s="319" t="s">
        <v>782</v>
      </c>
      <c r="D368" s="319"/>
      <c r="E368" s="319"/>
      <c r="F368" s="319"/>
      <c r="G368" s="319"/>
      <c r="H368" s="319"/>
      <c r="I368" s="319"/>
      <c r="J368" s="319"/>
      <c r="K368" s="319"/>
      <c r="L368" s="319"/>
    </row>
    <row r="369" spans="1:12">
      <c r="C369" s="319" t="s">
        <v>783</v>
      </c>
      <c r="D369" s="533"/>
      <c r="E369" s="319"/>
      <c r="F369" s="319"/>
      <c r="G369" s="319"/>
      <c r="H369" s="319"/>
      <c r="I369" s="319"/>
      <c r="J369" s="319"/>
      <c r="K369" s="319"/>
      <c r="L369" s="319"/>
    </row>
    <row r="370" spans="1:12">
      <c r="C370" s="319" t="s">
        <v>784</v>
      </c>
      <c r="D370" s="319"/>
      <c r="E370" s="319"/>
      <c r="F370" s="319"/>
      <c r="G370" s="319"/>
      <c r="H370" s="319"/>
      <c r="I370" s="319"/>
      <c r="J370" s="319"/>
      <c r="K370" s="319"/>
      <c r="L370" s="319"/>
    </row>
    <row r="371" spans="1:12">
      <c r="C371" s="319" t="s">
        <v>785</v>
      </c>
      <c r="D371" s="319"/>
      <c r="E371" s="533"/>
      <c r="F371" s="319"/>
      <c r="G371" s="319"/>
      <c r="H371" s="319"/>
      <c r="I371" s="319"/>
      <c r="J371" s="319"/>
      <c r="K371" s="319"/>
      <c r="L371" s="319"/>
    </row>
    <row r="372" spans="1:12">
      <c r="A372" s="327" t="s">
        <v>786</v>
      </c>
      <c r="C372" s="319" t="s">
        <v>787</v>
      </c>
      <c r="D372" s="317"/>
      <c r="E372" s="317"/>
      <c r="F372" s="317"/>
      <c r="G372" s="317"/>
      <c r="H372" s="317"/>
      <c r="I372" s="317"/>
      <c r="J372" s="319"/>
      <c r="K372" s="319"/>
      <c r="L372" s="319"/>
    </row>
    <row r="373" spans="1:12" s="375" customFormat="1">
      <c r="A373" s="534" t="s">
        <v>788</v>
      </c>
      <c r="C373" s="319" t="s">
        <v>789</v>
      </c>
      <c r="D373" s="319"/>
      <c r="E373" s="319"/>
      <c r="F373" s="319"/>
      <c r="G373" s="319"/>
      <c r="H373" s="319"/>
      <c r="I373" s="319"/>
      <c r="J373" s="319"/>
      <c r="K373" s="319"/>
      <c r="L373" s="319"/>
    </row>
    <row r="374" spans="1:12">
      <c r="A374" s="327" t="s">
        <v>790</v>
      </c>
      <c r="C374" s="319" t="s">
        <v>791</v>
      </c>
      <c r="D374" s="319"/>
      <c r="E374" s="319"/>
      <c r="F374" s="319"/>
      <c r="G374" s="319"/>
      <c r="H374" s="319"/>
      <c r="I374" s="319"/>
      <c r="J374" s="319"/>
      <c r="K374" s="319"/>
      <c r="L374" s="319"/>
    </row>
    <row r="375" spans="1:12">
      <c r="A375" s="327" t="s">
        <v>297</v>
      </c>
      <c r="C375" s="319" t="s">
        <v>792</v>
      </c>
      <c r="D375" s="319"/>
      <c r="E375" s="319"/>
      <c r="F375" s="319"/>
      <c r="G375" s="319"/>
      <c r="H375" s="319"/>
      <c r="I375" s="319"/>
      <c r="J375" s="319"/>
      <c r="K375" s="319"/>
      <c r="L375" s="319"/>
    </row>
    <row r="376" spans="1:12">
      <c r="A376" s="327"/>
      <c r="C376" s="319" t="s">
        <v>793</v>
      </c>
      <c r="D376" s="319"/>
      <c r="E376" s="319"/>
      <c r="F376" s="319"/>
      <c r="G376" s="319"/>
      <c r="H376" s="319"/>
      <c r="I376" s="319"/>
      <c r="J376" s="319"/>
      <c r="K376" s="319"/>
      <c r="L376" s="319"/>
    </row>
    <row r="377" spans="1:12">
      <c r="A377" s="327" t="s">
        <v>298</v>
      </c>
      <c r="C377" s="570" t="s">
        <v>794</v>
      </c>
      <c r="D377" s="570"/>
      <c r="E377" s="570"/>
      <c r="F377" s="570"/>
      <c r="G377" s="570"/>
      <c r="H377" s="570"/>
      <c r="I377" s="570"/>
      <c r="J377" s="570"/>
      <c r="K377" s="570"/>
      <c r="L377" s="570"/>
    </row>
    <row r="378" spans="1:12">
      <c r="A378" s="327" t="s">
        <v>795</v>
      </c>
      <c r="C378" s="570" t="s">
        <v>796</v>
      </c>
      <c r="D378" s="570"/>
      <c r="E378" s="570"/>
      <c r="F378" s="570"/>
      <c r="G378" s="570"/>
      <c r="H378" s="570"/>
      <c r="I378" s="570"/>
      <c r="J378" s="570"/>
      <c r="K378" s="570"/>
      <c r="L378" s="570"/>
    </row>
    <row r="379" spans="1:12">
      <c r="A379" s="327"/>
      <c r="C379" s="319" t="s">
        <v>797</v>
      </c>
      <c r="D379" s="317"/>
      <c r="E379" s="317"/>
      <c r="F379" s="317"/>
      <c r="G379" s="317"/>
      <c r="H379" s="317"/>
      <c r="I379" s="317"/>
      <c r="J379" s="319"/>
      <c r="K379" s="319"/>
      <c r="L379" s="319"/>
    </row>
    <row r="380" spans="1:12">
      <c r="A380" s="327" t="s">
        <v>798</v>
      </c>
      <c r="C380" s="345" t="s">
        <v>799</v>
      </c>
      <c r="D380" s="317"/>
      <c r="E380" s="317"/>
      <c r="F380" s="317"/>
      <c r="G380" s="317"/>
      <c r="H380" s="317"/>
      <c r="I380" s="317"/>
      <c r="J380" s="319"/>
      <c r="K380" s="319"/>
      <c r="L380" s="319"/>
    </row>
    <row r="381" spans="1:12">
      <c r="A381" s="327" t="s">
        <v>800</v>
      </c>
      <c r="C381" s="535" t="s">
        <v>801</v>
      </c>
      <c r="D381" s="317"/>
      <c r="E381" s="317"/>
      <c r="F381" s="317"/>
      <c r="G381" s="317"/>
      <c r="H381" s="317"/>
      <c r="I381" s="317"/>
      <c r="J381" s="319"/>
      <c r="K381" s="319"/>
      <c r="L381" s="319"/>
    </row>
    <row r="382" spans="1:12">
      <c r="A382" s="327" t="s">
        <v>802</v>
      </c>
      <c r="C382" s="345" t="s">
        <v>803</v>
      </c>
      <c r="D382" s="317"/>
      <c r="E382" s="317"/>
      <c r="F382" s="317"/>
      <c r="G382" s="317"/>
      <c r="H382" s="317"/>
      <c r="I382" s="317"/>
      <c r="J382" s="319"/>
      <c r="K382" s="319"/>
      <c r="L382" s="319"/>
    </row>
    <row r="383" spans="1:12">
      <c r="A383" s="536"/>
      <c r="B383" s="398"/>
      <c r="C383" s="345" t="s">
        <v>804</v>
      </c>
      <c r="D383" s="345"/>
      <c r="E383" s="345"/>
      <c r="F383" s="345"/>
      <c r="G383" s="345"/>
      <c r="H383" s="345"/>
      <c r="I383" s="345"/>
      <c r="J383" s="345"/>
      <c r="K383" s="345"/>
      <c r="L383" s="345"/>
    </row>
    <row r="384" spans="1:12">
      <c r="A384" s="536"/>
      <c r="B384" s="398"/>
      <c r="C384" s="345" t="s">
        <v>805</v>
      </c>
      <c r="D384" s="345"/>
      <c r="E384" s="345"/>
      <c r="F384" s="345"/>
      <c r="G384" s="345"/>
      <c r="H384" s="535"/>
      <c r="I384" s="425"/>
      <c r="J384" s="345"/>
      <c r="K384" s="345"/>
      <c r="L384" s="345"/>
    </row>
    <row r="385" spans="1:12">
      <c r="A385" s="537" t="s">
        <v>806</v>
      </c>
      <c r="B385" s="398"/>
      <c r="C385" s="345" t="s">
        <v>807</v>
      </c>
      <c r="D385" s="345"/>
      <c r="E385" s="345"/>
      <c r="F385" s="345"/>
      <c r="G385" s="345"/>
      <c r="H385" s="535"/>
      <c r="I385" s="535"/>
      <c r="J385" s="345"/>
      <c r="K385" s="345"/>
      <c r="L385" s="345"/>
    </row>
    <row r="386" spans="1:12">
      <c r="A386" s="538" t="s">
        <v>808</v>
      </c>
      <c r="B386" s="398"/>
      <c r="C386" s="345" t="s">
        <v>809</v>
      </c>
      <c r="D386" s="345"/>
      <c r="E386" s="345"/>
      <c r="F386" s="345"/>
      <c r="G386" s="345"/>
      <c r="H386" s="535"/>
      <c r="I386" s="535"/>
      <c r="J386" s="345"/>
      <c r="K386" s="345"/>
      <c r="L386" s="345"/>
    </row>
    <row r="387" spans="1:12">
      <c r="A387" s="538" t="s">
        <v>810</v>
      </c>
      <c r="B387" s="425"/>
      <c r="C387" s="345" t="s">
        <v>811</v>
      </c>
      <c r="D387" s="398"/>
      <c r="E387" s="398"/>
      <c r="F387" s="345"/>
      <c r="G387" s="345"/>
      <c r="H387" s="345"/>
      <c r="I387" s="535"/>
      <c r="J387" s="345"/>
      <c r="K387" s="345"/>
      <c r="L387" s="345"/>
    </row>
    <row r="388" spans="1:12">
      <c r="A388" s="538"/>
      <c r="B388" s="425"/>
      <c r="C388" s="310" t="s">
        <v>434</v>
      </c>
      <c r="D388" s="310" t="s">
        <v>812</v>
      </c>
      <c r="E388" s="539"/>
      <c r="F388" s="345"/>
      <c r="G388" s="345"/>
      <c r="H388" s="345"/>
      <c r="I388" s="535"/>
      <c r="J388" s="345"/>
      <c r="K388" s="345"/>
      <c r="L388" s="345"/>
    </row>
    <row r="389" spans="1:12">
      <c r="A389" s="538"/>
      <c r="B389" s="425"/>
      <c r="C389" s="310" t="s">
        <v>435</v>
      </c>
      <c r="D389" s="310" t="s">
        <v>812</v>
      </c>
      <c r="E389" s="540"/>
      <c r="F389" s="398"/>
      <c r="G389" s="345"/>
      <c r="H389" s="345"/>
      <c r="I389" s="535"/>
      <c r="J389" s="345"/>
      <c r="K389" s="345"/>
      <c r="L389" s="345"/>
    </row>
    <row r="390" spans="1:12">
      <c r="A390" s="538"/>
      <c r="B390" s="425"/>
      <c r="C390" s="310" t="s">
        <v>813</v>
      </c>
      <c r="E390" s="539">
        <f>+E388-E389</f>
        <v>0</v>
      </c>
      <c r="F390" s="398"/>
      <c r="G390" s="345"/>
      <c r="H390" s="345"/>
      <c r="I390" s="535"/>
      <c r="J390" s="345"/>
      <c r="K390" s="345"/>
      <c r="L390" s="345"/>
    </row>
    <row r="391" spans="1:12">
      <c r="A391" s="538"/>
      <c r="B391" s="425"/>
      <c r="C391" s="375" t="s">
        <v>437</v>
      </c>
      <c r="D391" s="375" t="s">
        <v>814</v>
      </c>
      <c r="E391" s="541"/>
      <c r="F391" s="398"/>
      <c r="G391" s="345"/>
      <c r="H391" s="345"/>
      <c r="I391" s="535"/>
      <c r="J391" s="345"/>
      <c r="K391" s="345"/>
      <c r="L391" s="345"/>
    </row>
    <row r="392" spans="1:12">
      <c r="A392" s="538"/>
      <c r="B392" s="425"/>
      <c r="C392" s="310" t="s">
        <v>815</v>
      </c>
      <c r="E392" s="542">
        <f>+E390*E391</f>
        <v>0</v>
      </c>
      <c r="F392" s="398"/>
      <c r="G392" s="345"/>
      <c r="H392" s="345"/>
      <c r="I392" s="535"/>
      <c r="J392" s="345"/>
      <c r="K392" s="345"/>
      <c r="L392" s="345"/>
    </row>
    <row r="393" spans="1:12">
      <c r="A393" s="538"/>
      <c r="B393" s="425"/>
      <c r="F393" s="398"/>
      <c r="G393" s="345"/>
      <c r="H393" s="345"/>
      <c r="I393" s="535"/>
      <c r="J393" s="345"/>
      <c r="K393" s="345"/>
      <c r="L393" s="345"/>
    </row>
    <row r="394" spans="1:12">
      <c r="A394" s="538"/>
      <c r="B394" s="425"/>
      <c r="F394" s="345"/>
      <c r="G394" s="345"/>
      <c r="H394" s="345"/>
      <c r="I394" s="535"/>
      <c r="J394" s="345"/>
      <c r="K394" s="345"/>
      <c r="L394" s="345"/>
    </row>
    <row r="395" spans="1:12">
      <c r="A395" s="537"/>
      <c r="B395" s="537"/>
      <c r="L395" s="310"/>
    </row>
    <row r="396" spans="1:12">
      <c r="B396" s="537"/>
      <c r="L396" s="310"/>
    </row>
    <row r="397" spans="1:12">
      <c r="B397" s="538"/>
      <c r="D397" s="535"/>
      <c r="E397" s="535"/>
      <c r="F397" s="535"/>
      <c r="G397" s="535"/>
      <c r="H397" s="535"/>
      <c r="I397" s="535"/>
      <c r="J397" s="345"/>
      <c r="K397" s="535"/>
      <c r="L397" s="345"/>
    </row>
    <row r="398" spans="1:12">
      <c r="B398" s="425"/>
      <c r="D398" s="535"/>
      <c r="E398" s="535"/>
      <c r="F398" s="535"/>
      <c r="G398" s="535"/>
      <c r="H398" s="535"/>
      <c r="I398" s="535"/>
      <c r="J398" s="535"/>
      <c r="K398" s="425"/>
      <c r="L398" s="398"/>
    </row>
    <row r="399" spans="1:12">
      <c r="A399" s="311"/>
      <c r="C399" s="332"/>
      <c r="D399" s="322"/>
      <c r="E399" s="393"/>
      <c r="F399" s="322"/>
      <c r="G399" s="322"/>
      <c r="H399" s="395"/>
      <c r="I399" s="322"/>
      <c r="J399" s="393"/>
      <c r="K399" s="322"/>
      <c r="L399" s="415"/>
    </row>
    <row r="400" spans="1:12">
      <c r="C400" s="317"/>
      <c r="D400" s="317"/>
      <c r="E400" s="317"/>
      <c r="F400" s="317"/>
      <c r="G400" s="317"/>
      <c r="H400" s="317"/>
      <c r="I400" s="317"/>
      <c r="J400" s="317"/>
      <c r="K400" s="317"/>
      <c r="L400" s="319"/>
    </row>
    <row r="401" spans="3:12">
      <c r="C401" s="317"/>
      <c r="D401" s="317"/>
      <c r="E401" s="317"/>
      <c r="F401" s="317"/>
      <c r="G401" s="317"/>
      <c r="H401" s="317"/>
      <c r="I401" s="317"/>
      <c r="J401" s="317"/>
      <c r="K401" s="317"/>
      <c r="L401" s="319"/>
    </row>
    <row r="402" spans="3:12">
      <c r="C402" s="317"/>
      <c r="D402" s="317"/>
      <c r="E402" s="317"/>
      <c r="F402" s="317"/>
      <c r="G402" s="317"/>
      <c r="H402" s="317"/>
      <c r="I402" s="317"/>
      <c r="J402" s="317"/>
      <c r="K402" s="317"/>
      <c r="L402" s="319"/>
    </row>
    <row r="403" spans="3:12">
      <c r="C403" s="375"/>
    </row>
  </sheetData>
  <mergeCells count="5">
    <mergeCell ref="C219:D219"/>
    <mergeCell ref="C223:D223"/>
    <mergeCell ref="N254:S254"/>
    <mergeCell ref="C377:L377"/>
    <mergeCell ref="C378:L378"/>
  </mergeCells>
  <pageMargins left="0.17" right="0.17" top="0.5" bottom="0.43" header="0.3" footer="0.3"/>
  <pageSetup scale="50" orientation="portrait" r:id="rId1"/>
  <rowBreaks count="4" manualBreakCount="4">
    <brk id="78" max="16383" man="1"/>
    <brk id="158" max="13" man="1"/>
    <brk id="234" max="13" man="1"/>
    <brk id="31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topLeftCell="A3" workbookViewId="0">
      <selection activeCell="C25" sqref="C25"/>
    </sheetView>
  </sheetViews>
  <sheetFormatPr defaultRowHeight="12.75"/>
  <cols>
    <col min="1" max="2" width="2.7109375" style="571" customWidth="1"/>
    <col min="3" max="3" width="75.7109375" style="571" customWidth="1"/>
    <col min="4" max="4" width="3.7109375" style="571" customWidth="1"/>
    <col min="5" max="16384" width="9.140625" style="571"/>
  </cols>
  <sheetData>
    <row r="1" spans="1:3">
      <c r="A1" s="5" t="s">
        <v>22</v>
      </c>
    </row>
    <row r="2" spans="1:3">
      <c r="A2" s="5" t="s">
        <v>868</v>
      </c>
    </row>
    <row r="3" spans="1:3">
      <c r="A3" s="5" t="s">
        <v>869</v>
      </c>
    </row>
    <row r="4" spans="1:3">
      <c r="A4" s="5" t="s">
        <v>870</v>
      </c>
    </row>
    <row r="7" spans="1:3">
      <c r="A7" s="5" t="s">
        <v>872</v>
      </c>
      <c r="B7" s="5"/>
    </row>
    <row r="8" spans="1:3">
      <c r="A8" s="5"/>
      <c r="B8" s="5" t="s">
        <v>871</v>
      </c>
    </row>
    <row r="9" spans="1:3" ht="25.5">
      <c r="C9" s="572" t="s">
        <v>876</v>
      </c>
    </row>
    <row r="10" spans="1:3" ht="6.95" customHeight="1"/>
    <row r="11" spans="1:3" ht="38.25">
      <c r="C11" s="573" t="s">
        <v>877</v>
      </c>
    </row>
    <row r="14" spans="1:3">
      <c r="A14" s="5" t="s">
        <v>873</v>
      </c>
      <c r="B14" s="5"/>
    </row>
    <row r="15" spans="1:3">
      <c r="A15" s="5"/>
      <c r="B15" s="5" t="s">
        <v>874</v>
      </c>
    </row>
    <row r="16" spans="1:3" ht="25.5">
      <c r="C16" s="572" t="s">
        <v>875</v>
      </c>
    </row>
    <row r="17" spans="1:3" ht="6.95" customHeight="1"/>
    <row r="18" spans="1:3" ht="38.25">
      <c r="C18" s="573" t="s">
        <v>878</v>
      </c>
    </row>
    <row r="21" spans="1:3">
      <c r="A21" s="5" t="s">
        <v>879</v>
      </c>
      <c r="B21" s="5"/>
    </row>
    <row r="22" spans="1:3">
      <c r="A22" s="5"/>
      <c r="B22" s="5" t="s">
        <v>880</v>
      </c>
    </row>
    <row r="23" spans="1:3" ht="25.5">
      <c r="C23" s="572" t="s">
        <v>883</v>
      </c>
    </row>
    <row r="24" spans="1:3" ht="6.95" customHeight="1"/>
    <row r="25" spans="1:3" ht="51">
      <c r="C25" s="573" t="s">
        <v>886</v>
      </c>
    </row>
    <row r="28" spans="1:3">
      <c r="A28" s="5" t="s">
        <v>881</v>
      </c>
      <c r="B28" s="5"/>
    </row>
    <row r="29" spans="1:3">
      <c r="A29" s="5"/>
      <c r="B29" s="5" t="s">
        <v>882</v>
      </c>
    </row>
    <row r="30" spans="1:3" ht="25.5">
      <c r="C30" s="572" t="s">
        <v>884</v>
      </c>
    </row>
    <row r="31" spans="1:3" ht="6.95" customHeight="1"/>
    <row r="32" spans="1:3" ht="51">
      <c r="C32" s="573" t="s">
        <v>885</v>
      </c>
    </row>
  </sheetData>
  <printOptions horizontalCentered="1"/>
  <pageMargins left="0.17" right="0.17" top="1"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showGridLines="0" workbookViewId="0">
      <selection sqref="A1:A1048576"/>
    </sheetView>
  </sheetViews>
  <sheetFormatPr defaultRowHeight="12.75"/>
  <cols>
    <col min="1" max="1" width="75.7109375" style="573" customWidth="1"/>
    <col min="2" max="16384" width="9.140625" style="571"/>
  </cols>
  <sheetData>
    <row r="1" spans="1:1" ht="15.75">
      <c r="A1" s="574" t="s">
        <v>22</v>
      </c>
    </row>
    <row r="2" spans="1:1" ht="15.75">
      <c r="A2" s="574" t="s">
        <v>887</v>
      </c>
    </row>
    <row r="3" spans="1:1" ht="15.75">
      <c r="A3" s="574" t="s">
        <v>888</v>
      </c>
    </row>
    <row r="4" spans="1:1" ht="15">
      <c r="A4" s="575"/>
    </row>
    <row r="5" spans="1:1" ht="15">
      <c r="A5" s="576"/>
    </row>
    <row r="6" spans="1:1" ht="15">
      <c r="A6" s="576" t="s">
        <v>889</v>
      </c>
    </row>
    <row r="7" spans="1:1" ht="15">
      <c r="A7" s="576"/>
    </row>
    <row r="8" spans="1:1" ht="90.75">
      <c r="A8" s="577" t="s">
        <v>890</v>
      </c>
    </row>
    <row r="9" spans="1:1" ht="15">
      <c r="A9" s="578"/>
    </row>
    <row r="10" spans="1:1" ht="75.75">
      <c r="A10" s="577" t="s">
        <v>891</v>
      </c>
    </row>
    <row r="11" spans="1:1" ht="15">
      <c r="A11" s="578"/>
    </row>
    <row r="12" spans="1:1" ht="30.75">
      <c r="A12" s="577" t="s">
        <v>892</v>
      </c>
    </row>
    <row r="13" spans="1:1" ht="15">
      <c r="A13" s="578"/>
    </row>
    <row r="14" spans="1:1" ht="30.75">
      <c r="A14" s="577" t="s">
        <v>893</v>
      </c>
    </row>
  </sheetData>
  <printOptions horizontalCentered="1"/>
  <pageMargins left="0.17" right="0.17" top="1"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9"/>
  <sheetViews>
    <sheetView showGridLines="0" workbookViewId="0">
      <selection activeCell="F36" sqref="F36"/>
    </sheetView>
  </sheetViews>
  <sheetFormatPr defaultColWidth="8.85546875" defaultRowHeight="12.75"/>
  <cols>
    <col min="1" max="1" width="4" style="545" customWidth="1"/>
    <col min="2" max="2" width="55.140625" style="546" customWidth="1"/>
    <col min="3" max="3" width="18.5703125" style="546" customWidth="1"/>
    <col min="4" max="4" width="13.28515625" style="546" customWidth="1"/>
    <col min="5" max="5" width="22.28515625" style="545" customWidth="1"/>
    <col min="6" max="16384" width="8.85546875" style="545"/>
  </cols>
  <sheetData>
    <row r="2" spans="2:4">
      <c r="B2" s="564" t="s">
        <v>867</v>
      </c>
    </row>
    <row r="4" spans="2:4" s="562" customFormat="1" ht="40.5" customHeight="1">
      <c r="B4" s="563" t="s">
        <v>866</v>
      </c>
      <c r="C4" s="563" t="s">
        <v>865</v>
      </c>
      <c r="D4" s="563" t="s">
        <v>864</v>
      </c>
    </row>
    <row r="5" spans="2:4">
      <c r="B5" s="560" t="s">
        <v>863</v>
      </c>
      <c r="C5" s="560" t="s">
        <v>862</v>
      </c>
      <c r="D5" s="558">
        <v>35800</v>
      </c>
    </row>
    <row r="6" spans="2:4">
      <c r="B6" s="560" t="s">
        <v>861</v>
      </c>
      <c r="C6" s="560" t="s">
        <v>860</v>
      </c>
      <c r="D6" s="558">
        <v>36850</v>
      </c>
    </row>
    <row r="7" spans="2:4" ht="25.5">
      <c r="B7" s="560" t="s">
        <v>857</v>
      </c>
      <c r="C7" s="560" t="s">
        <v>859</v>
      </c>
      <c r="D7" s="558">
        <v>38299</v>
      </c>
    </row>
    <row r="8" spans="2:4" ht="25.5">
      <c r="B8" s="560" t="s">
        <v>857</v>
      </c>
      <c r="C8" s="560" t="s">
        <v>858</v>
      </c>
      <c r="D8" s="558">
        <v>38135</v>
      </c>
    </row>
    <row r="9" spans="2:4" ht="25.5">
      <c r="B9" s="560" t="s">
        <v>857</v>
      </c>
      <c r="C9" s="560" t="s">
        <v>856</v>
      </c>
      <c r="D9" s="558">
        <v>38289</v>
      </c>
    </row>
    <row r="10" spans="2:4" ht="25.5">
      <c r="B10" s="560" t="s">
        <v>847</v>
      </c>
      <c r="C10" s="560" t="s">
        <v>855</v>
      </c>
      <c r="D10" s="558">
        <v>38601</v>
      </c>
    </row>
    <row r="11" spans="2:4" ht="38.25">
      <c r="B11" s="560" t="s">
        <v>847</v>
      </c>
      <c r="C11" s="560" t="s">
        <v>854</v>
      </c>
      <c r="D11" s="558">
        <v>38343</v>
      </c>
    </row>
    <row r="12" spans="2:4" ht="38.25">
      <c r="B12" s="560" t="s">
        <v>847</v>
      </c>
      <c r="C12" s="560" t="s">
        <v>853</v>
      </c>
      <c r="D12" s="558">
        <v>38448</v>
      </c>
    </row>
    <row r="13" spans="2:4">
      <c r="B13" s="560" t="s">
        <v>847</v>
      </c>
      <c r="C13" s="560" t="s">
        <v>852</v>
      </c>
      <c r="D13" s="558">
        <v>38660</v>
      </c>
    </row>
    <row r="14" spans="2:4">
      <c r="B14" s="560" t="s">
        <v>847</v>
      </c>
      <c r="C14" s="560" t="s">
        <v>851</v>
      </c>
      <c r="D14" s="558">
        <v>39021</v>
      </c>
    </row>
    <row r="15" spans="2:4">
      <c r="B15" s="560" t="s">
        <v>847</v>
      </c>
      <c r="C15" s="560" t="s">
        <v>850</v>
      </c>
      <c r="D15" s="558">
        <v>39164</v>
      </c>
    </row>
    <row r="16" spans="2:4">
      <c r="B16" s="560" t="s">
        <v>842</v>
      </c>
      <c r="C16" s="560" t="s">
        <v>849</v>
      </c>
      <c r="D16" s="558">
        <v>39673</v>
      </c>
    </row>
    <row r="17" spans="2:6">
      <c r="B17" s="560" t="s">
        <v>842</v>
      </c>
      <c r="C17" s="560" t="s">
        <v>848</v>
      </c>
      <c r="D17" s="558">
        <v>39722</v>
      </c>
    </row>
    <row r="18" spans="2:6">
      <c r="B18" s="560" t="s">
        <v>847</v>
      </c>
      <c r="C18" s="560" t="s">
        <v>846</v>
      </c>
      <c r="D18" s="558">
        <v>39738</v>
      </c>
    </row>
    <row r="19" spans="2:6" ht="25.5">
      <c r="B19" s="560" t="s">
        <v>842</v>
      </c>
      <c r="C19" s="560" t="s">
        <v>845</v>
      </c>
      <c r="D19" s="558">
        <v>39828</v>
      </c>
    </row>
    <row r="20" spans="2:6">
      <c r="B20" s="560" t="s">
        <v>842</v>
      </c>
      <c r="C20" s="560" t="s">
        <v>844</v>
      </c>
      <c r="D20" s="558">
        <v>40056</v>
      </c>
    </row>
    <row r="21" spans="2:6">
      <c r="B21" s="560" t="s">
        <v>842</v>
      </c>
      <c r="C21" s="560" t="s">
        <v>843</v>
      </c>
      <c r="D21" s="561">
        <v>40086</v>
      </c>
    </row>
    <row r="22" spans="2:6">
      <c r="B22" s="560" t="s">
        <v>842</v>
      </c>
      <c r="C22" s="560" t="s">
        <v>841</v>
      </c>
      <c r="D22" s="561">
        <v>40347</v>
      </c>
    </row>
    <row r="23" spans="2:6" ht="38.25">
      <c r="B23" s="560" t="s">
        <v>824</v>
      </c>
      <c r="C23" s="560" t="s">
        <v>840</v>
      </c>
      <c r="D23" s="561">
        <v>40387</v>
      </c>
    </row>
    <row r="24" spans="2:6" ht="38.25">
      <c r="B24" s="560" t="s">
        <v>824</v>
      </c>
      <c r="C24" s="560" t="s">
        <v>839</v>
      </c>
      <c r="D24" s="561">
        <v>41172</v>
      </c>
    </row>
    <row r="25" spans="2:6" ht="38.25">
      <c r="B25" s="560" t="s">
        <v>824</v>
      </c>
      <c r="C25" s="559" t="s">
        <v>838</v>
      </c>
      <c r="D25" s="558">
        <v>40562</v>
      </c>
    </row>
    <row r="26" spans="2:6" ht="51">
      <c r="B26" s="560" t="s">
        <v>824</v>
      </c>
      <c r="C26" s="559" t="s">
        <v>837</v>
      </c>
      <c r="D26" s="554" t="s">
        <v>836</v>
      </c>
    </row>
    <row r="27" spans="2:6" ht="38.25">
      <c r="B27" s="560" t="s">
        <v>824</v>
      </c>
      <c r="C27" s="559" t="s">
        <v>835</v>
      </c>
      <c r="D27" s="558">
        <v>40633</v>
      </c>
    </row>
    <row r="28" spans="2:6" ht="38.25">
      <c r="B28" s="560" t="s">
        <v>824</v>
      </c>
      <c r="C28" s="559" t="s">
        <v>834</v>
      </c>
      <c r="D28" s="558">
        <v>40697</v>
      </c>
    </row>
    <row r="29" spans="2:6" ht="38.25">
      <c r="B29" s="560" t="s">
        <v>824</v>
      </c>
      <c r="C29" s="559" t="s">
        <v>833</v>
      </c>
      <c r="D29" s="558">
        <v>40847</v>
      </c>
    </row>
    <row r="30" spans="2:6" ht="38.25">
      <c r="B30" s="557" t="s">
        <v>824</v>
      </c>
      <c r="C30" s="553" t="s">
        <v>832</v>
      </c>
      <c r="D30" s="552">
        <v>40848</v>
      </c>
      <c r="F30" s="556"/>
    </row>
    <row r="31" spans="2:6" ht="38.25">
      <c r="B31" s="557" t="s">
        <v>824</v>
      </c>
      <c r="C31" s="553" t="s">
        <v>831</v>
      </c>
      <c r="D31" s="552">
        <v>40885</v>
      </c>
      <c r="F31" s="556"/>
    </row>
    <row r="32" spans="2:6" ht="38.25">
      <c r="B32" s="557" t="s">
        <v>824</v>
      </c>
      <c r="C32" s="553" t="s">
        <v>830</v>
      </c>
      <c r="D32" s="552">
        <v>41029</v>
      </c>
      <c r="F32" s="556"/>
    </row>
    <row r="33" spans="2:6" ht="38.25">
      <c r="B33" s="550" t="s">
        <v>824</v>
      </c>
      <c r="C33" s="553" t="s">
        <v>829</v>
      </c>
      <c r="D33" s="552">
        <v>41275</v>
      </c>
    </row>
    <row r="34" spans="2:6" ht="38.25">
      <c r="B34" s="550" t="s">
        <v>824</v>
      </c>
      <c r="C34" s="555" t="s">
        <v>828</v>
      </c>
      <c r="D34" s="554">
        <v>41275</v>
      </c>
      <c r="F34" s="551"/>
    </row>
    <row r="35" spans="2:6" ht="38.25">
      <c r="B35" s="550" t="s">
        <v>824</v>
      </c>
      <c r="C35" s="555" t="s">
        <v>827</v>
      </c>
      <c r="D35" s="554">
        <v>41275</v>
      </c>
      <c r="F35" s="551"/>
    </row>
    <row r="36" spans="2:6" ht="38.25">
      <c r="B36" s="550" t="s">
        <v>824</v>
      </c>
      <c r="C36" s="553" t="s">
        <v>826</v>
      </c>
      <c r="D36" s="552">
        <v>41275</v>
      </c>
      <c r="F36" s="551"/>
    </row>
    <row r="37" spans="2:6" ht="38.25">
      <c r="B37" s="550" t="s">
        <v>824</v>
      </c>
      <c r="C37" s="550" t="s">
        <v>825</v>
      </c>
      <c r="D37" s="549">
        <v>41627</v>
      </c>
      <c r="F37" s="548"/>
    </row>
    <row r="38" spans="2:6" ht="38.25">
      <c r="B38" s="550" t="s">
        <v>824</v>
      </c>
      <c r="C38" s="550" t="s">
        <v>823</v>
      </c>
      <c r="D38" s="549">
        <v>41627</v>
      </c>
      <c r="F38" s="548"/>
    </row>
    <row r="39" spans="2:6">
      <c r="F39" s="547"/>
    </row>
  </sheetData>
  <printOptions horizontalCentered="1"/>
  <pageMargins left="0.22" right="0.17" top="1" bottom="1" header="0.5" footer="0.5"/>
  <pageSetup orientation="portrait" r:id="rId1"/>
  <headerFooter alignWithMargins="0">
    <oddHeader>&amp;RLast Updated:  February 27, 2013</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showGridLines="0" workbookViewId="0">
      <selection activeCell="K42" sqref="K42"/>
    </sheetView>
  </sheetViews>
  <sheetFormatPr defaultRowHeight="12.75"/>
  <cols>
    <col min="1" max="2" width="2.7109375" style="22" customWidth="1"/>
    <col min="3" max="3" width="26.7109375" style="22" customWidth="1"/>
    <col min="4" max="4" width="2.7109375" style="22" customWidth="1"/>
    <col min="5" max="5" width="12.28515625" style="22" bestFit="1" customWidth="1"/>
    <col min="6" max="6" width="2.7109375" style="22" customWidth="1"/>
    <col min="7" max="7" width="14.140625" style="22" bestFit="1" customWidth="1"/>
    <col min="8" max="8" width="2.7109375" style="22" customWidth="1"/>
    <col min="9" max="9" width="13.42578125" style="22" bestFit="1" customWidth="1"/>
    <col min="10" max="10" width="2.7109375" style="22" customWidth="1"/>
    <col min="11" max="11" width="13.42578125" style="22" bestFit="1" customWidth="1"/>
    <col min="12" max="12" width="4.28515625" style="22" customWidth="1"/>
    <col min="13" max="13" width="11.7109375" style="22" bestFit="1" customWidth="1"/>
    <col min="14" max="16384" width="9.140625" style="22"/>
  </cols>
  <sheetData>
    <row r="1" spans="1:13" s="1" customFormat="1">
      <c r="L1" s="201" t="s">
        <v>320</v>
      </c>
    </row>
    <row r="2" spans="1:13" s="1" customFormat="1"/>
    <row r="3" spans="1:13" s="1" customFormat="1">
      <c r="A3" s="11" t="s">
        <v>22</v>
      </c>
      <c r="B3" s="11"/>
      <c r="C3" s="12"/>
      <c r="D3" s="12"/>
      <c r="E3" s="12"/>
      <c r="F3" s="12"/>
      <c r="G3" s="13"/>
      <c r="H3" s="13"/>
      <c r="I3" s="13"/>
      <c r="J3" s="13"/>
      <c r="K3" s="13"/>
    </row>
    <row r="4" spans="1:13" s="1" customFormat="1">
      <c r="A4" s="11" t="s">
        <v>23</v>
      </c>
      <c r="B4" s="11"/>
      <c r="C4" s="12"/>
      <c r="D4" s="12"/>
      <c r="E4" s="12"/>
      <c r="F4" s="12"/>
      <c r="G4" s="13"/>
      <c r="H4" s="13"/>
      <c r="I4" s="13"/>
      <c r="J4" s="13"/>
      <c r="K4" s="13"/>
    </row>
    <row r="5" spans="1:13" s="1" customFormat="1">
      <c r="A5" s="11" t="s">
        <v>323</v>
      </c>
      <c r="B5" s="11"/>
      <c r="C5" s="12"/>
      <c r="D5" s="12"/>
      <c r="E5" s="12"/>
      <c r="F5" s="12"/>
      <c r="G5" s="13"/>
      <c r="H5" s="13"/>
      <c r="I5" s="13"/>
      <c r="J5" s="13"/>
      <c r="K5" s="13"/>
    </row>
    <row r="6" spans="1:13" s="1" customFormat="1">
      <c r="A6" s="11" t="s">
        <v>399</v>
      </c>
      <c r="B6" s="12"/>
      <c r="C6" s="12"/>
      <c r="D6" s="12"/>
      <c r="E6" s="12"/>
      <c r="F6" s="12"/>
      <c r="G6" s="13"/>
      <c r="H6" s="13"/>
      <c r="I6" s="13"/>
      <c r="J6" s="13"/>
      <c r="K6" s="13"/>
    </row>
    <row r="7" spans="1:13" s="1" customFormat="1">
      <c r="A7" s="11" t="s">
        <v>49</v>
      </c>
      <c r="B7" s="11"/>
      <c r="C7" s="12"/>
      <c r="D7" s="12"/>
      <c r="E7" s="12"/>
      <c r="F7" s="12"/>
      <c r="G7" s="13"/>
      <c r="H7" s="13"/>
      <c r="I7" s="13"/>
      <c r="J7" s="13"/>
      <c r="K7" s="13"/>
    </row>
    <row r="8" spans="1:13" s="1" customFormat="1">
      <c r="A8" s="11"/>
      <c r="B8" s="11"/>
      <c r="C8" s="12"/>
      <c r="D8" s="12"/>
      <c r="E8" s="12"/>
      <c r="F8" s="12"/>
      <c r="G8" s="13"/>
      <c r="H8" s="13"/>
      <c r="I8" s="13"/>
      <c r="J8" s="13"/>
      <c r="K8" s="13"/>
    </row>
    <row r="9" spans="1:13" s="1" customFormat="1">
      <c r="A9" s="5"/>
      <c r="B9" s="5"/>
      <c r="G9" s="6"/>
      <c r="H9" s="6"/>
      <c r="I9" s="6"/>
      <c r="J9" s="6"/>
      <c r="K9" s="6"/>
    </row>
    <row r="10" spans="1:13" s="1" customFormat="1">
      <c r="A10" s="5"/>
      <c r="B10" s="5"/>
      <c r="E10" s="106" t="s">
        <v>200</v>
      </c>
      <c r="G10" s="7" t="s">
        <v>30</v>
      </c>
      <c r="H10" s="14"/>
      <c r="I10" s="272" t="s">
        <v>400</v>
      </c>
      <c r="K10" s="274"/>
    </row>
    <row r="11" spans="1:13" s="1" customFormat="1">
      <c r="A11" s="5" t="s">
        <v>24</v>
      </c>
      <c r="B11" s="5"/>
      <c r="E11" s="104" t="s">
        <v>109</v>
      </c>
      <c r="G11" s="9" t="s">
        <v>31</v>
      </c>
      <c r="H11" s="15"/>
      <c r="I11" s="273" t="s">
        <v>401</v>
      </c>
      <c r="J11" s="38"/>
      <c r="K11" s="104" t="s">
        <v>198</v>
      </c>
    </row>
    <row r="12" spans="1:13" s="1" customFormat="1">
      <c r="A12" s="5"/>
      <c r="B12" s="5" t="s">
        <v>25</v>
      </c>
      <c r="G12" s="6"/>
      <c r="H12" s="16"/>
      <c r="I12" s="6"/>
      <c r="J12" s="6"/>
      <c r="K12" s="6"/>
    </row>
    <row r="13" spans="1:13" s="1" customFormat="1">
      <c r="A13" s="5"/>
      <c r="B13" s="5"/>
      <c r="C13" s="1" t="s">
        <v>26</v>
      </c>
      <c r="E13" s="1" t="s">
        <v>4</v>
      </c>
      <c r="G13" s="114">
        <v>560006217</v>
      </c>
      <c r="H13" s="114"/>
      <c r="I13" s="107"/>
      <c r="J13" s="107"/>
      <c r="K13" s="114"/>
    </row>
    <row r="14" spans="1:13" s="1" customFormat="1">
      <c r="A14" s="5"/>
      <c r="B14" s="5"/>
      <c r="C14" s="95" t="s">
        <v>193</v>
      </c>
      <c r="E14" s="95" t="s">
        <v>195</v>
      </c>
      <c r="G14" s="114"/>
      <c r="H14" s="114"/>
      <c r="I14" s="114">
        <v>854230</v>
      </c>
      <c r="J14" s="115" t="s">
        <v>43</v>
      </c>
      <c r="K14" s="114"/>
    </row>
    <row r="15" spans="1:13" s="1" customFormat="1">
      <c r="A15" s="5"/>
      <c r="B15" s="5"/>
      <c r="C15" s="95" t="s">
        <v>194</v>
      </c>
      <c r="E15" s="95" t="s">
        <v>196</v>
      </c>
      <c r="G15" s="114"/>
      <c r="H15" s="114"/>
      <c r="I15" s="114">
        <v>3142677</v>
      </c>
      <c r="J15" s="116" t="s">
        <v>43</v>
      </c>
      <c r="K15" s="117"/>
    </row>
    <row r="16" spans="1:13" s="1" customFormat="1">
      <c r="A16" s="5"/>
      <c r="B16" s="5"/>
      <c r="C16" s="95" t="s">
        <v>26</v>
      </c>
      <c r="E16" s="95"/>
      <c r="G16" s="110">
        <f>SUM(G13:G15)</f>
        <v>560006217</v>
      </c>
      <c r="H16" s="108"/>
      <c r="I16" s="110">
        <f>SUM(I13:I15)</f>
        <v>3996907</v>
      </c>
      <c r="J16" s="118"/>
      <c r="K16" s="108">
        <f t="shared" ref="K16:K21" si="0">G16-I16</f>
        <v>556009310</v>
      </c>
      <c r="L16" s="242"/>
      <c r="M16" s="6"/>
    </row>
    <row r="17" spans="1:12" s="1" customFormat="1">
      <c r="A17" s="5"/>
      <c r="B17" s="5"/>
      <c r="C17" s="1" t="s">
        <v>2</v>
      </c>
      <c r="E17" s="1" t="s">
        <v>5</v>
      </c>
      <c r="G17" s="108">
        <v>196823641</v>
      </c>
      <c r="H17" s="108"/>
      <c r="I17" s="108">
        <v>797</v>
      </c>
      <c r="J17" s="109" t="s">
        <v>43</v>
      </c>
      <c r="K17" s="108">
        <f t="shared" si="0"/>
        <v>196822844</v>
      </c>
      <c r="L17" s="242"/>
    </row>
    <row r="18" spans="1:12" s="1" customFormat="1">
      <c r="A18" s="5"/>
      <c r="B18" s="5"/>
      <c r="C18" s="1" t="s">
        <v>27</v>
      </c>
      <c r="E18" s="1" t="s">
        <v>6</v>
      </c>
      <c r="G18" s="108">
        <v>308202056</v>
      </c>
      <c r="H18" s="108"/>
      <c r="I18" s="108">
        <v>39748</v>
      </c>
      <c r="J18" s="109" t="s">
        <v>43</v>
      </c>
      <c r="K18" s="108">
        <f t="shared" si="0"/>
        <v>308162308</v>
      </c>
      <c r="L18" s="242"/>
    </row>
    <row r="19" spans="1:12" s="1" customFormat="1">
      <c r="A19" s="5"/>
      <c r="B19" s="5"/>
      <c r="C19" s="1" t="s">
        <v>28</v>
      </c>
      <c r="E19" s="1" t="s">
        <v>47</v>
      </c>
      <c r="G19" s="108">
        <v>9141165</v>
      </c>
      <c r="H19" s="108"/>
      <c r="I19" s="108"/>
      <c r="J19" s="108"/>
      <c r="K19" s="108">
        <f t="shared" si="0"/>
        <v>9141165</v>
      </c>
      <c r="L19" s="242"/>
    </row>
    <row r="20" spans="1:12" s="1" customFormat="1">
      <c r="A20" s="5"/>
      <c r="B20" s="5"/>
      <c r="E20" s="1" t="s">
        <v>44</v>
      </c>
      <c r="G20" s="108">
        <v>25590389</v>
      </c>
      <c r="H20" s="108"/>
      <c r="I20" s="108"/>
      <c r="J20" s="108"/>
      <c r="K20" s="108">
        <f t="shared" si="0"/>
        <v>25590389</v>
      </c>
      <c r="L20" s="242"/>
    </row>
    <row r="21" spans="1:12" s="1" customFormat="1">
      <c r="A21" s="5"/>
      <c r="B21" s="5"/>
      <c r="C21" s="1" t="s">
        <v>29</v>
      </c>
      <c r="E21" s="4">
        <v>356.1</v>
      </c>
      <c r="G21" s="108">
        <v>115748847</v>
      </c>
      <c r="H21" s="108"/>
      <c r="I21" s="108">
        <v>7270</v>
      </c>
      <c r="J21" s="109" t="s">
        <v>43</v>
      </c>
      <c r="K21" s="108">
        <f t="shared" si="0"/>
        <v>115741577</v>
      </c>
      <c r="L21" s="242"/>
    </row>
    <row r="22" spans="1:12" s="1" customFormat="1">
      <c r="A22" s="5"/>
      <c r="B22" s="5" t="s">
        <v>34</v>
      </c>
      <c r="G22" s="110">
        <f>SUM(G16:G21)</f>
        <v>1215512315</v>
      </c>
      <c r="H22" s="111"/>
      <c r="I22" s="110">
        <f>SUM(I16:I21)</f>
        <v>4044722</v>
      </c>
      <c r="J22" s="108"/>
      <c r="K22" s="110">
        <f>SUM(K16:K21)</f>
        <v>1211467593</v>
      </c>
    </row>
    <row r="23" spans="1:12" s="1" customFormat="1">
      <c r="A23" s="5"/>
      <c r="B23" s="5"/>
      <c r="G23" s="108"/>
      <c r="H23" s="108"/>
      <c r="I23" s="108"/>
      <c r="J23" s="108"/>
      <c r="K23" s="108"/>
    </row>
    <row r="24" spans="1:12" s="1" customFormat="1">
      <c r="A24" s="5"/>
      <c r="B24" s="5" t="s">
        <v>35</v>
      </c>
      <c r="G24" s="108"/>
      <c r="H24" s="108"/>
      <c r="I24" s="108"/>
      <c r="J24" s="108"/>
      <c r="K24" s="108"/>
    </row>
    <row r="25" spans="1:12" s="1" customFormat="1">
      <c r="A25" s="5"/>
      <c r="B25" s="5"/>
      <c r="C25" s="1" t="s">
        <v>26</v>
      </c>
      <c r="E25" s="1" t="s">
        <v>7</v>
      </c>
      <c r="G25" s="108">
        <f>222163669+37277088</f>
        <v>259440757</v>
      </c>
      <c r="H25" s="108"/>
      <c r="I25" s="107"/>
      <c r="J25" s="107"/>
      <c r="K25" s="111"/>
    </row>
    <row r="26" spans="1:12" s="1" customFormat="1">
      <c r="A26" s="5"/>
      <c r="B26" s="5"/>
      <c r="C26" s="95" t="s">
        <v>193</v>
      </c>
      <c r="G26" s="108"/>
      <c r="H26" s="108"/>
      <c r="I26" s="108">
        <f>'Recon FF1 to Acc Res (2)'!I12</f>
        <v>560247</v>
      </c>
      <c r="J26" s="109" t="s">
        <v>43</v>
      </c>
      <c r="K26" s="111"/>
    </row>
    <row r="27" spans="1:12" s="1" customFormat="1">
      <c r="A27" s="5"/>
      <c r="B27" s="5"/>
      <c r="C27" s="95" t="s">
        <v>194</v>
      </c>
      <c r="G27" s="108"/>
      <c r="H27" s="108"/>
      <c r="I27" s="108">
        <f>'Recon FF1 to Acc Res (2)'!I13</f>
        <v>567777</v>
      </c>
      <c r="J27" s="118" t="s">
        <v>43</v>
      </c>
      <c r="K27" s="112"/>
    </row>
    <row r="28" spans="1:12" s="1" customFormat="1">
      <c r="A28" s="5"/>
      <c r="B28" s="5"/>
      <c r="C28" s="95" t="s">
        <v>26</v>
      </c>
      <c r="E28" s="95"/>
      <c r="G28" s="110">
        <f>SUM(G25:G27)</f>
        <v>259440757</v>
      </c>
      <c r="H28" s="108"/>
      <c r="I28" s="110">
        <f>SUM(I25:I27)</f>
        <v>1128024</v>
      </c>
      <c r="J28" s="118"/>
      <c r="K28" s="108">
        <f>G28-I28</f>
        <v>258312733</v>
      </c>
      <c r="L28" s="242"/>
    </row>
    <row r="29" spans="1:12" s="1" customFormat="1">
      <c r="A29" s="5"/>
      <c r="B29" s="5"/>
      <c r="C29" s="1" t="s">
        <v>2</v>
      </c>
      <c r="E29" s="1" t="s">
        <v>8</v>
      </c>
      <c r="G29" s="108">
        <v>91945558</v>
      </c>
      <c r="H29" s="108"/>
      <c r="I29" s="108">
        <f>'Recon FF1 to Acc Res (2)'!I15</f>
        <v>462</v>
      </c>
      <c r="J29" s="109" t="s">
        <v>43</v>
      </c>
      <c r="K29" s="108">
        <f t="shared" ref="K29:K32" si="1">G29-I29</f>
        <v>91945096</v>
      </c>
      <c r="L29" s="242"/>
    </row>
    <row r="30" spans="1:12" s="1" customFormat="1">
      <c r="A30" s="5"/>
      <c r="B30" s="5"/>
      <c r="C30" s="1" t="s">
        <v>27</v>
      </c>
      <c r="E30" s="1" t="s">
        <v>9</v>
      </c>
      <c r="G30" s="108">
        <v>130709243</v>
      </c>
      <c r="H30" s="108"/>
      <c r="I30" s="108">
        <f>'Recon FF1 to Acc Res (2)'!I16</f>
        <v>33066</v>
      </c>
      <c r="J30" s="109" t="s">
        <v>43</v>
      </c>
      <c r="K30" s="108">
        <f t="shared" si="1"/>
        <v>130676177</v>
      </c>
      <c r="L30" s="242"/>
    </row>
    <row r="31" spans="1:12" s="1" customFormat="1">
      <c r="A31" s="5"/>
      <c r="B31" s="5"/>
      <c r="C31" s="1" t="s">
        <v>28</v>
      </c>
      <c r="E31" s="1" t="s">
        <v>46</v>
      </c>
      <c r="G31" s="108">
        <v>10980004</v>
      </c>
      <c r="H31" s="108"/>
      <c r="I31" s="108"/>
      <c r="J31" s="108"/>
      <c r="K31" s="108">
        <f t="shared" si="1"/>
        <v>10980004</v>
      </c>
      <c r="L31" s="242"/>
    </row>
    <row r="32" spans="1:12" s="1" customFormat="1">
      <c r="A32" s="5"/>
      <c r="B32" s="5"/>
      <c r="E32" s="1" t="s">
        <v>45</v>
      </c>
      <c r="G32" s="108">
        <v>6774890</v>
      </c>
      <c r="H32" s="108"/>
      <c r="I32" s="108"/>
      <c r="J32" s="108"/>
      <c r="K32" s="108">
        <f t="shared" si="1"/>
        <v>6774890</v>
      </c>
      <c r="L32" s="242"/>
    </row>
    <row r="33" spans="1:13" s="1" customFormat="1">
      <c r="A33" s="5"/>
      <c r="B33" s="5"/>
      <c r="C33" s="1" t="s">
        <v>29</v>
      </c>
      <c r="E33" s="4">
        <v>356.1</v>
      </c>
      <c r="G33" s="108">
        <v>47516194</v>
      </c>
      <c r="H33" s="108"/>
      <c r="I33" s="108">
        <v>4723</v>
      </c>
      <c r="J33" s="109" t="s">
        <v>43</v>
      </c>
      <c r="K33" s="108">
        <f>G33-I33</f>
        <v>47511471</v>
      </c>
      <c r="L33" s="242"/>
    </row>
    <row r="34" spans="1:13">
      <c r="A34" s="5"/>
      <c r="B34" s="5" t="s">
        <v>36</v>
      </c>
      <c r="C34" s="1"/>
      <c r="D34" s="1"/>
      <c r="E34" s="1"/>
      <c r="F34" s="1"/>
      <c r="G34" s="110">
        <f>SUM(G28:G33)</f>
        <v>547366646</v>
      </c>
      <c r="H34" s="111"/>
      <c r="I34" s="110">
        <f>SUM(I28:I33)</f>
        <v>1166275</v>
      </c>
      <c r="J34" s="108"/>
      <c r="K34" s="110">
        <f>SUM(K28:K33)</f>
        <v>546200371</v>
      </c>
      <c r="L34" s="1"/>
      <c r="M34" s="1"/>
    </row>
    <row r="35" spans="1:13">
      <c r="A35" s="5"/>
      <c r="B35" s="5"/>
      <c r="C35" s="1"/>
      <c r="D35" s="1"/>
      <c r="E35" s="1"/>
      <c r="F35" s="1"/>
      <c r="G35" s="108"/>
      <c r="H35" s="108"/>
      <c r="I35" s="108"/>
      <c r="J35" s="108"/>
      <c r="K35" s="108"/>
      <c r="L35" s="1"/>
      <c r="M35" s="1"/>
    </row>
    <row r="36" spans="1:13">
      <c r="B36" s="5"/>
      <c r="C36" s="1"/>
      <c r="D36" s="1"/>
      <c r="E36" s="1"/>
      <c r="F36" s="1"/>
      <c r="G36" s="6"/>
      <c r="H36" s="16"/>
      <c r="I36" s="6"/>
      <c r="J36" s="6"/>
      <c r="K36" s="6"/>
    </row>
    <row r="38" spans="1:13">
      <c r="A38" s="120" t="s">
        <v>203</v>
      </c>
      <c r="B38" s="5"/>
      <c r="C38" s="1"/>
      <c r="D38" s="1"/>
      <c r="E38" s="1"/>
      <c r="F38" s="1"/>
      <c r="G38" s="6"/>
      <c r="H38" s="16"/>
      <c r="I38" s="6"/>
      <c r="J38" s="6"/>
      <c r="K38" s="6"/>
    </row>
    <row r="39" spans="1:13">
      <c r="C39" s="200" t="s">
        <v>358</v>
      </c>
    </row>
    <row r="40" spans="1:13">
      <c r="A40" s="95" t="s">
        <v>199</v>
      </c>
    </row>
  </sheetData>
  <printOptions horizontalCentered="1"/>
  <pageMargins left="0.22" right="0.17" top="1" bottom="0.28000000000000003"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2.75"/>
  <cols>
    <col min="1" max="2" width="2.7109375" style="1" customWidth="1"/>
    <col min="3" max="3" width="17" style="1" bestFit="1" customWidth="1"/>
    <col min="4" max="4" width="2.7109375" style="1" customWidth="1"/>
    <col min="5" max="5" width="11.7109375" style="6" bestFit="1" customWidth="1"/>
    <col min="6" max="6" width="2.7109375" style="6" customWidth="1"/>
    <col min="7" max="7" width="11.7109375" style="6" bestFit="1" customWidth="1"/>
    <col min="8" max="8" width="2.7109375" style="6" customWidth="1"/>
    <col min="9" max="9" width="11.85546875" style="6" bestFit="1" customWidth="1"/>
    <col min="10" max="10" width="2.7109375" style="6" customWidth="1"/>
    <col min="11" max="11" width="10.85546875" style="6" bestFit="1" customWidth="1"/>
    <col min="12" max="12" width="2.7109375" style="6" customWidth="1"/>
    <col min="13" max="13" width="10.85546875" style="6" bestFit="1" customWidth="1"/>
    <col min="14" max="14" width="2.7109375" style="6" customWidth="1"/>
    <col min="15" max="15" width="10.85546875" style="6" bestFit="1" customWidth="1"/>
    <col min="16" max="16" width="2.7109375" style="6" customWidth="1"/>
    <col min="17" max="17" width="10.85546875" style="6" bestFit="1" customWidth="1"/>
    <col min="18" max="16384" width="9.140625" style="1"/>
  </cols>
  <sheetData>
    <row r="1" spans="1:17">
      <c r="Q1" s="201" t="s">
        <v>321</v>
      </c>
    </row>
    <row r="3" spans="1:17">
      <c r="A3" s="11" t="s">
        <v>22</v>
      </c>
      <c r="B3" s="11"/>
      <c r="C3" s="11"/>
      <c r="D3" s="11"/>
      <c r="E3" s="18"/>
      <c r="F3" s="18"/>
      <c r="G3" s="18"/>
      <c r="H3" s="18"/>
      <c r="I3" s="18"/>
      <c r="J3" s="18"/>
      <c r="K3" s="18"/>
      <c r="L3" s="18"/>
      <c r="M3" s="18"/>
      <c r="N3" s="18"/>
      <c r="O3" s="18"/>
      <c r="P3" s="18"/>
      <c r="Q3" s="18"/>
    </row>
    <row r="4" spans="1:17">
      <c r="A4" s="11" t="s">
        <v>322</v>
      </c>
      <c r="B4" s="11"/>
      <c r="C4" s="11"/>
      <c r="D4" s="11"/>
      <c r="E4" s="18"/>
      <c r="F4" s="18"/>
      <c r="G4" s="18"/>
      <c r="H4" s="18"/>
      <c r="I4" s="18"/>
      <c r="J4" s="18"/>
      <c r="K4" s="18"/>
      <c r="L4" s="18"/>
      <c r="M4" s="18"/>
      <c r="N4" s="18"/>
      <c r="O4" s="18"/>
      <c r="P4" s="18"/>
      <c r="Q4" s="18"/>
    </row>
    <row r="5" spans="1:17">
      <c r="A5" s="11" t="s">
        <v>324</v>
      </c>
      <c r="B5" s="11"/>
      <c r="C5" s="11"/>
      <c r="D5" s="11"/>
      <c r="E5" s="18"/>
      <c r="F5" s="18"/>
      <c r="G5" s="18"/>
      <c r="H5" s="18"/>
      <c r="I5" s="18"/>
      <c r="J5" s="18"/>
      <c r="K5" s="18"/>
      <c r="L5" s="18"/>
      <c r="M5" s="18"/>
      <c r="N5" s="18"/>
      <c r="O5" s="18"/>
      <c r="P5" s="18"/>
      <c r="Q5" s="18"/>
    </row>
    <row r="6" spans="1:17">
      <c r="A6" s="11" t="s">
        <v>399</v>
      </c>
      <c r="B6" s="11"/>
      <c r="C6" s="11"/>
      <c r="D6" s="11"/>
      <c r="E6" s="18"/>
      <c r="F6" s="18"/>
      <c r="G6" s="18"/>
      <c r="H6" s="18"/>
      <c r="I6" s="18"/>
      <c r="J6" s="18"/>
      <c r="K6" s="18"/>
      <c r="L6" s="18"/>
      <c r="M6" s="18"/>
      <c r="N6" s="18"/>
      <c r="O6" s="18"/>
      <c r="P6" s="18"/>
      <c r="Q6" s="18"/>
    </row>
    <row r="7" spans="1:17">
      <c r="A7" s="11" t="s">
        <v>49</v>
      </c>
      <c r="B7" s="11"/>
      <c r="C7" s="11"/>
      <c r="D7" s="11"/>
      <c r="E7" s="18"/>
      <c r="F7" s="18"/>
      <c r="G7" s="18"/>
      <c r="H7" s="18"/>
      <c r="I7" s="18"/>
      <c r="J7" s="18"/>
      <c r="K7" s="18"/>
      <c r="L7" s="18"/>
      <c r="M7" s="18"/>
      <c r="N7" s="18"/>
      <c r="O7" s="18"/>
      <c r="P7" s="18"/>
      <c r="Q7" s="18"/>
    </row>
    <row r="9" spans="1:17">
      <c r="E9" s="8"/>
      <c r="G9" s="8"/>
      <c r="I9" s="8" t="s">
        <v>55</v>
      </c>
      <c r="K9" s="8" t="s">
        <v>57</v>
      </c>
      <c r="M9" s="8" t="s">
        <v>60</v>
      </c>
      <c r="O9" s="8"/>
      <c r="Q9" s="8"/>
    </row>
    <row r="10" spans="1:17">
      <c r="E10" s="125" t="s">
        <v>1</v>
      </c>
      <c r="G10" s="9" t="s">
        <v>48</v>
      </c>
      <c r="I10" s="9" t="s">
        <v>56</v>
      </c>
      <c r="K10" s="9" t="s">
        <v>56</v>
      </c>
      <c r="M10" s="9" t="s">
        <v>61</v>
      </c>
      <c r="O10" s="9" t="s">
        <v>32</v>
      </c>
      <c r="Q10" s="9" t="s">
        <v>58</v>
      </c>
    </row>
    <row r="11" spans="1:17">
      <c r="A11" s="1" t="s">
        <v>54</v>
      </c>
    </row>
    <row r="12" spans="1:17">
      <c r="B12" s="1" t="s">
        <v>50</v>
      </c>
      <c r="E12" s="1"/>
      <c r="F12" s="19"/>
      <c r="G12" s="19"/>
      <c r="H12" s="19"/>
      <c r="I12" s="19"/>
      <c r="J12" s="19"/>
      <c r="K12" s="19"/>
      <c r="L12" s="19"/>
      <c r="M12" s="19"/>
      <c r="N12" s="19"/>
      <c r="O12" s="19"/>
      <c r="P12" s="19"/>
      <c r="Q12" s="19"/>
    </row>
    <row r="13" spans="1:17">
      <c r="C13" s="1" t="s">
        <v>29</v>
      </c>
      <c r="E13" s="19">
        <f>SUM(G13:O13)</f>
        <v>35082486</v>
      </c>
      <c r="F13" s="19"/>
      <c r="G13" s="19">
        <v>6676686</v>
      </c>
      <c r="H13" s="19"/>
      <c r="I13" s="19">
        <v>23181360</v>
      </c>
      <c r="J13" s="19"/>
      <c r="K13" s="19">
        <v>1383241</v>
      </c>
      <c r="L13" s="19"/>
      <c r="M13" s="19"/>
      <c r="N13" s="19"/>
      <c r="O13" s="19">
        <v>3841199</v>
      </c>
      <c r="P13" s="19"/>
      <c r="Q13" s="19"/>
    </row>
    <row r="14" spans="1:17">
      <c r="C14" s="1" t="s">
        <v>59</v>
      </c>
      <c r="E14" s="6">
        <f>SUM(G14:O14)</f>
        <v>24500530</v>
      </c>
      <c r="F14" s="21"/>
      <c r="G14" s="21">
        <v>4850801</v>
      </c>
      <c r="H14" s="21"/>
      <c r="I14" s="21">
        <v>15450869</v>
      </c>
      <c r="J14" s="21"/>
      <c r="K14" s="21">
        <v>1452408</v>
      </c>
      <c r="L14" s="21"/>
      <c r="M14" s="21"/>
      <c r="N14" s="21"/>
      <c r="O14" s="21">
        <v>2746452</v>
      </c>
      <c r="P14" s="21"/>
      <c r="Q14" s="21"/>
    </row>
    <row r="15" spans="1:17">
      <c r="B15" s="1" t="s">
        <v>51</v>
      </c>
      <c r="E15" s="1"/>
    </row>
    <row r="16" spans="1:17">
      <c r="C16" s="1" t="s">
        <v>29</v>
      </c>
      <c r="E16" s="6">
        <f>SUM(G16:O16)</f>
        <v>24993129</v>
      </c>
      <c r="G16" s="6">
        <v>11048767</v>
      </c>
      <c r="I16" s="6">
        <v>8779969</v>
      </c>
      <c r="K16" s="6">
        <v>2245020</v>
      </c>
      <c r="M16" s="6">
        <v>879355</v>
      </c>
      <c r="O16" s="6">
        <v>2040018</v>
      </c>
    </row>
    <row r="17" spans="1:17">
      <c r="C17" s="1" t="s">
        <v>59</v>
      </c>
      <c r="E17" s="6">
        <f>SUM(G17:O17)</f>
        <v>29108174</v>
      </c>
      <c r="G17" s="6">
        <v>8802713</v>
      </c>
      <c r="I17" s="6">
        <v>11256051</v>
      </c>
      <c r="K17" s="6">
        <v>5762829</v>
      </c>
      <c r="M17" s="6">
        <v>1116204</v>
      </c>
      <c r="O17" s="6">
        <v>2170377</v>
      </c>
    </row>
    <row r="18" spans="1:17">
      <c r="B18" s="1" t="s">
        <v>52</v>
      </c>
      <c r="E18" s="1"/>
    </row>
    <row r="19" spans="1:17">
      <c r="C19" s="1" t="s">
        <v>29</v>
      </c>
      <c r="E19" s="6">
        <f>SUM(G19:Q19)</f>
        <v>1121853</v>
      </c>
      <c r="Q19" s="6">
        <v>1121853</v>
      </c>
    </row>
    <row r="20" spans="1:17">
      <c r="C20" s="1" t="s">
        <v>59</v>
      </c>
      <c r="E20" s="6">
        <f>SUM(G20:Q20)</f>
        <v>935403</v>
      </c>
      <c r="Q20" s="6">
        <v>935403</v>
      </c>
    </row>
    <row r="21" spans="1:17" ht="13.5" thickBot="1">
      <c r="A21" s="1" t="s">
        <v>53</v>
      </c>
      <c r="E21" s="20">
        <f>SUM(E13:E20)</f>
        <v>115741575</v>
      </c>
      <c r="F21" s="266"/>
      <c r="G21" s="20">
        <f>SUM(G13:G20)</f>
        <v>31378967</v>
      </c>
      <c r="I21" s="20">
        <f>SUM(I13:I20)</f>
        <v>58668249</v>
      </c>
      <c r="K21" s="20">
        <f>SUM(K13:K20)</f>
        <v>10843498</v>
      </c>
      <c r="M21" s="20">
        <f>SUM(M13:M20)</f>
        <v>1995559</v>
      </c>
      <c r="O21" s="20">
        <f>SUM(O13:O20)</f>
        <v>10798046</v>
      </c>
      <c r="Q21" s="20">
        <f>SUM(Q13:Q20)</f>
        <v>2057256</v>
      </c>
    </row>
    <row r="22" spans="1:17" ht="13.5" thickTop="1"/>
    <row r="24" spans="1:17">
      <c r="A24" s="82" t="s">
        <v>171</v>
      </c>
    </row>
  </sheetData>
  <printOptions horizontalCentered="1"/>
  <pageMargins left="0.17" right="0.17" top="1"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2.75"/>
  <cols>
    <col min="1" max="1" width="20.140625" style="133" customWidth="1"/>
    <col min="2" max="2" width="2.7109375" style="133" customWidth="1"/>
    <col min="3" max="3" width="13.42578125" style="133" customWidth="1"/>
    <col min="4" max="4" width="2.7109375" style="142" customWidth="1"/>
    <col min="5" max="14" width="13.42578125" style="133" customWidth="1"/>
    <col min="15" max="17" width="13.42578125" style="133" bestFit="1" customWidth="1"/>
    <col min="18" max="18" width="2.7109375" style="133" customWidth="1"/>
    <col min="19" max="19" width="9.28515625" style="156" bestFit="1" customWidth="1"/>
    <col min="20" max="16384" width="9.140625" style="133"/>
  </cols>
  <sheetData>
    <row r="1" spans="1:19">
      <c r="A1" s="202" t="s">
        <v>326</v>
      </c>
    </row>
    <row r="3" spans="1:19">
      <c r="A3" s="139" t="s">
        <v>22</v>
      </c>
      <c r="B3" s="11"/>
      <c r="C3" s="11"/>
      <c r="D3" s="141"/>
      <c r="E3" s="11"/>
      <c r="F3" s="11"/>
      <c r="G3" s="11"/>
      <c r="H3" s="11"/>
      <c r="I3" s="11"/>
      <c r="J3" s="11"/>
      <c r="K3" s="11"/>
      <c r="L3" s="11"/>
      <c r="M3" s="11"/>
      <c r="N3" s="11"/>
      <c r="O3" s="11"/>
      <c r="P3" s="11"/>
      <c r="R3" s="11"/>
    </row>
    <row r="4" spans="1:19">
      <c r="A4" s="139" t="s">
        <v>322</v>
      </c>
      <c r="B4" s="11"/>
      <c r="C4" s="11"/>
      <c r="D4" s="141"/>
      <c r="E4" s="11"/>
      <c r="F4" s="11"/>
      <c r="G4" s="11"/>
      <c r="H4" s="11"/>
      <c r="I4" s="11"/>
      <c r="J4" s="11"/>
      <c r="K4" s="11"/>
      <c r="L4" s="11"/>
      <c r="M4" s="11"/>
      <c r="N4" s="11"/>
      <c r="O4" s="11"/>
      <c r="P4" s="11"/>
      <c r="Q4" s="11"/>
      <c r="R4" s="11"/>
    </row>
    <row r="5" spans="1:19">
      <c r="A5" s="139" t="s">
        <v>325</v>
      </c>
      <c r="B5" s="11"/>
      <c r="C5" s="11"/>
      <c r="D5" s="141"/>
      <c r="E5" s="11"/>
      <c r="F5" s="11"/>
      <c r="G5" s="11"/>
      <c r="H5" s="11"/>
      <c r="I5" s="11"/>
      <c r="J5" s="11"/>
      <c r="K5" s="11"/>
      <c r="L5" s="11"/>
      <c r="M5" s="11"/>
      <c r="N5" s="11"/>
      <c r="O5" s="11"/>
      <c r="P5" s="11"/>
      <c r="Q5" s="11"/>
      <c r="R5" s="11"/>
    </row>
    <row r="6" spans="1:19">
      <c r="A6" s="139" t="s">
        <v>239</v>
      </c>
      <c r="B6" s="11"/>
      <c r="C6" s="11"/>
      <c r="D6" s="141"/>
      <c r="E6" s="11"/>
      <c r="F6" s="11"/>
      <c r="G6" s="11"/>
      <c r="H6" s="11"/>
      <c r="I6" s="11"/>
      <c r="J6" s="11"/>
      <c r="K6" s="11"/>
      <c r="L6" s="11"/>
      <c r="M6" s="11"/>
      <c r="N6" s="11"/>
      <c r="O6" s="11"/>
      <c r="P6" s="11"/>
      <c r="Q6" s="11"/>
      <c r="R6" s="11"/>
    </row>
    <row r="7" spans="1:19">
      <c r="A7" s="139" t="s">
        <v>228</v>
      </c>
    </row>
    <row r="8" spans="1:19">
      <c r="A8" s="140"/>
    </row>
    <row r="10" spans="1:19" ht="28.5" customHeight="1">
      <c r="C10" s="138" t="s">
        <v>161</v>
      </c>
      <c r="D10" s="143"/>
      <c r="E10" s="134" t="s">
        <v>148</v>
      </c>
      <c r="F10" s="134" t="s">
        <v>149</v>
      </c>
      <c r="G10" s="134" t="s">
        <v>216</v>
      </c>
      <c r="H10" s="134" t="s">
        <v>217</v>
      </c>
      <c r="I10" s="134" t="s">
        <v>218</v>
      </c>
      <c r="J10" s="134" t="s">
        <v>219</v>
      </c>
      <c r="K10" s="134" t="s">
        <v>220</v>
      </c>
      <c r="L10" s="134" t="s">
        <v>221</v>
      </c>
      <c r="M10" s="134" t="s">
        <v>222</v>
      </c>
      <c r="N10" s="134" t="s">
        <v>223</v>
      </c>
      <c r="O10" s="134" t="s">
        <v>224</v>
      </c>
      <c r="P10" s="134" t="s">
        <v>225</v>
      </c>
      <c r="Q10" s="134" t="s">
        <v>226</v>
      </c>
      <c r="R10" s="146"/>
      <c r="S10" s="158" t="s">
        <v>253</v>
      </c>
    </row>
    <row r="11" spans="1:19">
      <c r="A11" s="278" t="s">
        <v>232</v>
      </c>
      <c r="C11" s="143"/>
      <c r="D11" s="143"/>
      <c r="E11" s="146"/>
      <c r="F11" s="146"/>
      <c r="G11" s="146"/>
      <c r="H11" s="146"/>
      <c r="I11" s="146"/>
      <c r="J11" s="146"/>
      <c r="K11" s="146"/>
      <c r="L11" s="146"/>
      <c r="M11" s="146"/>
      <c r="N11" s="146"/>
      <c r="O11" s="146"/>
      <c r="P11" s="146"/>
      <c r="Q11" s="146"/>
      <c r="R11" s="146"/>
    </row>
    <row r="12" spans="1:19">
      <c r="A12" s="133" t="s">
        <v>173</v>
      </c>
      <c r="C12" s="137">
        <f>ROUND(AVERAGE(E12:Q12),0)</f>
        <v>381639395</v>
      </c>
      <c r="D12" s="144"/>
      <c r="E12" s="137">
        <v>378177500</v>
      </c>
      <c r="F12" s="137">
        <v>378177500</v>
      </c>
      <c r="G12" s="137">
        <v>378333735</v>
      </c>
      <c r="H12" s="137">
        <v>378540374</v>
      </c>
      <c r="I12" s="137">
        <v>378540374</v>
      </c>
      <c r="J12" s="137">
        <v>378540374</v>
      </c>
      <c r="K12" s="137">
        <v>380079738</v>
      </c>
      <c r="L12" s="137">
        <v>380205734</v>
      </c>
      <c r="M12" s="137">
        <v>381209069</v>
      </c>
      <c r="N12" s="137">
        <v>382257955</v>
      </c>
      <c r="O12" s="137">
        <v>382207632</v>
      </c>
      <c r="P12" s="137">
        <v>382802492</v>
      </c>
      <c r="Q12" s="137">
        <v>402239654</v>
      </c>
      <c r="R12" s="137"/>
      <c r="S12" s="156">
        <f>ROUND(Q12/C12,3)</f>
        <v>1.054</v>
      </c>
    </row>
    <row r="13" spans="1:19">
      <c r="A13" s="133" t="s">
        <v>174</v>
      </c>
      <c r="C13" s="135">
        <f t="shared" ref="C13:C20" si="0">ROUND(AVERAGE(E13:Q13),0)</f>
        <v>153450047</v>
      </c>
      <c r="D13" s="145"/>
      <c r="E13" s="135">
        <v>153449193</v>
      </c>
      <c r="F13" s="135">
        <v>153449193</v>
      </c>
      <c r="G13" s="135">
        <v>153342381</v>
      </c>
      <c r="H13" s="135">
        <v>153342689</v>
      </c>
      <c r="I13" s="135">
        <v>153342689</v>
      </c>
      <c r="J13" s="135">
        <v>153342689</v>
      </c>
      <c r="K13" s="135">
        <v>153385162</v>
      </c>
      <c r="L13" s="135">
        <v>153432340</v>
      </c>
      <c r="M13" s="135">
        <v>153453768</v>
      </c>
      <c r="N13" s="135">
        <v>153477438</v>
      </c>
      <c r="O13" s="135">
        <v>153477438</v>
      </c>
      <c r="P13" s="135">
        <v>153585971</v>
      </c>
      <c r="Q13" s="135">
        <v>153769656</v>
      </c>
      <c r="R13" s="135"/>
      <c r="S13" s="156">
        <f t="shared" ref="S13:S21" si="1">ROUND(Q13/C13,3)</f>
        <v>1.002</v>
      </c>
    </row>
    <row r="14" spans="1:19">
      <c r="A14" s="133" t="s">
        <v>227</v>
      </c>
      <c r="C14" s="136">
        <f>SUM(C12:C13)</f>
        <v>535089442</v>
      </c>
      <c r="D14" s="145"/>
      <c r="E14" s="136">
        <f t="shared" ref="E14:Q14" si="2">SUM(E12:E13)</f>
        <v>531626693</v>
      </c>
      <c r="F14" s="136">
        <f t="shared" si="2"/>
        <v>531626693</v>
      </c>
      <c r="G14" s="136">
        <f t="shared" si="2"/>
        <v>531676116</v>
      </c>
      <c r="H14" s="136">
        <f t="shared" si="2"/>
        <v>531883063</v>
      </c>
      <c r="I14" s="136">
        <f t="shared" si="2"/>
        <v>531883063</v>
      </c>
      <c r="J14" s="136">
        <f t="shared" si="2"/>
        <v>531883063</v>
      </c>
      <c r="K14" s="136">
        <f t="shared" si="2"/>
        <v>533464900</v>
      </c>
      <c r="L14" s="136">
        <f t="shared" si="2"/>
        <v>533638074</v>
      </c>
      <c r="M14" s="136">
        <f t="shared" si="2"/>
        <v>534662837</v>
      </c>
      <c r="N14" s="136">
        <f t="shared" si="2"/>
        <v>535735393</v>
      </c>
      <c r="O14" s="136">
        <f t="shared" si="2"/>
        <v>535685070</v>
      </c>
      <c r="P14" s="136">
        <f t="shared" si="2"/>
        <v>536388463</v>
      </c>
      <c r="Q14" s="136">
        <f t="shared" si="2"/>
        <v>556009310</v>
      </c>
      <c r="R14" s="145"/>
      <c r="S14" s="156">
        <f t="shared" si="1"/>
        <v>1.0389999999999999</v>
      </c>
    </row>
    <row r="15" spans="1:19">
      <c r="A15" s="133" t="s">
        <v>2</v>
      </c>
      <c r="C15" s="135">
        <f t="shared" si="0"/>
        <v>185034955</v>
      </c>
      <c r="D15" s="145"/>
      <c r="E15" s="135">
        <v>180542078</v>
      </c>
      <c r="F15" s="135">
        <v>180542078</v>
      </c>
      <c r="G15" s="135">
        <v>180689458</v>
      </c>
      <c r="H15" s="135">
        <v>180893303</v>
      </c>
      <c r="I15" s="135">
        <v>180893303</v>
      </c>
      <c r="J15" s="135">
        <v>180893303</v>
      </c>
      <c r="K15" s="135">
        <v>184459644</v>
      </c>
      <c r="L15" s="135">
        <v>185970426</v>
      </c>
      <c r="M15" s="135">
        <v>187372330</v>
      </c>
      <c r="N15" s="135">
        <v>187729142</v>
      </c>
      <c r="O15" s="135">
        <v>187546654</v>
      </c>
      <c r="P15" s="135">
        <v>191099853</v>
      </c>
      <c r="Q15" s="135">
        <v>196822845</v>
      </c>
      <c r="R15" s="135"/>
      <c r="S15" s="156">
        <f t="shared" si="1"/>
        <v>1.0640000000000001</v>
      </c>
    </row>
    <row r="16" spans="1:19">
      <c r="A16" s="133" t="s">
        <v>27</v>
      </c>
      <c r="C16" s="135">
        <f t="shared" si="0"/>
        <v>287660647</v>
      </c>
      <c r="D16" s="145"/>
      <c r="E16" s="135">
        <v>276406412</v>
      </c>
      <c r="F16" s="135">
        <v>276406412</v>
      </c>
      <c r="G16" s="135">
        <v>277174452</v>
      </c>
      <c r="H16" s="135">
        <v>277600383</v>
      </c>
      <c r="I16" s="135">
        <v>277600383</v>
      </c>
      <c r="J16" s="135">
        <v>277601646</v>
      </c>
      <c r="K16" s="135">
        <v>289637558</v>
      </c>
      <c r="L16" s="135">
        <v>290288601</v>
      </c>
      <c r="M16" s="135">
        <v>290756244</v>
      </c>
      <c r="N16" s="135">
        <v>296165864</v>
      </c>
      <c r="O16" s="135">
        <v>299154393</v>
      </c>
      <c r="P16" s="135">
        <v>302633751</v>
      </c>
      <c r="Q16" s="135">
        <v>308162308</v>
      </c>
      <c r="R16" s="135"/>
      <c r="S16" s="156">
        <f t="shared" si="1"/>
        <v>1.071</v>
      </c>
    </row>
    <row r="17" spans="1:19">
      <c r="A17" s="133" t="s">
        <v>103</v>
      </c>
      <c r="C17" s="135">
        <f t="shared" si="0"/>
        <v>24959280</v>
      </c>
      <c r="D17" s="145"/>
      <c r="E17" s="135">
        <v>24361304</v>
      </c>
      <c r="F17" s="135">
        <v>24356531</v>
      </c>
      <c r="G17" s="135">
        <v>24395450</v>
      </c>
      <c r="H17" s="135">
        <v>24424446</v>
      </c>
      <c r="I17" s="135">
        <v>24404211</v>
      </c>
      <c r="J17" s="135">
        <v>24404211</v>
      </c>
      <c r="K17" s="135">
        <v>25129338</v>
      </c>
      <c r="L17" s="135">
        <v>25174764</v>
      </c>
      <c r="M17" s="135">
        <v>25463700</v>
      </c>
      <c r="N17" s="135">
        <v>25710270</v>
      </c>
      <c r="O17" s="135">
        <v>25766911</v>
      </c>
      <c r="P17" s="135">
        <v>25289110</v>
      </c>
      <c r="Q17" s="135">
        <v>25590392</v>
      </c>
      <c r="R17" s="135"/>
      <c r="S17" s="156">
        <f t="shared" si="1"/>
        <v>1.0249999999999999</v>
      </c>
    </row>
    <row r="18" spans="1:19">
      <c r="A18" s="133" t="s">
        <v>215</v>
      </c>
      <c r="C18" s="135">
        <f t="shared" si="0"/>
        <v>9102195</v>
      </c>
      <c r="D18" s="145"/>
      <c r="E18" s="135">
        <v>9098948</v>
      </c>
      <c r="F18" s="135">
        <v>9098948</v>
      </c>
      <c r="G18" s="135">
        <v>9098948</v>
      </c>
      <c r="H18" s="135">
        <v>9098948</v>
      </c>
      <c r="I18" s="135">
        <v>9098948</v>
      </c>
      <c r="J18" s="135">
        <v>9098948</v>
      </c>
      <c r="K18" s="135">
        <v>9098948</v>
      </c>
      <c r="L18" s="135">
        <v>9098948</v>
      </c>
      <c r="M18" s="135">
        <v>9098948</v>
      </c>
      <c r="N18" s="135">
        <v>9098948</v>
      </c>
      <c r="O18" s="135">
        <v>9098948</v>
      </c>
      <c r="P18" s="135">
        <v>9098948</v>
      </c>
      <c r="Q18" s="135">
        <v>9141165</v>
      </c>
      <c r="R18" s="135"/>
      <c r="S18" s="156">
        <f t="shared" si="1"/>
        <v>1.004</v>
      </c>
    </row>
    <row r="19" spans="1:19">
      <c r="C19" s="136">
        <f>SUM(C14:C18)</f>
        <v>1041846519</v>
      </c>
      <c r="D19" s="145"/>
      <c r="E19" s="136">
        <f t="shared" ref="E19:Q19" si="3">SUM(E14:E18)</f>
        <v>1022035435</v>
      </c>
      <c r="F19" s="136">
        <f t="shared" si="3"/>
        <v>1022030662</v>
      </c>
      <c r="G19" s="136">
        <f t="shared" si="3"/>
        <v>1023034424</v>
      </c>
      <c r="H19" s="136">
        <f t="shared" si="3"/>
        <v>1023900143</v>
      </c>
      <c r="I19" s="136">
        <f t="shared" si="3"/>
        <v>1023879908</v>
      </c>
      <c r="J19" s="136">
        <f t="shared" si="3"/>
        <v>1023881171</v>
      </c>
      <c r="K19" s="136">
        <f t="shared" si="3"/>
        <v>1041790388</v>
      </c>
      <c r="L19" s="136">
        <f t="shared" si="3"/>
        <v>1044170813</v>
      </c>
      <c r="M19" s="136">
        <f t="shared" si="3"/>
        <v>1047354059</v>
      </c>
      <c r="N19" s="136">
        <f t="shared" si="3"/>
        <v>1054439617</v>
      </c>
      <c r="O19" s="136">
        <f t="shared" si="3"/>
        <v>1057251976</v>
      </c>
      <c r="P19" s="136">
        <f t="shared" si="3"/>
        <v>1064510125</v>
      </c>
      <c r="Q19" s="136">
        <f t="shared" si="3"/>
        <v>1095726020</v>
      </c>
      <c r="R19" s="145"/>
      <c r="S19" s="156">
        <f t="shared" si="1"/>
        <v>1.052</v>
      </c>
    </row>
    <row r="20" spans="1:19">
      <c r="A20" s="275" t="s">
        <v>407</v>
      </c>
      <c r="C20" s="135">
        <f t="shared" si="0"/>
        <v>107513300</v>
      </c>
      <c r="D20" s="145"/>
      <c r="E20" s="145">
        <v>84610451.969999999</v>
      </c>
      <c r="F20" s="145">
        <v>84578881.909999996</v>
      </c>
      <c r="G20" s="145">
        <v>108691684.64000002</v>
      </c>
      <c r="H20" s="145">
        <v>108905413.62</v>
      </c>
      <c r="I20" s="145">
        <v>108404785.06999999</v>
      </c>
      <c r="J20" s="145">
        <v>110397959.73999999</v>
      </c>
      <c r="K20" s="145">
        <v>110858990.48</v>
      </c>
      <c r="L20" s="145">
        <v>110897421.46000001</v>
      </c>
      <c r="M20" s="145">
        <v>112185066.80000001</v>
      </c>
      <c r="N20" s="145">
        <v>114035523.76000001</v>
      </c>
      <c r="O20" s="145">
        <v>114349992.93999995</v>
      </c>
      <c r="P20" s="145">
        <v>114015155.16999999</v>
      </c>
      <c r="Q20" s="145">
        <v>115741577.02</v>
      </c>
      <c r="R20" s="145"/>
      <c r="S20" s="156">
        <f t="shared" si="1"/>
        <v>1.077</v>
      </c>
    </row>
    <row r="21" spans="1:19">
      <c r="A21" s="133" t="s">
        <v>229</v>
      </c>
      <c r="C21" s="136">
        <f>C19+C20</f>
        <v>1149359819</v>
      </c>
      <c r="D21" s="145"/>
      <c r="E21" s="136">
        <f t="shared" ref="E21:Q21" si="4">E19+E20</f>
        <v>1106645886.97</v>
      </c>
      <c r="F21" s="136">
        <f t="shared" si="4"/>
        <v>1106609543.9100001</v>
      </c>
      <c r="G21" s="136">
        <f t="shared" si="4"/>
        <v>1131726108.6400001</v>
      </c>
      <c r="H21" s="136">
        <f t="shared" si="4"/>
        <v>1132805556.6199999</v>
      </c>
      <c r="I21" s="136">
        <f t="shared" si="4"/>
        <v>1132284693.0699999</v>
      </c>
      <c r="J21" s="136">
        <f t="shared" si="4"/>
        <v>1134279130.74</v>
      </c>
      <c r="K21" s="136">
        <f t="shared" si="4"/>
        <v>1152649378.48</v>
      </c>
      <c r="L21" s="136">
        <f t="shared" si="4"/>
        <v>1155068234.46</v>
      </c>
      <c r="M21" s="136">
        <f t="shared" si="4"/>
        <v>1159539125.8</v>
      </c>
      <c r="N21" s="136">
        <f t="shared" si="4"/>
        <v>1168475140.76</v>
      </c>
      <c r="O21" s="136">
        <f t="shared" si="4"/>
        <v>1171601968.9400001</v>
      </c>
      <c r="P21" s="136">
        <f t="shared" si="4"/>
        <v>1178525280.1700001</v>
      </c>
      <c r="Q21" s="136">
        <f t="shared" si="4"/>
        <v>1211467597.02</v>
      </c>
      <c r="R21" s="145"/>
      <c r="S21" s="156">
        <f t="shared" si="1"/>
        <v>1.054</v>
      </c>
    </row>
    <row r="22" spans="1:19">
      <c r="C22" s="145"/>
      <c r="D22" s="145"/>
      <c r="E22" s="145"/>
      <c r="F22" s="145"/>
      <c r="G22" s="145"/>
      <c r="H22" s="145"/>
      <c r="I22" s="145"/>
      <c r="J22" s="145"/>
      <c r="K22" s="145"/>
      <c r="L22" s="145"/>
      <c r="M22" s="145"/>
      <c r="N22" s="145"/>
      <c r="O22" s="145"/>
      <c r="P22" s="145"/>
      <c r="Q22" s="145"/>
      <c r="R22" s="145"/>
    </row>
    <row r="23" spans="1:19" s="142" customFormat="1">
      <c r="S23" s="157"/>
    </row>
    <row r="24" spans="1:19">
      <c r="A24" s="138" t="s">
        <v>233</v>
      </c>
      <c r="C24" s="143"/>
      <c r="D24" s="143"/>
      <c r="E24" s="146"/>
      <c r="F24" s="146"/>
      <c r="G24" s="146"/>
      <c r="H24" s="146"/>
      <c r="I24" s="146"/>
      <c r="J24" s="146"/>
      <c r="K24" s="146"/>
      <c r="L24" s="146"/>
      <c r="M24" s="146"/>
      <c r="N24" s="146"/>
      <c r="O24" s="146"/>
      <c r="P24" s="146"/>
      <c r="Q24" s="146"/>
      <c r="R24" s="146"/>
    </row>
    <row r="25" spans="1:19">
      <c r="A25" s="133" t="s">
        <v>173</v>
      </c>
      <c r="C25" s="135">
        <f t="shared" ref="C25:C31" si="5">ROUND(AVERAGE(E25:Q25),0)</f>
        <v>63411951</v>
      </c>
      <c r="D25" s="144"/>
      <c r="E25" s="135">
        <v>63312091</v>
      </c>
      <c r="F25" s="135">
        <v>63312091</v>
      </c>
      <c r="G25" s="135">
        <v>63303923</v>
      </c>
      <c r="H25" s="135">
        <v>63303923</v>
      </c>
      <c r="I25" s="135">
        <v>63303923</v>
      </c>
      <c r="J25" s="135">
        <v>63303923</v>
      </c>
      <c r="K25" s="135">
        <v>63285546</v>
      </c>
      <c r="L25" s="135">
        <v>63285546</v>
      </c>
      <c r="M25" s="135">
        <v>63285546</v>
      </c>
      <c r="N25" s="135">
        <v>63492269</v>
      </c>
      <c r="O25" s="135">
        <v>63492269</v>
      </c>
      <c r="P25" s="135">
        <v>63492265</v>
      </c>
      <c r="Q25" s="135">
        <v>64182054</v>
      </c>
      <c r="R25" s="135"/>
    </row>
    <row r="26" spans="1:19">
      <c r="A26" s="133" t="s">
        <v>174</v>
      </c>
      <c r="C26" s="135"/>
      <c r="D26" s="145"/>
      <c r="E26" s="135"/>
      <c r="F26" s="135"/>
      <c r="G26" s="135"/>
      <c r="H26" s="135"/>
      <c r="I26" s="135"/>
      <c r="J26" s="135"/>
      <c r="K26" s="135"/>
      <c r="L26" s="135"/>
      <c r="M26" s="135"/>
      <c r="N26" s="135"/>
      <c r="O26" s="135"/>
      <c r="P26" s="135"/>
      <c r="Q26" s="135"/>
      <c r="R26" s="135"/>
    </row>
    <row r="27" spans="1:19">
      <c r="A27" s="133" t="s">
        <v>227</v>
      </c>
      <c r="C27" s="136">
        <f>SUM(C25:C26)</f>
        <v>63411951</v>
      </c>
      <c r="D27" s="145"/>
      <c r="E27" s="136">
        <f t="shared" ref="E27" si="6">SUM(E25:E26)</f>
        <v>63312091</v>
      </c>
      <c r="F27" s="136">
        <f t="shared" ref="F27" si="7">SUM(F25:F26)</f>
        <v>63312091</v>
      </c>
      <c r="G27" s="136">
        <f t="shared" ref="G27" si="8">SUM(G25:G26)</f>
        <v>63303923</v>
      </c>
      <c r="H27" s="136">
        <f t="shared" ref="H27" si="9">SUM(H25:H26)</f>
        <v>63303923</v>
      </c>
      <c r="I27" s="136">
        <f t="shared" ref="I27" si="10">SUM(I25:I26)</f>
        <v>63303923</v>
      </c>
      <c r="J27" s="136">
        <f t="shared" ref="J27" si="11">SUM(J25:J26)</f>
        <v>63303923</v>
      </c>
      <c r="K27" s="136">
        <f t="shared" ref="K27" si="12">SUM(K25:K26)</f>
        <v>63285546</v>
      </c>
      <c r="L27" s="136">
        <f t="shared" ref="L27" si="13">SUM(L25:L26)</f>
        <v>63285546</v>
      </c>
      <c r="M27" s="136">
        <f t="shared" ref="M27" si="14">SUM(M25:M26)</f>
        <v>63285546</v>
      </c>
      <c r="N27" s="136">
        <f t="shared" ref="N27" si="15">SUM(N25:N26)</f>
        <v>63492269</v>
      </c>
      <c r="O27" s="136">
        <f t="shared" ref="O27" si="16">SUM(O25:O26)</f>
        <v>63492269</v>
      </c>
      <c r="P27" s="136">
        <f t="shared" ref="P27:Q27" si="17">SUM(P25:P26)</f>
        <v>63492265</v>
      </c>
      <c r="Q27" s="136">
        <f t="shared" si="17"/>
        <v>64182054</v>
      </c>
      <c r="R27" s="145"/>
    </row>
    <row r="28" spans="1:19">
      <c r="A28" s="133" t="s">
        <v>2</v>
      </c>
      <c r="C28" s="135">
        <f t="shared" si="5"/>
        <v>3192143</v>
      </c>
      <c r="D28" s="145"/>
      <c r="E28" s="135">
        <v>3192143</v>
      </c>
      <c r="F28" s="135">
        <v>3192143</v>
      </c>
      <c r="G28" s="135">
        <v>3192143</v>
      </c>
      <c r="H28" s="135">
        <v>3192143</v>
      </c>
      <c r="I28" s="135">
        <v>3192143</v>
      </c>
      <c r="J28" s="135">
        <v>3192143</v>
      </c>
      <c r="K28" s="135">
        <v>3192143</v>
      </c>
      <c r="L28" s="135">
        <v>3192143</v>
      </c>
      <c r="M28" s="135">
        <v>3192143</v>
      </c>
      <c r="N28" s="135">
        <v>3192143</v>
      </c>
      <c r="O28" s="135">
        <v>3192143</v>
      </c>
      <c r="P28" s="135">
        <v>3192143</v>
      </c>
      <c r="Q28" s="135">
        <v>3192143</v>
      </c>
      <c r="R28" s="135"/>
    </row>
    <row r="29" spans="1:19">
      <c r="A29" s="133" t="s">
        <v>27</v>
      </c>
      <c r="C29" s="135">
        <f t="shared" si="5"/>
        <v>44818606</v>
      </c>
      <c r="D29" s="145"/>
      <c r="E29" s="135">
        <v>44253529</v>
      </c>
      <c r="F29" s="135">
        <v>44094656</v>
      </c>
      <c r="G29" s="135">
        <v>44011264</v>
      </c>
      <c r="H29" s="135">
        <v>44017470</v>
      </c>
      <c r="I29" s="135">
        <v>44017470</v>
      </c>
      <c r="J29" s="135">
        <v>44017470</v>
      </c>
      <c r="K29" s="135">
        <v>45216487</v>
      </c>
      <c r="L29" s="135">
        <v>45217862</v>
      </c>
      <c r="M29" s="135">
        <v>45240407</v>
      </c>
      <c r="N29" s="135">
        <v>45309748</v>
      </c>
      <c r="O29" s="135">
        <v>45527821</v>
      </c>
      <c r="P29" s="135">
        <v>45766451</v>
      </c>
      <c r="Q29" s="135">
        <v>45951242</v>
      </c>
      <c r="R29" s="135"/>
    </row>
    <row r="30" spans="1:19">
      <c r="A30" s="133" t="s">
        <v>103</v>
      </c>
      <c r="C30" s="135">
        <f t="shared" si="5"/>
        <v>2205294</v>
      </c>
      <c r="D30" s="145"/>
      <c r="E30" s="135">
        <v>2168197</v>
      </c>
      <c r="F30" s="135">
        <v>2159165</v>
      </c>
      <c r="G30" s="135">
        <v>2158534</v>
      </c>
      <c r="H30" s="135">
        <v>2161446</v>
      </c>
      <c r="I30" s="135">
        <v>2152631</v>
      </c>
      <c r="J30" s="135">
        <v>2159873</v>
      </c>
      <c r="K30" s="135">
        <v>2201619</v>
      </c>
      <c r="L30" s="135">
        <v>2195865</v>
      </c>
      <c r="M30" s="135">
        <v>2273048</v>
      </c>
      <c r="N30" s="135">
        <v>2300175</v>
      </c>
      <c r="O30" s="135">
        <v>2243367</v>
      </c>
      <c r="P30" s="135">
        <v>2243439</v>
      </c>
      <c r="Q30" s="135">
        <v>2251462</v>
      </c>
      <c r="R30" s="135"/>
    </row>
    <row r="31" spans="1:19">
      <c r="A31" s="133" t="s">
        <v>215</v>
      </c>
      <c r="C31" s="135">
        <f t="shared" si="5"/>
        <v>375286</v>
      </c>
      <c r="D31" s="145"/>
      <c r="E31" s="135">
        <v>386082</v>
      </c>
      <c r="F31" s="135">
        <v>374001</v>
      </c>
      <c r="G31" s="135">
        <v>374001</v>
      </c>
      <c r="H31" s="135">
        <v>374001</v>
      </c>
      <c r="I31" s="135">
        <v>374001</v>
      </c>
      <c r="J31" s="135">
        <v>374001</v>
      </c>
      <c r="K31" s="135">
        <v>374001</v>
      </c>
      <c r="L31" s="135">
        <v>374001</v>
      </c>
      <c r="M31" s="135">
        <v>374001</v>
      </c>
      <c r="N31" s="135">
        <v>374001</v>
      </c>
      <c r="O31" s="135">
        <v>374001</v>
      </c>
      <c r="P31" s="135">
        <v>374001</v>
      </c>
      <c r="Q31" s="135">
        <v>378629</v>
      </c>
      <c r="R31" s="135"/>
    </row>
    <row r="32" spans="1:19">
      <c r="C32" s="136">
        <f>SUM(C27:C31)</f>
        <v>114003280</v>
      </c>
      <c r="D32" s="145"/>
      <c r="E32" s="136">
        <f t="shared" ref="E32" si="18">SUM(E27:E31)</f>
        <v>113312042</v>
      </c>
      <c r="F32" s="136">
        <f t="shared" ref="F32" si="19">SUM(F27:F31)</f>
        <v>113132056</v>
      </c>
      <c r="G32" s="136">
        <f t="shared" ref="G32" si="20">SUM(G27:G31)</f>
        <v>113039865</v>
      </c>
      <c r="H32" s="136">
        <f t="shared" ref="H32" si="21">SUM(H27:H31)</f>
        <v>113048983</v>
      </c>
      <c r="I32" s="136">
        <f t="shared" ref="I32" si="22">SUM(I27:I31)</f>
        <v>113040168</v>
      </c>
      <c r="J32" s="136">
        <f t="shared" ref="J32" si="23">SUM(J27:J31)</f>
        <v>113047410</v>
      </c>
      <c r="K32" s="136">
        <f t="shared" ref="K32" si="24">SUM(K27:K31)</f>
        <v>114269796</v>
      </c>
      <c r="L32" s="136">
        <f t="shared" ref="L32" si="25">SUM(L27:L31)</f>
        <v>114265417</v>
      </c>
      <c r="M32" s="136">
        <f t="shared" ref="M32" si="26">SUM(M27:M31)</f>
        <v>114365145</v>
      </c>
      <c r="N32" s="136">
        <f t="shared" ref="N32" si="27">SUM(N27:N31)</f>
        <v>114668336</v>
      </c>
      <c r="O32" s="136">
        <f t="shared" ref="O32" si="28">SUM(O27:O31)</f>
        <v>114829601</v>
      </c>
      <c r="P32" s="136">
        <f t="shared" ref="P32" si="29">SUM(P27:P31)</f>
        <v>115068299</v>
      </c>
      <c r="Q32" s="136">
        <f t="shared" ref="Q32" si="30">SUM(Q27:Q31)</f>
        <v>115955530</v>
      </c>
      <c r="R32" s="145"/>
    </row>
    <row r="33" spans="1:19">
      <c r="A33" s="275" t="s">
        <v>408</v>
      </c>
      <c r="C33" s="135"/>
      <c r="D33" s="145"/>
      <c r="E33" s="145"/>
      <c r="F33" s="145"/>
      <c r="G33" s="145"/>
      <c r="H33" s="145"/>
      <c r="I33" s="145"/>
      <c r="J33" s="145"/>
      <c r="K33" s="145"/>
      <c r="L33" s="145"/>
      <c r="M33" s="145"/>
      <c r="N33" s="145"/>
      <c r="O33" s="145"/>
      <c r="P33" s="145"/>
      <c r="Q33" s="145"/>
      <c r="R33" s="145"/>
    </row>
    <row r="34" spans="1:19">
      <c r="A34" s="133" t="s">
        <v>235</v>
      </c>
      <c r="C34" s="145"/>
      <c r="D34" s="145"/>
      <c r="E34" s="145"/>
      <c r="F34" s="145"/>
      <c r="G34" s="145"/>
      <c r="H34" s="145"/>
      <c r="I34" s="145"/>
      <c r="J34" s="145"/>
      <c r="K34" s="145"/>
      <c r="L34" s="145"/>
      <c r="M34" s="145"/>
      <c r="N34" s="145"/>
      <c r="O34" s="145"/>
      <c r="P34" s="145"/>
      <c r="Q34" s="145"/>
      <c r="R34" s="145"/>
    </row>
    <row r="35" spans="1:19">
      <c r="A35" s="133" t="s">
        <v>237</v>
      </c>
      <c r="C35" s="135">
        <f t="shared" ref="C35:C36" si="31">ROUND(AVERAGE(E35:Q35),0)</f>
        <v>4024536</v>
      </c>
      <c r="D35" s="145"/>
      <c r="E35" s="145">
        <v>3857153</v>
      </c>
      <c r="F35" s="145">
        <v>3770974</v>
      </c>
      <c r="G35" s="145">
        <v>6779935</v>
      </c>
      <c r="H35" s="145">
        <v>3780717</v>
      </c>
      <c r="I35" s="145">
        <v>3761805</v>
      </c>
      <c r="J35" s="145">
        <v>3753716</v>
      </c>
      <c r="K35" s="145">
        <v>3777888</v>
      </c>
      <c r="L35" s="145">
        <v>3774920</v>
      </c>
      <c r="M35" s="145">
        <v>3780612</v>
      </c>
      <c r="N35" s="145">
        <v>3819509</v>
      </c>
      <c r="O35" s="145">
        <v>3832361</v>
      </c>
      <c r="P35" s="145">
        <v>3788176</v>
      </c>
      <c r="Q35" s="145">
        <v>3841199</v>
      </c>
      <c r="R35" s="145"/>
    </row>
    <row r="36" spans="1:19">
      <c r="A36" s="133" t="s">
        <v>238</v>
      </c>
      <c r="C36" s="135">
        <f t="shared" si="31"/>
        <v>2496505</v>
      </c>
      <c r="D36" s="145"/>
      <c r="E36" s="145">
        <v>1664801</v>
      </c>
      <c r="F36" s="145">
        <v>1612366</v>
      </c>
      <c r="G36" s="145">
        <v>2520066</v>
      </c>
      <c r="H36" s="145">
        <v>2557545</v>
      </c>
      <c r="I36" s="145">
        <v>2557545</v>
      </c>
      <c r="J36" s="145">
        <v>2650832</v>
      </c>
      <c r="K36" s="145">
        <v>2652706</v>
      </c>
      <c r="L36" s="145">
        <v>2654924</v>
      </c>
      <c r="M36" s="145">
        <v>2697270</v>
      </c>
      <c r="N36" s="145">
        <v>2704425</v>
      </c>
      <c r="O36" s="145">
        <v>2713505</v>
      </c>
      <c r="P36" s="145">
        <v>2722127</v>
      </c>
      <c r="Q36" s="145">
        <v>2746452</v>
      </c>
      <c r="R36" s="145"/>
    </row>
    <row r="37" spans="1:19">
      <c r="A37" s="133" t="s">
        <v>236</v>
      </c>
      <c r="C37" s="145"/>
      <c r="D37" s="145"/>
      <c r="E37" s="145"/>
      <c r="F37" s="145"/>
      <c r="G37" s="145"/>
      <c r="H37" s="145"/>
      <c r="I37" s="145"/>
      <c r="J37" s="145"/>
      <c r="K37" s="145"/>
      <c r="L37" s="145"/>
      <c r="M37" s="145"/>
      <c r="N37" s="145"/>
      <c r="O37" s="145"/>
      <c r="P37" s="145"/>
      <c r="Q37" s="145"/>
      <c r="R37" s="145"/>
    </row>
    <row r="38" spans="1:19" s="142" customFormat="1">
      <c r="A38" s="142" t="s">
        <v>237</v>
      </c>
      <c r="C38" s="135">
        <f t="shared" ref="C38:C39" si="32">ROUND(AVERAGE(E38:Q38),0)</f>
        <v>2010582</v>
      </c>
      <c r="D38" s="145"/>
      <c r="E38" s="145">
        <v>1983705</v>
      </c>
      <c r="F38" s="145">
        <v>2002107</v>
      </c>
      <c r="G38" s="145">
        <v>2006705</v>
      </c>
      <c r="H38" s="145">
        <v>2007111</v>
      </c>
      <c r="I38" s="145">
        <v>1997210</v>
      </c>
      <c r="J38" s="145">
        <v>1995817</v>
      </c>
      <c r="K38" s="145">
        <v>2008342</v>
      </c>
      <c r="L38" s="145">
        <v>2006799</v>
      </c>
      <c r="M38" s="145">
        <v>2009729</v>
      </c>
      <c r="N38" s="145">
        <v>2030094</v>
      </c>
      <c r="O38" s="145">
        <v>2037158</v>
      </c>
      <c r="P38" s="145">
        <v>2012765</v>
      </c>
      <c r="Q38" s="145">
        <v>2040018</v>
      </c>
      <c r="R38" s="145"/>
      <c r="S38" s="157"/>
    </row>
    <row r="39" spans="1:19" s="142" customFormat="1">
      <c r="A39" s="142" t="s">
        <v>238</v>
      </c>
      <c r="C39" s="148">
        <f t="shared" si="32"/>
        <v>1890470</v>
      </c>
      <c r="D39" s="145"/>
      <c r="E39" s="145">
        <v>861190</v>
      </c>
      <c r="F39" s="145">
        <v>854685</v>
      </c>
      <c r="G39" s="145">
        <v>1995552</v>
      </c>
      <c r="H39" s="145">
        <v>1985629</v>
      </c>
      <c r="I39" s="145">
        <v>1985629</v>
      </c>
      <c r="J39" s="145">
        <v>2068800</v>
      </c>
      <c r="K39" s="145">
        <v>2069770</v>
      </c>
      <c r="L39" s="145">
        <v>2070920</v>
      </c>
      <c r="M39" s="145">
        <v>2115210</v>
      </c>
      <c r="N39" s="145">
        <v>2123651</v>
      </c>
      <c r="O39" s="145">
        <v>2132618</v>
      </c>
      <c r="P39" s="145">
        <v>2142085</v>
      </c>
      <c r="Q39" s="145">
        <v>2170377</v>
      </c>
      <c r="R39" s="145"/>
      <c r="S39" s="157"/>
    </row>
    <row r="40" spans="1:19">
      <c r="C40" s="135">
        <f>SUM(C35:C39)</f>
        <v>10422093</v>
      </c>
      <c r="D40" s="145"/>
      <c r="E40" s="136">
        <f>SUM(E35:E39)</f>
        <v>8366849</v>
      </c>
      <c r="F40" s="136">
        <f t="shared" ref="F40:Q40" si="33">SUM(F35:F39)</f>
        <v>8240132</v>
      </c>
      <c r="G40" s="136">
        <f t="shared" si="33"/>
        <v>13302258</v>
      </c>
      <c r="H40" s="136">
        <f t="shared" si="33"/>
        <v>10331002</v>
      </c>
      <c r="I40" s="136">
        <f t="shared" si="33"/>
        <v>10302189</v>
      </c>
      <c r="J40" s="136">
        <f t="shared" si="33"/>
        <v>10469165</v>
      </c>
      <c r="K40" s="136">
        <f t="shared" si="33"/>
        <v>10508706</v>
      </c>
      <c r="L40" s="136">
        <f t="shared" si="33"/>
        <v>10507563</v>
      </c>
      <c r="M40" s="136">
        <f t="shared" si="33"/>
        <v>10602821</v>
      </c>
      <c r="N40" s="136">
        <f t="shared" si="33"/>
        <v>10677679</v>
      </c>
      <c r="O40" s="136">
        <f t="shared" si="33"/>
        <v>10715642</v>
      </c>
      <c r="P40" s="136">
        <f t="shared" si="33"/>
        <v>10665153</v>
      </c>
      <c r="Q40" s="136">
        <f t="shared" si="33"/>
        <v>10798046</v>
      </c>
      <c r="R40" s="145"/>
    </row>
    <row r="41" spans="1:19">
      <c r="C41" s="135"/>
      <c r="D41" s="145"/>
      <c r="E41" s="145"/>
      <c r="F41" s="145"/>
      <c r="G41" s="145"/>
      <c r="H41" s="145"/>
      <c r="I41" s="145"/>
      <c r="J41" s="145"/>
      <c r="K41" s="145"/>
      <c r="L41" s="145"/>
      <c r="M41" s="145"/>
      <c r="N41" s="145"/>
      <c r="O41" s="145"/>
      <c r="P41" s="145"/>
      <c r="Q41" s="145"/>
      <c r="R41" s="145"/>
    </row>
    <row r="42" spans="1:19">
      <c r="A42" s="180" t="s">
        <v>265</v>
      </c>
      <c r="C42" s="145">
        <f>C32+C40</f>
        <v>124425373</v>
      </c>
      <c r="D42" s="145"/>
      <c r="E42" s="145">
        <f t="shared" ref="E42:Q42" si="34">E32+E40</f>
        <v>121678891</v>
      </c>
      <c r="F42" s="145">
        <f t="shared" si="34"/>
        <v>121372188</v>
      </c>
      <c r="G42" s="145">
        <f t="shared" si="34"/>
        <v>126342123</v>
      </c>
      <c r="H42" s="145">
        <f t="shared" si="34"/>
        <v>123379985</v>
      </c>
      <c r="I42" s="145">
        <f t="shared" si="34"/>
        <v>123342357</v>
      </c>
      <c r="J42" s="145">
        <f t="shared" si="34"/>
        <v>123516575</v>
      </c>
      <c r="K42" s="145">
        <f t="shared" si="34"/>
        <v>124778502</v>
      </c>
      <c r="L42" s="145">
        <f t="shared" si="34"/>
        <v>124772980</v>
      </c>
      <c r="M42" s="145">
        <f t="shared" si="34"/>
        <v>124967966</v>
      </c>
      <c r="N42" s="145">
        <f t="shared" si="34"/>
        <v>125346015</v>
      </c>
      <c r="O42" s="145">
        <f t="shared" si="34"/>
        <v>125545243</v>
      </c>
      <c r="P42" s="145">
        <f t="shared" si="34"/>
        <v>125733452</v>
      </c>
      <c r="Q42" s="145">
        <f t="shared" si="34"/>
        <v>126753576</v>
      </c>
      <c r="R42" s="145"/>
    </row>
    <row r="43" spans="1:19">
      <c r="C43" s="145"/>
      <c r="D43" s="145"/>
      <c r="E43" s="145"/>
      <c r="F43" s="145"/>
      <c r="G43" s="145"/>
      <c r="H43" s="145"/>
      <c r="I43" s="145"/>
      <c r="J43" s="145"/>
      <c r="K43" s="145"/>
      <c r="L43" s="145"/>
      <c r="M43" s="145"/>
      <c r="N43" s="145"/>
      <c r="O43" s="145"/>
      <c r="P43" s="145"/>
      <c r="Q43" s="145"/>
      <c r="R43" s="145"/>
    </row>
    <row r="44" spans="1:19">
      <c r="E44" s="135"/>
      <c r="F44" s="135"/>
      <c r="G44" s="135"/>
      <c r="H44" s="135"/>
      <c r="I44" s="135"/>
      <c r="J44" s="135"/>
      <c r="K44" s="135"/>
      <c r="L44" s="135"/>
      <c r="M44" s="135"/>
      <c r="N44" s="135"/>
      <c r="O44" s="135"/>
      <c r="P44" s="135"/>
      <c r="Q44" s="135"/>
      <c r="R44" s="135"/>
    </row>
    <row r="45" spans="1:19">
      <c r="A45" s="138" t="s">
        <v>234</v>
      </c>
      <c r="C45" s="143"/>
      <c r="D45" s="143"/>
      <c r="E45" s="147"/>
      <c r="F45" s="147"/>
      <c r="G45" s="147"/>
      <c r="H45" s="147"/>
      <c r="I45" s="147"/>
      <c r="J45" s="147"/>
      <c r="K45" s="147"/>
      <c r="L45" s="147"/>
      <c r="M45" s="147"/>
      <c r="N45" s="147"/>
      <c r="O45" s="147"/>
      <c r="P45" s="147"/>
      <c r="Q45" s="147"/>
      <c r="R45" s="147"/>
    </row>
    <row r="46" spans="1:19">
      <c r="A46" s="133" t="s">
        <v>173</v>
      </c>
      <c r="C46" s="135">
        <f t="shared" ref="C46:C47" si="35">ROUND(AVERAGE(E46:Q46),0)</f>
        <v>318227443</v>
      </c>
      <c r="D46" s="144"/>
      <c r="E46" s="135">
        <f t="shared" ref="E46:Q46" si="36">E12-E25</f>
        <v>314865409</v>
      </c>
      <c r="F46" s="135">
        <f t="shared" si="36"/>
        <v>314865409</v>
      </c>
      <c r="G46" s="135">
        <f t="shared" si="36"/>
        <v>315029812</v>
      </c>
      <c r="H46" s="135">
        <f t="shared" si="36"/>
        <v>315236451</v>
      </c>
      <c r="I46" s="135">
        <f t="shared" si="36"/>
        <v>315236451</v>
      </c>
      <c r="J46" s="135">
        <f t="shared" si="36"/>
        <v>315236451</v>
      </c>
      <c r="K46" s="135">
        <f t="shared" si="36"/>
        <v>316794192</v>
      </c>
      <c r="L46" s="135">
        <f t="shared" si="36"/>
        <v>316920188</v>
      </c>
      <c r="M46" s="135">
        <f t="shared" si="36"/>
        <v>317923523</v>
      </c>
      <c r="N46" s="135">
        <f t="shared" si="36"/>
        <v>318765686</v>
      </c>
      <c r="O46" s="135">
        <f t="shared" si="36"/>
        <v>318715363</v>
      </c>
      <c r="P46" s="135">
        <f t="shared" si="36"/>
        <v>319310227</v>
      </c>
      <c r="Q46" s="135">
        <f t="shared" si="36"/>
        <v>338057600</v>
      </c>
      <c r="R46" s="135"/>
      <c r="S46" s="156">
        <f>ROUND(Q46/C46,3)</f>
        <v>1.0620000000000001</v>
      </c>
    </row>
    <row r="47" spans="1:19">
      <c r="A47" s="133" t="s">
        <v>174</v>
      </c>
      <c r="C47" s="135">
        <f t="shared" si="35"/>
        <v>153450047</v>
      </c>
      <c r="D47" s="145"/>
      <c r="E47" s="135">
        <f t="shared" ref="E47:Q47" si="37">E13-E26</f>
        <v>153449193</v>
      </c>
      <c r="F47" s="135">
        <f t="shared" si="37"/>
        <v>153449193</v>
      </c>
      <c r="G47" s="135">
        <f t="shared" si="37"/>
        <v>153342381</v>
      </c>
      <c r="H47" s="135">
        <f t="shared" si="37"/>
        <v>153342689</v>
      </c>
      <c r="I47" s="135">
        <f t="shared" si="37"/>
        <v>153342689</v>
      </c>
      <c r="J47" s="135">
        <f t="shared" si="37"/>
        <v>153342689</v>
      </c>
      <c r="K47" s="135">
        <f t="shared" si="37"/>
        <v>153385162</v>
      </c>
      <c r="L47" s="135">
        <f t="shared" si="37"/>
        <v>153432340</v>
      </c>
      <c r="M47" s="135">
        <f t="shared" si="37"/>
        <v>153453768</v>
      </c>
      <c r="N47" s="135">
        <f t="shared" si="37"/>
        <v>153477438</v>
      </c>
      <c r="O47" s="135">
        <f t="shared" si="37"/>
        <v>153477438</v>
      </c>
      <c r="P47" s="135">
        <f t="shared" si="37"/>
        <v>153585971</v>
      </c>
      <c r="Q47" s="135">
        <f t="shared" si="37"/>
        <v>153769656</v>
      </c>
      <c r="R47" s="135"/>
      <c r="S47" s="156">
        <f t="shared" ref="S47:S55" si="38">ROUND(Q47/C47,3)</f>
        <v>1.002</v>
      </c>
    </row>
    <row r="48" spans="1:19" ht="12.75" customHeight="1">
      <c r="A48" s="133" t="s">
        <v>227</v>
      </c>
      <c r="C48" s="136">
        <f>SUM(C46:C47)</f>
        <v>471677490</v>
      </c>
      <c r="D48" s="145"/>
      <c r="E48" s="136">
        <f t="shared" ref="E48" si="39">SUM(E46:E47)</f>
        <v>468314602</v>
      </c>
      <c r="F48" s="136">
        <f t="shared" ref="F48" si="40">SUM(F46:F47)</f>
        <v>468314602</v>
      </c>
      <c r="G48" s="136">
        <f t="shared" ref="G48" si="41">SUM(G46:G47)</f>
        <v>468372193</v>
      </c>
      <c r="H48" s="136">
        <f t="shared" ref="H48" si="42">SUM(H46:H47)</f>
        <v>468579140</v>
      </c>
      <c r="I48" s="136">
        <f t="shared" ref="I48" si="43">SUM(I46:I47)</f>
        <v>468579140</v>
      </c>
      <c r="J48" s="136">
        <f t="shared" ref="J48" si="44">SUM(J46:J47)</f>
        <v>468579140</v>
      </c>
      <c r="K48" s="136">
        <f t="shared" ref="K48" si="45">SUM(K46:K47)</f>
        <v>470179354</v>
      </c>
      <c r="L48" s="136">
        <f t="shared" ref="L48" si="46">SUM(L46:L47)</f>
        <v>470352528</v>
      </c>
      <c r="M48" s="136">
        <f t="shared" ref="M48" si="47">SUM(M46:M47)</f>
        <v>471377291</v>
      </c>
      <c r="N48" s="136">
        <f t="shared" ref="N48" si="48">SUM(N46:N47)</f>
        <v>472243124</v>
      </c>
      <c r="O48" s="136">
        <f t="shared" ref="O48" si="49">SUM(O46:O47)</f>
        <v>472192801</v>
      </c>
      <c r="P48" s="136">
        <f t="shared" ref="P48" si="50">SUM(P46:P47)</f>
        <v>472896198</v>
      </c>
      <c r="Q48" s="136">
        <f t="shared" ref="Q48" si="51">SUM(Q46:Q47)</f>
        <v>491827256</v>
      </c>
      <c r="R48" s="145"/>
      <c r="S48" s="156">
        <f t="shared" si="38"/>
        <v>1.0429999999999999</v>
      </c>
    </row>
    <row r="49" spans="1:19">
      <c r="A49" s="133" t="s">
        <v>2</v>
      </c>
      <c r="C49" s="135">
        <f t="shared" ref="C49:C52" si="52">ROUND(AVERAGE(E49:Q49),0)</f>
        <v>181842812</v>
      </c>
      <c r="D49" s="145"/>
      <c r="E49" s="135">
        <f t="shared" ref="E49:Q49" si="53">E15-E28</f>
        <v>177349935</v>
      </c>
      <c r="F49" s="135">
        <f t="shared" si="53"/>
        <v>177349935</v>
      </c>
      <c r="G49" s="135">
        <f t="shared" si="53"/>
        <v>177497315</v>
      </c>
      <c r="H49" s="135">
        <f t="shared" si="53"/>
        <v>177701160</v>
      </c>
      <c r="I49" s="135">
        <f t="shared" si="53"/>
        <v>177701160</v>
      </c>
      <c r="J49" s="135">
        <f t="shared" si="53"/>
        <v>177701160</v>
      </c>
      <c r="K49" s="135">
        <f t="shared" si="53"/>
        <v>181267501</v>
      </c>
      <c r="L49" s="135">
        <f t="shared" si="53"/>
        <v>182778283</v>
      </c>
      <c r="M49" s="135">
        <f t="shared" si="53"/>
        <v>184180187</v>
      </c>
      <c r="N49" s="135">
        <f t="shared" si="53"/>
        <v>184536999</v>
      </c>
      <c r="O49" s="135">
        <f t="shared" si="53"/>
        <v>184354511</v>
      </c>
      <c r="P49" s="135">
        <f t="shared" si="53"/>
        <v>187907710</v>
      </c>
      <c r="Q49" s="135">
        <f t="shared" si="53"/>
        <v>193630702</v>
      </c>
      <c r="R49" s="135"/>
      <c r="S49" s="156">
        <f t="shared" si="38"/>
        <v>1.0649999999999999</v>
      </c>
    </row>
    <row r="50" spans="1:19">
      <c r="A50" s="133" t="s">
        <v>27</v>
      </c>
      <c r="C50" s="135">
        <f t="shared" si="52"/>
        <v>242842041</v>
      </c>
      <c r="D50" s="145"/>
      <c r="E50" s="135">
        <f t="shared" ref="E50:Q50" si="54">E16-E29</f>
        <v>232152883</v>
      </c>
      <c r="F50" s="135">
        <f t="shared" si="54"/>
        <v>232311756</v>
      </c>
      <c r="G50" s="135">
        <f t="shared" si="54"/>
        <v>233163188</v>
      </c>
      <c r="H50" s="135">
        <f t="shared" si="54"/>
        <v>233582913</v>
      </c>
      <c r="I50" s="135">
        <f t="shared" si="54"/>
        <v>233582913</v>
      </c>
      <c r="J50" s="135">
        <f t="shared" si="54"/>
        <v>233584176</v>
      </c>
      <c r="K50" s="135">
        <f t="shared" si="54"/>
        <v>244421071</v>
      </c>
      <c r="L50" s="135">
        <f t="shared" si="54"/>
        <v>245070739</v>
      </c>
      <c r="M50" s="135">
        <f t="shared" si="54"/>
        <v>245515837</v>
      </c>
      <c r="N50" s="135">
        <f t="shared" si="54"/>
        <v>250856116</v>
      </c>
      <c r="O50" s="135">
        <f t="shared" si="54"/>
        <v>253626572</v>
      </c>
      <c r="P50" s="135">
        <f t="shared" si="54"/>
        <v>256867300</v>
      </c>
      <c r="Q50" s="135">
        <f t="shared" si="54"/>
        <v>262211066</v>
      </c>
      <c r="R50" s="135"/>
      <c r="S50" s="156">
        <f t="shared" si="38"/>
        <v>1.08</v>
      </c>
    </row>
    <row r="51" spans="1:19">
      <c r="A51" s="133" t="s">
        <v>103</v>
      </c>
      <c r="C51" s="135">
        <f t="shared" si="52"/>
        <v>22753986</v>
      </c>
      <c r="D51" s="145"/>
      <c r="E51" s="135">
        <f t="shared" ref="E51:Q51" si="55">E17-E30</f>
        <v>22193107</v>
      </c>
      <c r="F51" s="135">
        <f t="shared" si="55"/>
        <v>22197366</v>
      </c>
      <c r="G51" s="135">
        <f t="shared" si="55"/>
        <v>22236916</v>
      </c>
      <c r="H51" s="135">
        <f t="shared" si="55"/>
        <v>22263000</v>
      </c>
      <c r="I51" s="135">
        <f t="shared" si="55"/>
        <v>22251580</v>
      </c>
      <c r="J51" s="135">
        <f t="shared" si="55"/>
        <v>22244338</v>
      </c>
      <c r="K51" s="135">
        <f t="shared" si="55"/>
        <v>22927719</v>
      </c>
      <c r="L51" s="135">
        <f t="shared" si="55"/>
        <v>22978899</v>
      </c>
      <c r="M51" s="135">
        <f t="shared" si="55"/>
        <v>23190652</v>
      </c>
      <c r="N51" s="135">
        <f t="shared" si="55"/>
        <v>23410095</v>
      </c>
      <c r="O51" s="135">
        <f t="shared" si="55"/>
        <v>23523544</v>
      </c>
      <c r="P51" s="135">
        <f t="shared" si="55"/>
        <v>23045671</v>
      </c>
      <c r="Q51" s="135">
        <f t="shared" si="55"/>
        <v>23338930</v>
      </c>
      <c r="R51" s="135"/>
      <c r="S51" s="156">
        <f t="shared" si="38"/>
        <v>1.026</v>
      </c>
    </row>
    <row r="52" spans="1:19">
      <c r="A52" s="133" t="s">
        <v>215</v>
      </c>
      <c r="C52" s="135">
        <f t="shared" si="52"/>
        <v>8726909</v>
      </c>
      <c r="D52" s="145"/>
      <c r="E52" s="135">
        <f t="shared" ref="E52:Q52" si="56">E18-E31</f>
        <v>8712866</v>
      </c>
      <c r="F52" s="135">
        <f t="shared" si="56"/>
        <v>8724947</v>
      </c>
      <c r="G52" s="135">
        <f t="shared" si="56"/>
        <v>8724947</v>
      </c>
      <c r="H52" s="135">
        <f t="shared" si="56"/>
        <v>8724947</v>
      </c>
      <c r="I52" s="135">
        <f t="shared" si="56"/>
        <v>8724947</v>
      </c>
      <c r="J52" s="135">
        <f t="shared" si="56"/>
        <v>8724947</v>
      </c>
      <c r="K52" s="135">
        <f t="shared" si="56"/>
        <v>8724947</v>
      </c>
      <c r="L52" s="135">
        <f t="shared" si="56"/>
        <v>8724947</v>
      </c>
      <c r="M52" s="135">
        <f t="shared" si="56"/>
        <v>8724947</v>
      </c>
      <c r="N52" s="135">
        <f t="shared" si="56"/>
        <v>8724947</v>
      </c>
      <c r="O52" s="135">
        <f t="shared" si="56"/>
        <v>8724947</v>
      </c>
      <c r="P52" s="135">
        <f t="shared" si="56"/>
        <v>8724947</v>
      </c>
      <c r="Q52" s="135">
        <f t="shared" si="56"/>
        <v>8762536</v>
      </c>
      <c r="R52" s="135"/>
      <c r="S52" s="156">
        <f t="shared" si="38"/>
        <v>1.004</v>
      </c>
    </row>
    <row r="53" spans="1:19">
      <c r="C53" s="136">
        <f>SUM(C48:C52)</f>
        <v>927843238</v>
      </c>
      <c r="D53" s="145"/>
      <c r="E53" s="136">
        <f t="shared" ref="E53" si="57">SUM(E48:E52)</f>
        <v>908723393</v>
      </c>
      <c r="F53" s="136">
        <f t="shared" ref="F53" si="58">SUM(F48:F52)</f>
        <v>908898606</v>
      </c>
      <c r="G53" s="136">
        <f t="shared" ref="G53" si="59">SUM(G48:G52)</f>
        <v>909994559</v>
      </c>
      <c r="H53" s="136">
        <f t="shared" ref="H53" si="60">SUM(H48:H52)</f>
        <v>910851160</v>
      </c>
      <c r="I53" s="136">
        <f t="shared" ref="I53" si="61">SUM(I48:I52)</f>
        <v>910839740</v>
      </c>
      <c r="J53" s="136">
        <f t="shared" ref="J53" si="62">SUM(J48:J52)</f>
        <v>910833761</v>
      </c>
      <c r="K53" s="136">
        <f t="shared" ref="K53" si="63">SUM(K48:K52)</f>
        <v>927520592</v>
      </c>
      <c r="L53" s="136">
        <f t="shared" ref="L53" si="64">SUM(L48:L52)</f>
        <v>929905396</v>
      </c>
      <c r="M53" s="136">
        <f t="shared" ref="M53" si="65">SUM(M48:M52)</f>
        <v>932988914</v>
      </c>
      <c r="N53" s="136">
        <f t="shared" ref="N53" si="66">SUM(N48:N52)</f>
        <v>939771281</v>
      </c>
      <c r="O53" s="136">
        <f t="shared" ref="O53" si="67">SUM(O48:O52)</f>
        <v>942422375</v>
      </c>
      <c r="P53" s="136">
        <f t="shared" ref="P53" si="68">SUM(P48:P52)</f>
        <v>949441826</v>
      </c>
      <c r="Q53" s="136">
        <f t="shared" ref="Q53" si="69">SUM(Q48:Q52)</f>
        <v>979770490</v>
      </c>
      <c r="R53" s="145"/>
      <c r="S53" s="156">
        <f t="shared" si="38"/>
        <v>1.056</v>
      </c>
    </row>
    <row r="54" spans="1:19">
      <c r="A54" s="275" t="s">
        <v>231</v>
      </c>
      <c r="C54" s="135">
        <f t="shared" ref="C54" si="70">ROUND(AVERAGE(E54:Q54),0)</f>
        <v>97091208</v>
      </c>
      <c r="D54" s="145"/>
      <c r="E54" s="135">
        <f t="shared" ref="E54:Q54" si="71">E20-E40</f>
        <v>76243602.969999999</v>
      </c>
      <c r="F54" s="135">
        <f t="shared" si="71"/>
        <v>76338749.909999996</v>
      </c>
      <c r="G54" s="135">
        <f t="shared" si="71"/>
        <v>95389426.640000015</v>
      </c>
      <c r="H54" s="135">
        <f t="shared" si="71"/>
        <v>98574411.620000005</v>
      </c>
      <c r="I54" s="135">
        <f t="shared" si="71"/>
        <v>98102596.069999993</v>
      </c>
      <c r="J54" s="135">
        <f t="shared" si="71"/>
        <v>99928794.739999995</v>
      </c>
      <c r="K54" s="135">
        <f t="shared" si="71"/>
        <v>100350284.48</v>
      </c>
      <c r="L54" s="135">
        <f t="shared" si="71"/>
        <v>100389858.46000001</v>
      </c>
      <c r="M54" s="135">
        <f t="shared" si="71"/>
        <v>101582245.80000001</v>
      </c>
      <c r="N54" s="135">
        <f t="shared" si="71"/>
        <v>103357844.76000001</v>
      </c>
      <c r="O54" s="135">
        <f t="shared" si="71"/>
        <v>103634350.93999995</v>
      </c>
      <c r="P54" s="135">
        <f t="shared" si="71"/>
        <v>103350002.16999999</v>
      </c>
      <c r="Q54" s="135">
        <f t="shared" si="71"/>
        <v>104943531.02</v>
      </c>
      <c r="R54" s="145"/>
      <c r="S54" s="156">
        <f t="shared" si="38"/>
        <v>1.081</v>
      </c>
    </row>
    <row r="55" spans="1:19">
      <c r="A55" s="133" t="s">
        <v>229</v>
      </c>
      <c r="C55" s="136">
        <f>C53+C54</f>
        <v>1024934446</v>
      </c>
      <c r="D55" s="145"/>
      <c r="E55" s="136">
        <f t="shared" ref="E55" si="72">E53+E54</f>
        <v>984966995.97000003</v>
      </c>
      <c r="F55" s="136">
        <f t="shared" ref="F55" si="73">F53+F54</f>
        <v>985237355.90999997</v>
      </c>
      <c r="G55" s="136">
        <f t="shared" ref="G55" si="74">G53+G54</f>
        <v>1005383985.64</v>
      </c>
      <c r="H55" s="136">
        <f t="shared" ref="H55" si="75">H53+H54</f>
        <v>1009425571.62</v>
      </c>
      <c r="I55" s="136">
        <f t="shared" ref="I55" si="76">I53+I54</f>
        <v>1008942336.0699999</v>
      </c>
      <c r="J55" s="136">
        <f t="shared" ref="J55" si="77">J53+J54</f>
        <v>1010762555.74</v>
      </c>
      <c r="K55" s="136">
        <f t="shared" ref="K55" si="78">K53+K54</f>
        <v>1027870876.48</v>
      </c>
      <c r="L55" s="136">
        <f t="shared" ref="L55" si="79">L53+L54</f>
        <v>1030295254.46</v>
      </c>
      <c r="M55" s="136">
        <f t="shared" ref="M55" si="80">M53+M54</f>
        <v>1034571159.8</v>
      </c>
      <c r="N55" s="136">
        <f t="shared" ref="N55" si="81">N53+N54</f>
        <v>1043129125.76</v>
      </c>
      <c r="O55" s="136">
        <f t="shared" ref="O55" si="82">O53+O54</f>
        <v>1046056725.9399999</v>
      </c>
      <c r="P55" s="136">
        <f t="shared" ref="P55" si="83">P53+P54</f>
        <v>1052791828.17</v>
      </c>
      <c r="Q55" s="136">
        <f t="shared" ref="Q55" si="84">Q53+Q54</f>
        <v>1084714021.02</v>
      </c>
      <c r="R55" s="145"/>
      <c r="S55" s="156">
        <f t="shared" si="38"/>
        <v>1.0580000000000001</v>
      </c>
    </row>
    <row r="56" spans="1:19">
      <c r="E56" s="135"/>
      <c r="F56" s="135"/>
      <c r="G56" s="135"/>
      <c r="H56" s="135"/>
      <c r="I56" s="135"/>
      <c r="J56" s="135"/>
      <c r="K56" s="135"/>
      <c r="L56" s="135"/>
      <c r="M56" s="135"/>
      <c r="N56" s="135"/>
      <c r="O56" s="135"/>
      <c r="P56" s="135"/>
      <c r="Q56" s="135"/>
      <c r="R56" s="135"/>
    </row>
    <row r="58" spans="1:19">
      <c r="A58" s="242"/>
    </row>
    <row r="59" spans="1:19">
      <c r="A59" s="275" t="s">
        <v>409</v>
      </c>
    </row>
    <row r="60" spans="1:19">
      <c r="A60" s="275" t="s">
        <v>410</v>
      </c>
    </row>
    <row r="61" spans="1:19">
      <c r="A61" s="275" t="s">
        <v>411</v>
      </c>
    </row>
  </sheetData>
  <printOptions horizontalCentered="1"/>
  <pageMargins left="0.17" right="0.17" top="1" bottom="0.68" header="0.3" footer="0.17"/>
  <pageSetup pageOrder="overThenDown" orientation="landscape" r:id="rId1"/>
  <headerFooter>
    <oddFooter>&amp;C&amp;F - &amp;A
Page &amp;P of &amp;N</oddFooter>
  </headerFooter>
  <rowBreaks count="2" manualBreakCount="2">
    <brk id="23" max="16" man="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Cover Page</vt:lpstr>
      <vt:lpstr>True-Up</vt:lpstr>
      <vt:lpstr>Attachment O</vt:lpstr>
      <vt:lpstr>Notes</vt:lpstr>
      <vt:lpstr>Accounting Changes</vt:lpstr>
      <vt:lpstr>All Generic Att O Filings</vt:lpstr>
      <vt:lpstr>Reconcile FF1 to Plant (1)</vt:lpstr>
      <vt:lpstr>Reconcile FF1 to Comm Plt (1a)</vt:lpstr>
      <vt:lpstr>13 Month Plant (1b)</vt:lpstr>
      <vt:lpstr>Recon FF1 to Acc Res (2)</vt:lpstr>
      <vt:lpstr>Reconcile FF1 to Com Res (2a)</vt:lpstr>
      <vt:lpstr>13 Month Accum Res (2b)</vt:lpstr>
      <vt:lpstr>Adj to RB - Reconcile to F1 (3)</vt:lpstr>
      <vt:lpstr>Avg Adjustments to RB (3a)</vt:lpstr>
      <vt:lpstr>Materials &amp; Supplies (4)</vt:lpstr>
      <vt:lpstr>Prepayments (5)</vt:lpstr>
      <vt:lpstr>Transmission O&amp;M (6)</vt:lpstr>
      <vt:lpstr>A&amp;G (7)</vt:lpstr>
      <vt:lpstr>Reg Com &amp; NonSafety Ad Exp (8)</vt:lpstr>
      <vt:lpstr>Other O&amp;M Expenses (9)</vt:lpstr>
      <vt:lpstr>Production Related Trans (10)</vt:lpstr>
      <vt:lpstr>Acct 456.1 (11)</vt:lpstr>
      <vt:lpstr>Wages &amp; Salary (12)</vt:lpstr>
      <vt:lpstr>Common Plant Allocator (13)</vt:lpstr>
      <vt:lpstr>SIT Calculation (14)</vt:lpstr>
      <vt:lpstr>CWIP 13 Month Balances (15)</vt:lpstr>
      <vt:lpstr>Cap Structure 2013 (16)</vt:lpstr>
      <vt:lpstr>Acct 454 (17)</vt:lpstr>
      <vt:lpstr>12 Coincident Peaks (18)</vt:lpstr>
      <vt:lpstr>'13 Month Accum Res (2b)'!Print_Area</vt:lpstr>
      <vt:lpstr>'13 Month Plant (1b)'!Print_Area</vt:lpstr>
      <vt:lpstr>'A&amp;G (7)'!Print_Area</vt:lpstr>
      <vt:lpstr>'Acct 454 (17)'!Print_Area</vt:lpstr>
      <vt:lpstr>'Acct 456.1 (11)'!Print_Area</vt:lpstr>
      <vt:lpstr>'Adj to RB - Reconcile to F1 (3)'!Print_Area</vt:lpstr>
      <vt:lpstr>'Attachment O'!Print_Area</vt:lpstr>
      <vt:lpstr>'Avg Adjustments to RB (3a)'!Print_Area</vt:lpstr>
      <vt:lpstr>'Cap Structure 2013 (16)'!Print_Area</vt:lpstr>
      <vt:lpstr>'Common Plant Allocator (13)'!Print_Area</vt:lpstr>
      <vt:lpstr>'Cover Page'!Print_Area</vt:lpstr>
      <vt:lpstr>'CWIP 13 Month Balances (15)'!Print_Area</vt:lpstr>
      <vt:lpstr>'Materials &amp; Supplies (4)'!Print_Area</vt:lpstr>
      <vt:lpstr>'Other O&amp;M Expenses (9)'!Print_Area</vt:lpstr>
      <vt:lpstr>'Prepayments (5)'!Print_Area</vt:lpstr>
      <vt:lpstr>'Production Related Trans (10)'!Print_Area</vt:lpstr>
      <vt:lpstr>'Recon FF1 to Acc Res (2)'!Print_Area</vt:lpstr>
      <vt:lpstr>'Reconcile FF1 to Com Res (2a)'!Print_Area</vt:lpstr>
      <vt:lpstr>'Reconcile FF1 to Comm Plt (1a)'!Print_Area</vt:lpstr>
      <vt:lpstr>'Reconcile FF1 to Plant (1)'!Print_Area</vt:lpstr>
      <vt:lpstr>'Reg Com &amp; NonSafety Ad Exp (8)'!Print_Area</vt:lpstr>
      <vt:lpstr>'SIT Calculation (14)'!Print_Area</vt:lpstr>
      <vt:lpstr>'Transmission O&amp;M (6)'!Print_Area</vt:lpstr>
      <vt:lpstr>'Wages &amp; Salary (12)'!Print_Area</vt:lpstr>
      <vt:lpstr>'13 Month Accum Res (2b)'!Print_Titles</vt:lpstr>
      <vt:lpstr>'13 Month Plant (1b)'!Print_Titles</vt:lpstr>
      <vt:lpstr>'All Generic Att O Filings'!Print_Titles</vt:lpstr>
      <vt:lpstr>'Prepayments (5)'!Print_Titles</vt:lpstr>
      <vt:lpstr>'Production Related Trans (10)'!Print_Titles</vt:lpstr>
      <vt:lpstr>Workpaper</vt:lpstr>
    </vt:vector>
  </TitlesOfParts>
  <Company>MDUR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Hahn</dc:creator>
  <cp:lastModifiedBy>Bosch, Stephanie</cp:lastModifiedBy>
  <cp:lastPrinted>2014-05-28T18:51:14Z</cp:lastPrinted>
  <dcterms:created xsi:type="dcterms:W3CDTF">2012-06-25T21:20:46Z</dcterms:created>
  <dcterms:modified xsi:type="dcterms:W3CDTF">2014-05-28T18:51:59Z</dcterms:modified>
</cp:coreProperties>
</file>