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GENERAL\MISO\2018\Projected 2019\MISO File Submissions\Original Files Submitted 9.4.18\"/>
    </mc:Choice>
  </mc:AlternateContent>
  <bookViews>
    <workbookView xWindow="480" yWindow="765" windowWidth="18195" windowHeight="11160" tabRatio="873" xr2:uid="{00000000-000D-0000-FFFF-FFFF00000000}"/>
  </bookViews>
  <sheets>
    <sheet name="Variances &gt; 20%" sheetId="43" r:id="rId1"/>
    <sheet name="Divisor" sheetId="1" r:id="rId2"/>
    <sheet name="Plant in Service" sheetId="4" r:id="rId3"/>
    <sheet name="Accumulated Reserve" sheetId="5" r:id="rId4"/>
    <sheet name="BSSE" sheetId="6" r:id="rId5"/>
    <sheet name="190,282,283 Projected Proration" sheetId="42" r:id="rId6"/>
    <sheet name="Adj to RB 281 &amp; 255" sheetId="26" r:id="rId7"/>
    <sheet name="Materials &amp; Supplies" sheetId="9" r:id="rId8"/>
    <sheet name="Prepayments" sheetId="10" r:id="rId9"/>
    <sheet name="O&amp;M" sheetId="12" r:id="rId10"/>
    <sheet name="Acct 561 Load Dispatching" sheetId="22" r:id="rId11"/>
    <sheet name="Transmission Exp incl in OATT" sheetId="20" r:id="rId12"/>
    <sheet name="561.BA" sheetId="28" r:id="rId13"/>
    <sheet name="O&amp;M Exclusions" sheetId="18" r:id="rId14"/>
    <sheet name="FERC Annual Fees" sheetId="14" r:id="rId15"/>
    <sheet name="Reg Com Exp" sheetId="15" r:id="rId16"/>
    <sheet name="Depreciation Expense" sheetId="19" r:id="rId17"/>
    <sheet name="TOTI" sheetId="16" r:id="rId18"/>
    <sheet name="Wages &amp; Salary" sheetId="17" r:id="rId19"/>
    <sheet name="Production Related Trans" sheetId="27" r:id="rId20"/>
    <sheet name="Capital Structure" sheetId="23" r:id="rId21"/>
    <sheet name="Common Plant Allocator" sheetId="29" r:id="rId22"/>
    <sheet name="Revenue Credits" sheetId="31" r:id="rId23"/>
    <sheet name="MISO Schedule Revenue" sheetId="25" r:id="rId24"/>
    <sheet name="Tax Rates" sheetId="41" r:id="rId25"/>
  </sheets>
  <externalReferences>
    <externalReference r:id="rId26"/>
  </externalReferences>
  <definedNames>
    <definedName name="CUSTAR" localSheetId="5">#REF!</definedName>
    <definedName name="CUSTAR" localSheetId="0">#REF!</definedName>
    <definedName name="CUSTAR">#REF!</definedName>
    <definedName name="CUYAHOGA_FALLS" localSheetId="5">#REF!</definedName>
    <definedName name="CUYAHOGA_FALLS">#REF!</definedName>
    <definedName name="EDGERTON" localSheetId="5">#REF!</definedName>
    <definedName name="EDGERTON">#REF!</definedName>
    <definedName name="Ellwood_City" localSheetId="5">#REF!</definedName>
    <definedName name="Ellwood_City">#REF!</definedName>
    <definedName name="ELMORE" localSheetId="5">#REF!</definedName>
    <definedName name="ELMORE">#REF!</definedName>
    <definedName name="GALION" localSheetId="5">#REF!</definedName>
    <definedName name="GALION">#REF!</definedName>
    <definedName name="GENOA" localSheetId="5">#REF!</definedName>
    <definedName name="GENOA">#REF!</definedName>
    <definedName name="GENOA_NORTH" localSheetId="5">#REF!</definedName>
    <definedName name="GENOA_NORTH">#REF!</definedName>
    <definedName name="GENOA_SOUTH" localSheetId="5">#REF!</definedName>
    <definedName name="GENOA_SOUTH">#REF!</definedName>
    <definedName name="GRAFTON" localSheetId="5">#REF!</definedName>
    <definedName name="GRAFTON">#REF!</definedName>
    <definedName name="Grove_City" localSheetId="5">#REF!</definedName>
    <definedName name="Grove_City">#REF!</definedName>
    <definedName name="HASKINS" localSheetId="5">#REF!</definedName>
    <definedName name="HASKINS">#REF!</definedName>
    <definedName name="hourending" localSheetId="5">#REF!</definedName>
    <definedName name="hourending">#REF!</definedName>
    <definedName name="HUBBARD" localSheetId="5">#REF!</definedName>
    <definedName name="HUBBARD">#REF!</definedName>
    <definedName name="LODI" localSheetId="5">#REF!</definedName>
    <definedName name="LODI">#REF!</definedName>
    <definedName name="LUCAS" localSheetId="5">#REF!</definedName>
    <definedName name="LUCAS">#REF!</definedName>
    <definedName name="MILAN" localSheetId="5">#REF!</definedName>
    <definedName name="MILAN">#REF!</definedName>
    <definedName name="MONROEVILLE" localSheetId="5">#REF!</definedName>
    <definedName name="MONROEVILLE">#REF!</definedName>
    <definedName name="NAPOLEON" localSheetId="5">#REF!</definedName>
    <definedName name="NAPOLEON">#REF!</definedName>
    <definedName name="NEASG" localSheetId="5">#REF!</definedName>
    <definedName name="NEASG">#REF!</definedName>
    <definedName name="New_Wilmington" localSheetId="5">#REF!</definedName>
    <definedName name="New_Wilmington">#REF!</definedName>
    <definedName name="NEWTON_FALLS" localSheetId="5">#REF!</definedName>
    <definedName name="NEWTON_FALLS">#REF!</definedName>
    <definedName name="NILES" localSheetId="5">#REF!</definedName>
    <definedName name="NILES">#REF!</definedName>
    <definedName name="NWASG" localSheetId="5">#REF!</definedName>
    <definedName name="NWASG">#REF!</definedName>
    <definedName name="OAK_HARBOR" localSheetId="5">#REF!</definedName>
    <definedName name="OAK_HARBOR">#REF!</definedName>
    <definedName name="OBERLIN" localSheetId="5">#REF!</definedName>
    <definedName name="OBERLIN">#REF!</definedName>
    <definedName name="PEMBERVILLE" localSheetId="5">#REF!</definedName>
    <definedName name="PEMBERVILLE">#REF!</definedName>
    <definedName name="PIONEER" localSheetId="5">#REF!</definedName>
    <definedName name="PIONEER">#REF!</definedName>
    <definedName name="_xlnm.Print_Area" localSheetId="5">'190,282,283 Projected Proration'!$A:$J</definedName>
    <definedName name="_xlnm.Print_Area" localSheetId="12">'561.BA'!$A$1:$I$20</definedName>
    <definedName name="_xlnm.Print_Area" localSheetId="10">'Acct 561 Load Dispatching'!$A$1:$I$22</definedName>
    <definedName name="_xlnm.Print_Area" localSheetId="3">'Accumulated Reserve'!$A$1:$U$70</definedName>
    <definedName name="_xlnm.Print_Area" localSheetId="6">'Adj to RB 281 &amp; 255'!$A$1:$E$13</definedName>
    <definedName name="_xlnm.Print_Area" localSheetId="4">BSSE!$A$1:$I$47</definedName>
    <definedName name="_xlnm.Print_Area" localSheetId="20">'Capital Structure'!$A:$K</definedName>
    <definedName name="_xlnm.Print_Area" localSheetId="21">'Common Plant Allocator'!$A$1:$E$26</definedName>
    <definedName name="_xlnm.Print_Area" localSheetId="16">'Depreciation Expense'!$A$1:$K$10</definedName>
    <definedName name="_xlnm.Print_Area" localSheetId="1">Divisor!$A$1:$G$24</definedName>
    <definedName name="_xlnm.Print_Area" localSheetId="14">'FERC Annual Fees'!$A$1:$G$27</definedName>
    <definedName name="_xlnm.Print_Area" localSheetId="7">'Materials &amp; Supplies'!$A$1:$K$48</definedName>
    <definedName name="_xlnm.Print_Area" localSheetId="23">'MISO Schedule Revenue'!$A$1:$M$29</definedName>
    <definedName name="_xlnm.Print_Area" localSheetId="9">'O&amp;M'!$A$1:$F$49</definedName>
    <definedName name="_xlnm.Print_Area" localSheetId="13">'O&amp;M Exclusions'!$A$1:$J$18</definedName>
    <definedName name="_xlnm.Print_Area" localSheetId="2">'Plant in Service'!$A:$U</definedName>
    <definedName name="_xlnm.Print_Area" localSheetId="8">Prepayments!$A$1:$I$41</definedName>
    <definedName name="_xlnm.Print_Area" localSheetId="19">'Production Related Trans'!$A$1:$E$69</definedName>
    <definedName name="_xlnm.Print_Area" localSheetId="15">'Reg Com Exp'!$A$1:$O$21</definedName>
    <definedName name="_xlnm.Print_Area" localSheetId="22">'Revenue Credits'!$A$1:$E$32</definedName>
    <definedName name="_xlnm.Print_Area" localSheetId="17">TOTI!$A$1:$K$42</definedName>
    <definedName name="_xlnm.Print_Area" localSheetId="11">'Transmission Exp incl in OATT'!$A$1:$J$16</definedName>
    <definedName name="_xlnm.Print_Area" localSheetId="0">'Variances &gt; 20%'!$A$1:$I$23</definedName>
    <definedName name="_xlnm.Print_Area" localSheetId="18">'Wages &amp; Salary'!$A$1:$I$26</definedName>
    <definedName name="_xlnm.Print_Area">#REF!</definedName>
    <definedName name="_xlnm.Print_Titles" localSheetId="5">'190,282,283 Projected Proration'!$1:$5</definedName>
    <definedName name="_xlnm.Print_Titles" localSheetId="3">'Accumulated Reserve'!$1:$6</definedName>
    <definedName name="_xlnm.Print_Titles" localSheetId="6">'Adj to RB 281 &amp; 255'!$1:$5</definedName>
    <definedName name="_xlnm.Print_Titles" localSheetId="4">BSSE!$1:$7</definedName>
    <definedName name="_xlnm.Print_Titles" localSheetId="7">'Materials &amp; Supplies'!$1:$6</definedName>
    <definedName name="_xlnm.Print_Titles" localSheetId="23">'MISO Schedule Revenue'!$1:$6</definedName>
    <definedName name="_xlnm.Print_Titles" localSheetId="2">'Plant in Service'!$1:$6</definedName>
    <definedName name="_xlnm.Print_Titles" localSheetId="8">Prepayments!$1:$6</definedName>
    <definedName name="_xlnm.Print_Titles" localSheetId="19">'Production Related Trans'!$1:$8</definedName>
    <definedName name="PROSPECT" localSheetId="5">#REF!</definedName>
    <definedName name="PROSPECT" localSheetId="0">#REF!</definedName>
    <definedName name="PROSPECT">#REF!</definedName>
    <definedName name="Reconciliation" localSheetId="3">'[1]Reg Com &amp; NonSafety Ad Exp (8)'!#REF!</definedName>
    <definedName name="Reconciliation" localSheetId="6">'[1]Reg Com &amp; NonSafety Ad Exp (8)'!#REF!</definedName>
    <definedName name="Reconciliation" localSheetId="4">'[1]Reg Com &amp; NonSafety Ad Exp (8)'!#REF!</definedName>
    <definedName name="Reconciliation" localSheetId="16">'[1]Reg Com &amp; NonSafety Ad Exp (8)'!#REF!</definedName>
    <definedName name="Reconciliation" localSheetId="14">'[1]Reg Com &amp; NonSafety Ad Exp (8)'!#REF!</definedName>
    <definedName name="Reconciliation" localSheetId="7">'[1]Reg Com &amp; NonSafety Ad Exp (8)'!#REF!</definedName>
    <definedName name="Reconciliation" localSheetId="8">'[1]Reg Com &amp; NonSafety Ad Exp (8)'!#REF!</definedName>
    <definedName name="Reconciliation" localSheetId="15">'[1]Reg Com &amp; NonSafety Ad Exp (8)'!#REF!</definedName>
    <definedName name="Reconciliation" localSheetId="17">'[1]Reg Com &amp; NonSafety Ad Exp (8)'!#REF!</definedName>
    <definedName name="Reconciliation" localSheetId="11">'[1]Reg Com &amp; NonSafety Ad Exp (8)'!#REF!</definedName>
    <definedName name="Reconciliation" localSheetId="0">'[1]Reg Com &amp; NonSafety Ad Exp (8)'!#REF!</definedName>
    <definedName name="Reconciliation" localSheetId="18">'[1]Reg Com &amp; NonSafety Ad Exp (8)'!#REF!</definedName>
    <definedName name="Reconciliation">'[1]Reg Com &amp; NonSafety Ad Exp (8)'!#REF!</definedName>
    <definedName name="revreq" localSheetId="5">#REF!</definedName>
    <definedName name="revreq" localSheetId="0">#REF!</definedName>
    <definedName name="revreq">#REF!</definedName>
    <definedName name="SEVILLE" localSheetId="5">#REF!</definedName>
    <definedName name="SEVILLE">#REF!</definedName>
    <definedName name="SOUTH_VIENNA" localSheetId="5">#REF!</definedName>
    <definedName name="SOUTH_VIENNA">#REF!</definedName>
    <definedName name="TOTAL_COLUMBIANA" localSheetId="5">#REF!</definedName>
    <definedName name="TOTAL_COLUMBIANA">#REF!</definedName>
    <definedName name="Total_Grove_City" localSheetId="5">#REF!</definedName>
    <definedName name="Total_Grove_City">#REF!</definedName>
    <definedName name="TOTAL_HUDSON" localSheetId="5">#REF!</definedName>
    <definedName name="TOTAL_HUDSON">#REF!</definedName>
    <definedName name="TOTAL_MONTPELIER" localSheetId="5">#REF!</definedName>
    <definedName name="TOTAL_MONTPELIER">#REF!</definedName>
    <definedName name="TOTAL_WOODVILLE" localSheetId="5">#REF!</definedName>
    <definedName name="TOTAL_WOODVILLE">#REF!</definedName>
    <definedName name="WADSWORTH" localSheetId="5">#REF!</definedName>
    <definedName name="WADSWORTH">#REF!</definedName>
    <definedName name="Workpaper">#REF!</definedName>
  </definedNames>
  <calcPr calcId="171027"/>
  <fileRecoveryPr autoRecover="0"/>
</workbook>
</file>

<file path=xl/calcChain.xml><?xml version="1.0" encoding="utf-8"?>
<calcChain xmlns="http://schemas.openxmlformats.org/spreadsheetml/2006/main">
  <c r="G20" i="43" l="1"/>
  <c r="G17" i="43"/>
  <c r="G15" i="43"/>
  <c r="G13" i="43"/>
  <c r="G11" i="43"/>
  <c r="G9" i="43"/>
  <c r="G10" i="1" l="1"/>
  <c r="G11" i="1"/>
  <c r="G12" i="1"/>
  <c r="G13" i="1"/>
  <c r="G14" i="1"/>
  <c r="G15" i="1"/>
  <c r="G16" i="1"/>
  <c r="G17" i="1"/>
  <c r="G18" i="1"/>
  <c r="G19" i="1"/>
  <c r="G20" i="1"/>
  <c r="G9" i="1"/>
  <c r="S20" i="4" l="1"/>
  <c r="S9" i="4"/>
  <c r="R9" i="4"/>
  <c r="T9" i="4" s="1"/>
  <c r="Q11" i="4"/>
  <c r="Q15" i="4"/>
  <c r="Q19" i="4"/>
  <c r="Q10" i="4"/>
  <c r="C34" i="6"/>
  <c r="C47" i="6" s="1"/>
  <c r="Q13" i="4"/>
  <c r="Q14" i="4"/>
  <c r="Q16" i="4"/>
  <c r="Q17" i="4"/>
  <c r="Q18" i="4"/>
  <c r="Q20" i="4"/>
  <c r="Q21" i="4"/>
  <c r="Q12" i="4"/>
  <c r="E12" i="6"/>
  <c r="R11" i="4" s="1"/>
  <c r="G12" i="6"/>
  <c r="S11" i="4" s="1"/>
  <c r="E13" i="6"/>
  <c r="R12" i="4" s="1"/>
  <c r="G13" i="6"/>
  <c r="S12" i="4" s="1"/>
  <c r="E14" i="6"/>
  <c r="R13" i="4" s="1"/>
  <c r="G14" i="6"/>
  <c r="S13" i="4" s="1"/>
  <c r="E15" i="6"/>
  <c r="R14" i="4" s="1"/>
  <c r="G15" i="6"/>
  <c r="S14" i="4" s="1"/>
  <c r="E16" i="6"/>
  <c r="R15" i="4" s="1"/>
  <c r="G16" i="6"/>
  <c r="S15" i="4" s="1"/>
  <c r="E17" i="6"/>
  <c r="R16" i="4" s="1"/>
  <c r="G17" i="6"/>
  <c r="S16" i="4" s="1"/>
  <c r="E18" i="6"/>
  <c r="R17" i="4" s="1"/>
  <c r="G18" i="6"/>
  <c r="S17" i="4" s="1"/>
  <c r="E19" i="6"/>
  <c r="R18" i="4" s="1"/>
  <c r="G19" i="6"/>
  <c r="S18" i="4" s="1"/>
  <c r="E20" i="6"/>
  <c r="R19" i="4" s="1"/>
  <c r="G20" i="6"/>
  <c r="S19" i="4" s="1"/>
  <c r="E21" i="6"/>
  <c r="R20" i="4" s="1"/>
  <c r="G21" i="6"/>
  <c r="E22" i="6"/>
  <c r="R21" i="4" s="1"/>
  <c r="G22" i="6"/>
  <c r="S21" i="4" s="1"/>
  <c r="G11" i="6"/>
  <c r="S10" i="4" s="1"/>
  <c r="E11" i="6"/>
  <c r="R10" i="4" s="1"/>
  <c r="I10" i="6"/>
  <c r="U9" i="4" l="1"/>
  <c r="T20" i="4"/>
  <c r="U20" i="4" s="1"/>
  <c r="T16" i="4"/>
  <c r="U16" i="4" s="1"/>
  <c r="T15" i="4"/>
  <c r="U15" i="4" s="1"/>
  <c r="T11" i="4"/>
  <c r="U11" i="4" s="1"/>
  <c r="T12" i="4"/>
  <c r="U12" i="4" s="1"/>
  <c r="T18" i="4"/>
  <c r="U18" i="4" s="1"/>
  <c r="T14" i="4"/>
  <c r="U14" i="4" s="1"/>
  <c r="T10" i="4"/>
  <c r="U10" i="4" s="1"/>
  <c r="T21" i="4"/>
  <c r="U21" i="4" s="1"/>
  <c r="T17" i="4"/>
  <c r="U17" i="4" s="1"/>
  <c r="T13" i="4"/>
  <c r="U13" i="4" s="1"/>
  <c r="T19" i="4"/>
  <c r="U19" i="4" s="1"/>
  <c r="I11" i="6"/>
  <c r="I12" i="6"/>
  <c r="T24" i="4" l="1"/>
  <c r="T26" i="4" s="1"/>
  <c r="I13" i="6"/>
  <c r="I14" i="6" s="1"/>
  <c r="I15" i="6" s="1"/>
  <c r="I16" i="6" s="1"/>
  <c r="I17" i="6" s="1"/>
  <c r="I18" i="6" s="1"/>
  <c r="I19" i="6" s="1"/>
  <c r="I20" i="6" s="1"/>
  <c r="I21" i="6" s="1"/>
  <c r="I22" i="6" s="1"/>
  <c r="I23" i="6" l="1"/>
  <c r="U23" i="4"/>
  <c r="U21" i="5" l="1"/>
  <c r="U20" i="5"/>
  <c r="U19" i="5"/>
  <c r="U18" i="5"/>
  <c r="U17" i="5"/>
  <c r="U16" i="5"/>
  <c r="U15" i="5"/>
  <c r="U14" i="5"/>
  <c r="U13" i="5"/>
  <c r="U12" i="5"/>
  <c r="U11" i="5"/>
  <c r="U10" i="5"/>
  <c r="U9" i="5"/>
  <c r="O21" i="4" l="1"/>
  <c r="O10" i="4"/>
  <c r="O11" i="4"/>
  <c r="O12" i="4"/>
  <c r="O13" i="4"/>
  <c r="O14" i="4"/>
  <c r="O15" i="4"/>
  <c r="O16" i="4"/>
  <c r="O17" i="4"/>
  <c r="O18" i="4"/>
  <c r="O19" i="4"/>
  <c r="O20" i="4"/>
  <c r="O9" i="4"/>
  <c r="E18" i="22" l="1"/>
  <c r="B86" i="42" l="1"/>
  <c r="N85" i="42"/>
  <c r="P84" i="42"/>
  <c r="J84" i="42"/>
  <c r="N82" i="42"/>
  <c r="J83" i="42"/>
  <c r="L80" i="42"/>
  <c r="H80" i="42"/>
  <c r="C80" i="42"/>
  <c r="O79" i="42"/>
  <c r="M79" i="42"/>
  <c r="O78" i="42"/>
  <c r="M78" i="42"/>
  <c r="D78" i="42"/>
  <c r="O77" i="42"/>
  <c r="M77" i="42"/>
  <c r="D77" i="42"/>
  <c r="O76" i="42"/>
  <c r="M76" i="42"/>
  <c r="O75" i="42"/>
  <c r="M75" i="42"/>
  <c r="O74" i="42"/>
  <c r="M74" i="42"/>
  <c r="O73" i="42"/>
  <c r="M73" i="42"/>
  <c r="O72" i="42"/>
  <c r="M72" i="42"/>
  <c r="O71" i="42"/>
  <c r="M71" i="42"/>
  <c r="O70" i="42"/>
  <c r="M70" i="42"/>
  <c r="O69" i="42"/>
  <c r="M69" i="42"/>
  <c r="E69" i="42"/>
  <c r="E70" i="42" s="1"/>
  <c r="E71" i="42" s="1"/>
  <c r="E72" i="42" s="1"/>
  <c r="E73" i="42" s="1"/>
  <c r="E74" i="42" s="1"/>
  <c r="E75" i="42" s="1"/>
  <c r="E76" i="42" s="1"/>
  <c r="E77" i="42" s="1"/>
  <c r="E78" i="42" s="1"/>
  <c r="E79" i="42" s="1"/>
  <c r="F79" i="42" s="1"/>
  <c r="I79" i="42" s="1"/>
  <c r="O68" i="42"/>
  <c r="O80" i="42" s="1"/>
  <c r="M68" i="42"/>
  <c r="M80" i="42" s="1"/>
  <c r="E68" i="42"/>
  <c r="A63" i="42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2" i="42" s="1"/>
  <c r="A83" i="42" s="1"/>
  <c r="A84" i="42" s="1"/>
  <c r="A85" i="42" s="1"/>
  <c r="A86" i="42" s="1"/>
  <c r="A87" i="42" s="1"/>
  <c r="A88" i="42" s="1"/>
  <c r="A89" i="42" s="1"/>
  <c r="A90" i="42" s="1"/>
  <c r="P60" i="42"/>
  <c r="P58" i="42"/>
  <c r="L54" i="42"/>
  <c r="C54" i="42"/>
  <c r="D52" i="42"/>
  <c r="D51" i="42"/>
  <c r="D50" i="42"/>
  <c r="D49" i="42"/>
  <c r="H45" i="42"/>
  <c r="N45" i="42" s="1"/>
  <c r="M44" i="42"/>
  <c r="H44" i="42"/>
  <c r="N44" i="42" s="1"/>
  <c r="M43" i="42"/>
  <c r="H43" i="42"/>
  <c r="O43" i="42" s="1"/>
  <c r="E43" i="42"/>
  <c r="E44" i="42" s="1"/>
  <c r="E45" i="42" s="1"/>
  <c r="E46" i="42" s="1"/>
  <c r="E47" i="42" s="1"/>
  <c r="E48" i="42" s="1"/>
  <c r="E49" i="42" s="1"/>
  <c r="E50" i="42" s="1"/>
  <c r="E51" i="42" s="1"/>
  <c r="O42" i="42"/>
  <c r="N42" i="42"/>
  <c r="M42" i="42"/>
  <c r="E42" i="42"/>
  <c r="J56" i="42"/>
  <c r="B30" i="42"/>
  <c r="P28" i="42"/>
  <c r="J28" i="42"/>
  <c r="L27" i="42"/>
  <c r="L30" i="42" s="1"/>
  <c r="J27" i="42"/>
  <c r="L24" i="42"/>
  <c r="C24" i="42"/>
  <c r="D22" i="42"/>
  <c r="H14" i="42"/>
  <c r="H15" i="42" s="1"/>
  <c r="M13" i="42"/>
  <c r="H13" i="42"/>
  <c r="E13" i="42"/>
  <c r="E14" i="42" s="1"/>
  <c r="E15" i="42" s="1"/>
  <c r="E16" i="42" s="1"/>
  <c r="E17" i="42" s="1"/>
  <c r="E18" i="42" s="1"/>
  <c r="E19" i="42" s="1"/>
  <c r="E20" i="42" s="1"/>
  <c r="E21" i="42" s="1"/>
  <c r="E22" i="42" s="1"/>
  <c r="E23" i="42" s="1"/>
  <c r="F23" i="42" s="1"/>
  <c r="O12" i="42"/>
  <c r="M12" i="42"/>
  <c r="E12" i="42"/>
  <c r="A9" i="42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6" i="42" s="1"/>
  <c r="A27" i="42" s="1"/>
  <c r="A28" i="42" s="1"/>
  <c r="A29" i="42" s="1"/>
  <c r="A30" i="42" s="1"/>
  <c r="A31" i="42" s="1"/>
  <c r="A32" i="42" s="1"/>
  <c r="A33" i="42" s="1"/>
  <c r="A34" i="42" s="1"/>
  <c r="A36" i="42" s="1"/>
  <c r="A37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6" i="42" s="1"/>
  <c r="A57" i="42" s="1"/>
  <c r="A58" i="42" s="1"/>
  <c r="A59" i="42" s="1"/>
  <c r="A60" i="42" s="1"/>
  <c r="A7" i="42"/>
  <c r="H16" i="42" l="1"/>
  <c r="M15" i="42"/>
  <c r="O15" i="42"/>
  <c r="E52" i="42"/>
  <c r="F51" i="42"/>
  <c r="O14" i="42"/>
  <c r="F49" i="42"/>
  <c r="D48" i="42"/>
  <c r="F78" i="42"/>
  <c r="I78" i="42" s="1"/>
  <c r="F22" i="42"/>
  <c r="D21" i="42"/>
  <c r="O13" i="42"/>
  <c r="P42" i="42"/>
  <c r="P43" i="42" s="1"/>
  <c r="P44" i="42" s="1"/>
  <c r="P45" i="42" s="1"/>
  <c r="F50" i="42"/>
  <c r="H46" i="42"/>
  <c r="M45" i="42"/>
  <c r="M14" i="42"/>
  <c r="O44" i="42"/>
  <c r="O45" i="42"/>
  <c r="N79" i="42"/>
  <c r="F77" i="42"/>
  <c r="I77" i="42" s="1"/>
  <c r="N77" i="42" s="1"/>
  <c r="D76" i="42"/>
  <c r="N43" i="42"/>
  <c r="N78" i="42" l="1"/>
  <c r="O16" i="42"/>
  <c r="H17" i="42"/>
  <c r="M16" i="42"/>
  <c r="F76" i="42"/>
  <c r="I76" i="42" s="1"/>
  <c r="D75" i="42"/>
  <c r="N46" i="42"/>
  <c r="H47" i="42"/>
  <c r="M46" i="42"/>
  <c r="O46" i="42"/>
  <c r="D20" i="42"/>
  <c r="F21" i="42"/>
  <c r="D47" i="42"/>
  <c r="F48" i="42"/>
  <c r="F52" i="42"/>
  <c r="E53" i="42"/>
  <c r="F53" i="42" s="1"/>
  <c r="F75" i="42" l="1"/>
  <c r="I75" i="42" s="1"/>
  <c r="D74" i="42"/>
  <c r="F47" i="42"/>
  <c r="D46" i="42"/>
  <c r="N76" i="42"/>
  <c r="P46" i="42"/>
  <c r="P47" i="42" s="1"/>
  <c r="D19" i="42"/>
  <c r="F20" i="42"/>
  <c r="O47" i="42"/>
  <c r="I47" i="42"/>
  <c r="N47" i="42"/>
  <c r="H48" i="42"/>
  <c r="M47" i="42"/>
  <c r="H18" i="42"/>
  <c r="O17" i="42"/>
  <c r="M17" i="42"/>
  <c r="F74" i="42" l="1"/>
  <c r="I74" i="42" s="1"/>
  <c r="D73" i="42"/>
  <c r="P48" i="42"/>
  <c r="O48" i="42"/>
  <c r="I48" i="42"/>
  <c r="N48" i="42"/>
  <c r="H49" i="42"/>
  <c r="M48" i="42"/>
  <c r="N75" i="42"/>
  <c r="H19" i="42"/>
  <c r="M18" i="42"/>
  <c r="O18" i="42"/>
  <c r="F19" i="42"/>
  <c r="D18" i="42"/>
  <c r="F46" i="42"/>
  <c r="I46" i="42" s="1"/>
  <c r="D45" i="42"/>
  <c r="F73" i="42" l="1"/>
  <c r="I73" i="42" s="1"/>
  <c r="D72" i="42"/>
  <c r="F18" i="42"/>
  <c r="I18" i="42" s="1"/>
  <c r="D17" i="42"/>
  <c r="H50" i="42"/>
  <c r="M49" i="42"/>
  <c r="I49" i="42"/>
  <c r="O49" i="42"/>
  <c r="N49" i="42"/>
  <c r="N74" i="42"/>
  <c r="P49" i="42"/>
  <c r="F45" i="42"/>
  <c r="I45" i="42" s="1"/>
  <c r="D44" i="42"/>
  <c r="H20" i="42"/>
  <c r="M19" i="42"/>
  <c r="N19" i="42" s="1"/>
  <c r="O19" i="42"/>
  <c r="I19" i="42"/>
  <c r="O20" i="42" l="1"/>
  <c r="I20" i="42"/>
  <c r="M20" i="42"/>
  <c r="N20" i="42" s="1"/>
  <c r="H21" i="42"/>
  <c r="N50" i="42"/>
  <c r="P50" i="42" s="1"/>
  <c r="H51" i="42"/>
  <c r="M50" i="42"/>
  <c r="O50" i="42"/>
  <c r="I50" i="42"/>
  <c r="D71" i="42"/>
  <c r="F72" i="42"/>
  <c r="I72" i="42" s="1"/>
  <c r="D16" i="42"/>
  <c r="F17" i="42"/>
  <c r="I17" i="42" s="1"/>
  <c r="N73" i="42"/>
  <c r="D43" i="42"/>
  <c r="F44" i="42"/>
  <c r="I44" i="42" s="1"/>
  <c r="N18" i="42"/>
  <c r="N17" i="42" l="1"/>
  <c r="O51" i="42"/>
  <c r="I51" i="42"/>
  <c r="N51" i="42"/>
  <c r="P51" i="42" s="1"/>
  <c r="H52" i="42"/>
  <c r="M51" i="42"/>
  <c r="D15" i="42"/>
  <c r="F16" i="42"/>
  <c r="I16" i="42" s="1"/>
  <c r="D42" i="42"/>
  <c r="F42" i="42" s="1"/>
  <c r="I42" i="42" s="1"/>
  <c r="F43" i="42"/>
  <c r="I43" i="42" s="1"/>
  <c r="F71" i="42"/>
  <c r="I71" i="42" s="1"/>
  <c r="D70" i="42"/>
  <c r="N72" i="42"/>
  <c r="O21" i="42"/>
  <c r="I21" i="42"/>
  <c r="N21" i="42"/>
  <c r="H22" i="42"/>
  <c r="M21" i="42"/>
  <c r="N16" i="42" l="1"/>
  <c r="H53" i="42"/>
  <c r="O52" i="42"/>
  <c r="I52" i="42"/>
  <c r="N52" i="42"/>
  <c r="P52" i="42" s="1"/>
  <c r="M52" i="42"/>
  <c r="N71" i="42"/>
  <c r="J43" i="42"/>
  <c r="J44" i="42" s="1"/>
  <c r="J45" i="42" s="1"/>
  <c r="J46" i="42" s="1"/>
  <c r="J47" i="42" s="1"/>
  <c r="J48" i="42" s="1"/>
  <c r="J49" i="42" s="1"/>
  <c r="J50" i="42" s="1"/>
  <c r="J51" i="42" s="1"/>
  <c r="F15" i="42"/>
  <c r="I15" i="42" s="1"/>
  <c r="D14" i="42"/>
  <c r="M22" i="42"/>
  <c r="N22" i="42" s="1"/>
  <c r="H23" i="42"/>
  <c r="I22" i="42"/>
  <c r="O22" i="42"/>
  <c r="D69" i="42"/>
  <c r="F70" i="42"/>
  <c r="I70" i="42" s="1"/>
  <c r="J42" i="42"/>
  <c r="H54" i="42"/>
  <c r="N53" i="42" l="1"/>
  <c r="N54" i="42" s="1"/>
  <c r="M53" i="42"/>
  <c r="M54" i="42" s="1"/>
  <c r="I53" i="42"/>
  <c r="O53" i="42"/>
  <c r="O54" i="42" s="1"/>
  <c r="F69" i="42"/>
  <c r="I69" i="42" s="1"/>
  <c r="D68" i="42"/>
  <c r="F68" i="42" s="1"/>
  <c r="I68" i="42" s="1"/>
  <c r="O23" i="42"/>
  <c r="O24" i="42" s="1"/>
  <c r="I23" i="42"/>
  <c r="M23" i="42"/>
  <c r="M24" i="42" s="1"/>
  <c r="H24" i="42"/>
  <c r="F14" i="42"/>
  <c r="I14" i="42" s="1"/>
  <c r="D13" i="42"/>
  <c r="J52" i="42"/>
  <c r="N70" i="42"/>
  <c r="N15" i="42"/>
  <c r="F13" i="42" l="1"/>
  <c r="I13" i="42" s="1"/>
  <c r="D12" i="42"/>
  <c r="F12" i="42" s="1"/>
  <c r="I12" i="42" s="1"/>
  <c r="I80" i="42"/>
  <c r="J68" i="42"/>
  <c r="J69" i="42" s="1"/>
  <c r="J70" i="42" s="1"/>
  <c r="J71" i="42" s="1"/>
  <c r="J72" i="42" s="1"/>
  <c r="J73" i="42" s="1"/>
  <c r="J74" i="42" s="1"/>
  <c r="J75" i="42" s="1"/>
  <c r="J76" i="42" s="1"/>
  <c r="J77" i="42" s="1"/>
  <c r="J78" i="42" s="1"/>
  <c r="J79" i="42" s="1"/>
  <c r="J87" i="42" s="1"/>
  <c r="N68" i="42"/>
  <c r="J53" i="42"/>
  <c r="J57" i="42" s="1"/>
  <c r="J58" i="42" s="1"/>
  <c r="J60" i="42" s="1"/>
  <c r="I54" i="42"/>
  <c r="N14" i="42"/>
  <c r="N23" i="42"/>
  <c r="N69" i="42"/>
  <c r="P53" i="42"/>
  <c r="J86" i="42" l="1"/>
  <c r="J88" i="42" s="1"/>
  <c r="J90" i="42" s="1"/>
  <c r="J12" i="42"/>
  <c r="I24" i="42"/>
  <c r="N12" i="42"/>
  <c r="N80" i="42"/>
  <c r="P68" i="42"/>
  <c r="P69" i="42" s="1"/>
  <c r="P70" i="42" s="1"/>
  <c r="P71" i="42" s="1"/>
  <c r="P72" i="42" s="1"/>
  <c r="P73" i="42" s="1"/>
  <c r="P74" i="42" s="1"/>
  <c r="P75" i="42" s="1"/>
  <c r="P76" i="42" s="1"/>
  <c r="P77" i="42" s="1"/>
  <c r="P78" i="42" s="1"/>
  <c r="P79" i="42" s="1"/>
  <c r="P87" i="42" s="1"/>
  <c r="J13" i="42"/>
  <c r="J14" i="42" s="1"/>
  <c r="J15" i="42" s="1"/>
  <c r="J16" i="42" s="1"/>
  <c r="J17" i="42" s="1"/>
  <c r="J18" i="42" s="1"/>
  <c r="J19" i="42" s="1"/>
  <c r="J20" i="42" s="1"/>
  <c r="J21" i="42" s="1"/>
  <c r="J22" i="42" s="1"/>
  <c r="J23" i="42" s="1"/>
  <c r="J31" i="42" s="1"/>
  <c r="N13" i="42"/>
  <c r="P86" i="42" l="1"/>
  <c r="P88" i="42" s="1"/>
  <c r="P90" i="42" s="1"/>
  <c r="J30" i="42"/>
  <c r="J32" i="42" s="1"/>
  <c r="J34" i="42" s="1"/>
  <c r="N24" i="42"/>
  <c r="P12" i="42"/>
  <c r="P13" i="42" s="1"/>
  <c r="P14" i="42" s="1"/>
  <c r="P15" i="42" s="1"/>
  <c r="P16" i="42" s="1"/>
  <c r="P17" i="42" s="1"/>
  <c r="P18" i="42" s="1"/>
  <c r="P19" i="42" s="1"/>
  <c r="P20" i="42" s="1"/>
  <c r="P21" i="42" s="1"/>
  <c r="P22" i="42" s="1"/>
  <c r="P23" i="42" s="1"/>
  <c r="P31" i="42" s="1"/>
  <c r="P30" i="42" l="1"/>
  <c r="P32" i="42"/>
  <c r="P34" i="42" s="1"/>
  <c r="C27" i="31" l="1"/>
  <c r="D14" i="41" l="1"/>
  <c r="D15" i="41"/>
  <c r="D16" i="41"/>
  <c r="D17" i="41" s="1"/>
  <c r="H29" i="41" s="1"/>
  <c r="C17" i="41"/>
  <c r="G58" i="5" l="1"/>
  <c r="M58" i="5"/>
  <c r="K41" i="4" l="1"/>
  <c r="I41" i="4"/>
  <c r="M41" i="4" s="1"/>
  <c r="E41" i="4"/>
  <c r="C41" i="4"/>
  <c r="D47" i="12" l="1"/>
  <c r="F47" i="12" l="1"/>
  <c r="F49" i="12" l="1"/>
  <c r="K21" i="25" l="1"/>
  <c r="E14" i="31" s="1"/>
  <c r="I21" i="25"/>
  <c r="E13" i="31" s="1"/>
  <c r="G21" i="25"/>
  <c r="E12" i="31" s="1"/>
  <c r="E21" i="25"/>
  <c r="E14" i="22" l="1"/>
  <c r="G11" i="22" s="1"/>
  <c r="E19" i="22"/>
  <c r="E21" i="22" s="1"/>
  <c r="I11" i="22" l="1"/>
  <c r="G12" i="22"/>
  <c r="I12" i="22" s="1"/>
  <c r="I17" i="28"/>
  <c r="G13" i="22"/>
  <c r="I13" i="22" s="1"/>
  <c r="G10" i="22"/>
  <c r="I10" i="22"/>
  <c r="F30" i="12" l="1"/>
  <c r="F32" i="12" s="1"/>
  <c r="F19" i="12" l="1"/>
  <c r="E13" i="15" l="1"/>
  <c r="C12" i="26" l="1"/>
  <c r="M21" i="25" l="1"/>
  <c r="E15" i="31" l="1"/>
  <c r="E23" i="31" s="1"/>
  <c r="C21" i="25"/>
  <c r="C65" i="27" l="1"/>
  <c r="G10" i="14" l="1"/>
  <c r="E16" i="14" l="1"/>
  <c r="E21" i="1" l="1"/>
  <c r="G21" i="1" l="1"/>
  <c r="E25" i="31"/>
  <c r="E27" i="31"/>
  <c r="C25" i="31"/>
  <c r="J18" i="18"/>
  <c r="E12" i="26"/>
  <c r="M59" i="5"/>
  <c r="M60" i="5"/>
  <c r="M61" i="5"/>
  <c r="M62" i="5"/>
  <c r="M63" i="5"/>
  <c r="M64" i="5"/>
  <c r="M65" i="5"/>
  <c r="M66" i="5"/>
  <c r="M67" i="5"/>
  <c r="M68" i="5"/>
  <c r="M69" i="5"/>
  <c r="M70" i="5"/>
  <c r="G59" i="5"/>
  <c r="G60" i="5"/>
  <c r="G61" i="5"/>
  <c r="G62" i="5"/>
  <c r="G63" i="5"/>
  <c r="G64" i="5"/>
  <c r="G65" i="5"/>
  <c r="G66" i="5"/>
  <c r="G67" i="5"/>
  <c r="G68" i="5"/>
  <c r="G69" i="5"/>
  <c r="G70" i="5"/>
  <c r="M41" i="5"/>
  <c r="M42" i="5"/>
  <c r="M43" i="5"/>
  <c r="M44" i="5"/>
  <c r="M45" i="5"/>
  <c r="M46" i="5"/>
  <c r="M47" i="5"/>
  <c r="M48" i="5"/>
  <c r="M49" i="5"/>
  <c r="M50" i="5"/>
  <c r="M51" i="5"/>
  <c r="M52" i="5"/>
  <c r="M40" i="5"/>
  <c r="G41" i="5"/>
  <c r="G42" i="5"/>
  <c r="G43" i="5"/>
  <c r="G44" i="5"/>
  <c r="G45" i="5"/>
  <c r="G46" i="5"/>
  <c r="G47" i="5"/>
  <c r="G48" i="5"/>
  <c r="G49" i="5"/>
  <c r="G50" i="5"/>
  <c r="G51" i="5"/>
  <c r="G52" i="5"/>
  <c r="G40" i="5"/>
  <c r="M47" i="4"/>
  <c r="M48" i="4"/>
  <c r="M49" i="4"/>
  <c r="M50" i="4"/>
  <c r="M51" i="4"/>
  <c r="M52" i="4"/>
  <c r="M53" i="4"/>
  <c r="M54" i="4"/>
  <c r="M55" i="4"/>
  <c r="M56" i="4"/>
  <c r="M57" i="4"/>
  <c r="M58" i="4"/>
  <c r="M46" i="4"/>
  <c r="G47" i="4"/>
  <c r="G48" i="4"/>
  <c r="G49" i="4"/>
  <c r="G50" i="4"/>
  <c r="G51" i="4"/>
  <c r="G52" i="4"/>
  <c r="G53" i="4"/>
  <c r="G54" i="4"/>
  <c r="G55" i="4"/>
  <c r="G56" i="4"/>
  <c r="G57" i="4"/>
  <c r="G58" i="4"/>
  <c r="G46" i="4"/>
  <c r="M29" i="4"/>
  <c r="M30" i="4"/>
  <c r="M31" i="4"/>
  <c r="M32" i="4"/>
  <c r="M33" i="4"/>
  <c r="M34" i="4"/>
  <c r="M35" i="4"/>
  <c r="M36" i="4"/>
  <c r="M37" i="4"/>
  <c r="M38" i="4"/>
  <c r="M39" i="4"/>
  <c r="M40" i="4"/>
  <c r="M28" i="4"/>
  <c r="G29" i="4"/>
  <c r="G30" i="4"/>
  <c r="G31" i="4"/>
  <c r="G32" i="4"/>
  <c r="G33" i="4"/>
  <c r="G34" i="4"/>
  <c r="G35" i="4"/>
  <c r="G36" i="4"/>
  <c r="G37" i="4"/>
  <c r="G38" i="4"/>
  <c r="G39" i="4"/>
  <c r="G40" i="4"/>
  <c r="G28" i="4"/>
  <c r="G14" i="14"/>
  <c r="E29" i="23"/>
  <c r="E28" i="23"/>
  <c r="C59" i="27"/>
  <c r="G19" i="15"/>
  <c r="E19" i="15" s="1"/>
  <c r="E10" i="10"/>
  <c r="E11" i="10" s="1"/>
  <c r="C10" i="10"/>
  <c r="C11" i="10" s="1"/>
  <c r="C12" i="10" s="1"/>
  <c r="C13" i="10" s="1"/>
  <c r="A10" i="5"/>
  <c r="A11" i="5"/>
  <c r="A12" i="5"/>
  <c r="A13" i="5"/>
  <c r="O13" i="5" s="1"/>
  <c r="A14" i="5"/>
  <c r="A15" i="5"/>
  <c r="A16" i="5"/>
  <c r="A17" i="5"/>
  <c r="A48" i="5" s="1"/>
  <c r="A18" i="5"/>
  <c r="A19" i="5"/>
  <c r="A20" i="5"/>
  <c r="A21" i="5"/>
  <c r="A9" i="5"/>
  <c r="I25" i="16"/>
  <c r="M28" i="5"/>
  <c r="A40" i="4"/>
  <c r="A58" i="4" s="1"/>
  <c r="A39" i="4"/>
  <c r="A57" i="4" s="1"/>
  <c r="A38" i="4"/>
  <c r="A56" i="4" s="1"/>
  <c r="A37" i="4"/>
  <c r="A55" i="4"/>
  <c r="A36" i="4"/>
  <c r="A54" i="4" s="1"/>
  <c r="A35" i="4"/>
  <c r="A53" i="4" s="1"/>
  <c r="A34" i="4"/>
  <c r="A52" i="4" s="1"/>
  <c r="A33" i="4"/>
  <c r="A51" i="4" s="1"/>
  <c r="A32" i="4"/>
  <c r="A50" i="4" s="1"/>
  <c r="A31" i="4"/>
  <c r="A49" i="4"/>
  <c r="A30" i="4"/>
  <c r="A48" i="4" s="1"/>
  <c r="A29" i="4"/>
  <c r="A47" i="4" s="1"/>
  <c r="A28" i="4"/>
  <c r="A46" i="4" s="1"/>
  <c r="K40" i="23"/>
  <c r="I21" i="23" s="1"/>
  <c r="K39" i="23"/>
  <c r="I20" i="23" s="1"/>
  <c r="K38" i="23"/>
  <c r="I19" i="23" s="1"/>
  <c r="K37" i="23"/>
  <c r="I18" i="23" s="1"/>
  <c r="K36" i="23"/>
  <c r="I17" i="23" s="1"/>
  <c r="K35" i="23"/>
  <c r="I16" i="23" s="1"/>
  <c r="K34" i="23"/>
  <c r="I15" i="23" s="1"/>
  <c r="K33" i="23"/>
  <c r="I14" i="23" s="1"/>
  <c r="K32" i="23"/>
  <c r="I13" i="23" s="1"/>
  <c r="K31" i="23"/>
  <c r="I12" i="23" s="1"/>
  <c r="K30" i="23"/>
  <c r="I11" i="23" s="1"/>
  <c r="K29" i="23"/>
  <c r="I10" i="23" s="1"/>
  <c r="K28" i="23"/>
  <c r="I9" i="23" s="1"/>
  <c r="E19" i="29"/>
  <c r="E22" i="16"/>
  <c r="G20" i="16" s="1"/>
  <c r="I20" i="16" s="1"/>
  <c r="E10" i="16" s="1"/>
  <c r="G13" i="28"/>
  <c r="C25" i="27"/>
  <c r="C30" i="27"/>
  <c r="C36" i="27"/>
  <c r="C41" i="27"/>
  <c r="C47" i="27"/>
  <c r="C54" i="27"/>
  <c r="E23" i="14"/>
  <c r="G12" i="14" s="1"/>
  <c r="E25" i="17"/>
  <c r="G24" i="17" s="1"/>
  <c r="E34" i="16"/>
  <c r="G24" i="23"/>
  <c r="E24" i="23"/>
  <c r="G9" i="10"/>
  <c r="C29" i="10"/>
  <c r="I29" i="10" s="1"/>
  <c r="C30" i="10"/>
  <c r="I30" i="10" s="1"/>
  <c r="C31" i="10"/>
  <c r="I31" i="10" s="1"/>
  <c r="C32" i="10"/>
  <c r="C33" i="10"/>
  <c r="I33" i="10" s="1"/>
  <c r="C34" i="10"/>
  <c r="I34" i="10" s="1"/>
  <c r="C35" i="10"/>
  <c r="I35" i="10" s="1"/>
  <c r="C36" i="10"/>
  <c r="C37" i="10"/>
  <c r="I37" i="10" s="1"/>
  <c r="C38" i="10"/>
  <c r="I38" i="10" s="1"/>
  <c r="C39" i="10"/>
  <c r="I39" i="10" s="1"/>
  <c r="C40" i="10"/>
  <c r="I40" i="10" s="1"/>
  <c r="C28" i="10"/>
  <c r="I28" i="10" s="1"/>
  <c r="I36" i="10"/>
  <c r="I32" i="10"/>
  <c r="K32" i="9"/>
  <c r="K33" i="9"/>
  <c r="K34" i="9"/>
  <c r="K35" i="9"/>
  <c r="K36" i="9"/>
  <c r="K37" i="9"/>
  <c r="K38" i="9"/>
  <c r="K39" i="9"/>
  <c r="K40" i="9"/>
  <c r="K41" i="9"/>
  <c r="K42" i="9"/>
  <c r="K43" i="9"/>
  <c r="K31" i="9"/>
  <c r="A4" i="23"/>
  <c r="M27" i="5"/>
  <c r="M26" i="5"/>
  <c r="M25" i="5"/>
  <c r="A4" i="22"/>
  <c r="A4" i="28" s="1"/>
  <c r="E44" i="9"/>
  <c r="C44" i="9"/>
  <c r="E22" i="4"/>
  <c r="E22" i="5"/>
  <c r="E33" i="5" s="1"/>
  <c r="G22" i="5"/>
  <c r="G33" i="5" s="1"/>
  <c r="G22" i="4"/>
  <c r="C21" i="1"/>
  <c r="C67" i="27" l="1"/>
  <c r="G41" i="4"/>
  <c r="A44" i="5"/>
  <c r="A62" i="5" s="1"/>
  <c r="A66" i="5"/>
  <c r="A52" i="5"/>
  <c r="O21" i="5"/>
  <c r="O14" i="5"/>
  <c r="A41" i="5"/>
  <c r="O10" i="5"/>
  <c r="A51" i="5"/>
  <c r="O20" i="5"/>
  <c r="O17" i="5"/>
  <c r="O19" i="5"/>
  <c r="A47" i="5"/>
  <c r="O16" i="5"/>
  <c r="O12" i="5"/>
  <c r="O9" i="5"/>
  <c r="A49" i="5"/>
  <c r="O18" i="5"/>
  <c r="A46" i="5"/>
  <c r="O15" i="5"/>
  <c r="O11" i="5"/>
  <c r="M12" i="4"/>
  <c r="M9" i="4"/>
  <c r="M11" i="5"/>
  <c r="M21" i="5"/>
  <c r="M17" i="5"/>
  <c r="M13" i="5"/>
  <c r="A42" i="5"/>
  <c r="M16" i="5"/>
  <c r="M18" i="5"/>
  <c r="M14" i="5"/>
  <c r="M10" i="5"/>
  <c r="M9" i="5"/>
  <c r="M12" i="5"/>
  <c r="M20" i="5"/>
  <c r="M14" i="4"/>
  <c r="M21" i="4"/>
  <c r="M17" i="4"/>
  <c r="M13" i="4"/>
  <c r="M10" i="4"/>
  <c r="M16" i="4"/>
  <c r="E14" i="29"/>
  <c r="E21" i="29" s="1"/>
  <c r="G21" i="16"/>
  <c r="I21" i="16" s="1"/>
  <c r="E11" i="16" s="1"/>
  <c r="A40" i="5"/>
  <c r="A4" i="25"/>
  <c r="A4" i="29" s="1"/>
  <c r="A4" i="31" s="1"/>
  <c r="G14" i="22"/>
  <c r="M19" i="5"/>
  <c r="M15" i="5"/>
  <c r="M18" i="4"/>
  <c r="M20" i="4"/>
  <c r="M19" i="4"/>
  <c r="M15" i="4"/>
  <c r="M11" i="4"/>
  <c r="I22" i="5"/>
  <c r="I33" i="5" s="1"/>
  <c r="C22" i="5"/>
  <c r="C33" i="5" s="1"/>
  <c r="C35" i="5" s="1"/>
  <c r="G35" i="5"/>
  <c r="G34" i="5"/>
  <c r="E34" i="5"/>
  <c r="E35" i="5"/>
  <c r="I22" i="4"/>
  <c r="G21" i="15"/>
  <c r="E21" i="15"/>
  <c r="G22" i="17"/>
  <c r="I22" i="17" s="1"/>
  <c r="I24" i="17"/>
  <c r="E12" i="10"/>
  <c r="G11" i="10"/>
  <c r="G10" i="10"/>
  <c r="C14" i="10"/>
  <c r="C23" i="23"/>
  <c r="I24" i="23"/>
  <c r="G16" i="14"/>
  <c r="G23" i="17"/>
  <c r="I23" i="17" s="1"/>
  <c r="G21" i="17"/>
  <c r="E37" i="16"/>
  <c r="E38" i="16"/>
  <c r="I41" i="10"/>
  <c r="G44" i="9"/>
  <c r="K44" i="9"/>
  <c r="G8" i="9" s="1"/>
  <c r="G9" i="9" s="1"/>
  <c r="C22" i="9" s="1"/>
  <c r="A50" i="5"/>
  <c r="A43" i="5"/>
  <c r="C22" i="4"/>
  <c r="A45" i="5"/>
  <c r="G22" i="16" l="1"/>
  <c r="A63" i="5"/>
  <c r="A61" i="5"/>
  <c r="A67" i="5"/>
  <c r="A69" i="5"/>
  <c r="A59" i="5"/>
  <c r="A70" i="5"/>
  <c r="A68" i="5"/>
  <c r="A58" i="5"/>
  <c r="A60" i="5"/>
  <c r="A64" i="5"/>
  <c r="A65" i="5"/>
  <c r="K22" i="5"/>
  <c r="K33" i="5" s="1"/>
  <c r="K34" i="5" s="1"/>
  <c r="C34" i="5"/>
  <c r="K37" i="16"/>
  <c r="G26" i="16"/>
  <c r="G27" i="16"/>
  <c r="I27" i="16" s="1"/>
  <c r="E15" i="16" s="1"/>
  <c r="K38" i="16"/>
  <c r="I14" i="22"/>
  <c r="I18" i="28" s="1"/>
  <c r="I19" i="28" s="1"/>
  <c r="I11" i="28" s="1"/>
  <c r="J12" i="20"/>
  <c r="J14" i="20"/>
  <c r="J12" i="18"/>
  <c r="J14" i="18"/>
  <c r="K22" i="4"/>
  <c r="M22" i="5"/>
  <c r="M33" i="5" s="1"/>
  <c r="M35" i="5" s="1"/>
  <c r="I35" i="5"/>
  <c r="I34" i="5"/>
  <c r="E13" i="10"/>
  <c r="G12" i="10"/>
  <c r="I12" i="10" s="1"/>
  <c r="C15" i="10"/>
  <c r="E20" i="31"/>
  <c r="I21" i="17"/>
  <c r="G25" i="17"/>
  <c r="E39" i="16"/>
  <c r="I11" i="10"/>
  <c r="I10" i="10"/>
  <c r="I9" i="10"/>
  <c r="E22" i="9"/>
  <c r="C15" i="9"/>
  <c r="E15" i="9" s="1"/>
  <c r="C24" i="9"/>
  <c r="E24" i="9" s="1"/>
  <c r="C14" i="9"/>
  <c r="E14" i="9" s="1"/>
  <c r="C25" i="9"/>
  <c r="E25" i="9" s="1"/>
  <c r="C16" i="9"/>
  <c r="E16" i="9" s="1"/>
  <c r="C20" i="9"/>
  <c r="E20" i="9" s="1"/>
  <c r="C23" i="9"/>
  <c r="E23" i="9" s="1"/>
  <c r="C17" i="9"/>
  <c r="E17" i="9" s="1"/>
  <c r="C21" i="9"/>
  <c r="E21" i="9" s="1"/>
  <c r="C19" i="9"/>
  <c r="E19" i="9" s="1"/>
  <c r="C13" i="9"/>
  <c r="E13" i="9" s="1"/>
  <c r="C18" i="9"/>
  <c r="E18" i="9" s="1"/>
  <c r="K35" i="5" l="1"/>
  <c r="M22" i="4"/>
  <c r="I12" i="28"/>
  <c r="I10" i="28"/>
  <c r="I9" i="28"/>
  <c r="J15" i="18"/>
  <c r="J15" i="20"/>
  <c r="M34" i="5"/>
  <c r="E14" i="10"/>
  <c r="G13" i="10"/>
  <c r="I13" i="10" s="1"/>
  <c r="C16" i="10"/>
  <c r="E29" i="31"/>
  <c r="K25" i="17"/>
  <c r="E13" i="17"/>
  <c r="E14" i="17" s="1"/>
  <c r="G28" i="16"/>
  <c r="I26" i="16"/>
  <c r="K39" i="16"/>
  <c r="E26" i="9"/>
  <c r="I13" i="28" l="1"/>
  <c r="E15" i="10"/>
  <c r="G14" i="10"/>
  <c r="I14" i="10" s="1"/>
  <c r="C17" i="10"/>
  <c r="E12" i="16"/>
  <c r="E16" i="16" s="1"/>
  <c r="E16" i="10" l="1"/>
  <c r="G15" i="10"/>
  <c r="I15" i="10" s="1"/>
  <c r="C18" i="10"/>
  <c r="E17" i="10" l="1"/>
  <c r="G16" i="10"/>
  <c r="I16" i="10" s="1"/>
  <c r="C19" i="10"/>
  <c r="E18" i="10" l="1"/>
  <c r="G17" i="10"/>
  <c r="I17" i="10" s="1"/>
  <c r="C20" i="10"/>
  <c r="E19" i="10" l="1"/>
  <c r="G18" i="10"/>
  <c r="I18" i="10" s="1"/>
  <c r="C21" i="10"/>
  <c r="E20" i="10" l="1"/>
  <c r="G19" i="10"/>
  <c r="I19" i="10" s="1"/>
  <c r="E21" i="10" l="1"/>
  <c r="G21" i="10" s="1"/>
  <c r="I21" i="10" s="1"/>
  <c r="G20" i="10"/>
  <c r="I20" i="10" s="1"/>
  <c r="I22" i="10" s="1"/>
  <c r="F18" i="12" l="1"/>
  <c r="F16" i="12" l="1"/>
</calcChain>
</file>

<file path=xl/sharedStrings.xml><?xml version="1.0" encoding="utf-8"?>
<sst xmlns="http://schemas.openxmlformats.org/spreadsheetml/2006/main" count="1000" uniqueCount="439">
  <si>
    <t>Montana-Dakota Utilities Co.</t>
  </si>
  <si>
    <t>Integrated System Average 12 Month Peak</t>
  </si>
  <si>
    <t>MISO Attachment O Workpaper</t>
  </si>
  <si>
    <t>Projected 2015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</si>
  <si>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</si>
  <si>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</si>
  <si>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</si>
  <si>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</si>
  <si>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</si>
  <si>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</si>
  <si>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</si>
  <si>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</si>
  <si>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</si>
  <si>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</si>
  <si>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</si>
  <si>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Average</t>
  </si>
  <si>
    <t>Production</t>
  </si>
  <si>
    <t>Transmission</t>
  </si>
  <si>
    <t>Distribution</t>
  </si>
  <si>
    <t>General</t>
  </si>
  <si>
    <t>Intangible</t>
  </si>
  <si>
    <t>Common</t>
  </si>
  <si>
    <t>Total</t>
  </si>
  <si>
    <t>Integrated</t>
  </si>
  <si>
    <t>Wyoming</t>
  </si>
  <si>
    <t>Company</t>
  </si>
  <si>
    <t>Balance</t>
  </si>
  <si>
    <t>Projected</t>
  </si>
  <si>
    <t>Ending</t>
  </si>
  <si>
    <t>Average</t>
  </si>
  <si>
    <t>Materials &amp; Supplies</t>
  </si>
  <si>
    <t xml:space="preserve">Materials &amp; </t>
  </si>
  <si>
    <t>System</t>
  </si>
  <si>
    <t>Allocated</t>
  </si>
  <si>
    <t>Integrated System</t>
  </si>
  <si>
    <t>O&amp;M</t>
  </si>
  <si>
    <t>Transmission O&amp;M</t>
  </si>
  <si>
    <t>Allocation Factor</t>
  </si>
  <si>
    <t>Supplies  1/</t>
  </si>
  <si>
    <t>Prepayments</t>
  </si>
  <si>
    <t>A&amp;G</t>
  </si>
  <si>
    <t>Total Company</t>
  </si>
  <si>
    <t>FERC Annual Fees</t>
  </si>
  <si>
    <t>Regulatory Commission Expense - Integrated System</t>
  </si>
  <si>
    <t>O&amp;M Expense - FERC Annual Fees</t>
  </si>
  <si>
    <t>EPRI, Regulatory Commission Expense and Non-Safety Advertising</t>
  </si>
  <si>
    <t xml:space="preserve">O&amp;M Expense - </t>
  </si>
  <si>
    <t>Regulatory Commission Expense</t>
  </si>
  <si>
    <t xml:space="preserve">Less:  Wyoming </t>
  </si>
  <si>
    <t>Non-Safety Advertising</t>
  </si>
  <si>
    <t>Non-Safety Advertising - Integrated System</t>
  </si>
  <si>
    <t>Total - Integrated System</t>
  </si>
  <si>
    <t>Taxes Other than Income</t>
  </si>
  <si>
    <t>Taxes Other than Income Taxes</t>
  </si>
  <si>
    <t>Property Taxes</t>
  </si>
  <si>
    <t>Payroll Taxes</t>
  </si>
  <si>
    <t xml:space="preserve">Other Taxes </t>
  </si>
  <si>
    <t xml:space="preserve">  Total</t>
  </si>
  <si>
    <t>% of Total</t>
  </si>
  <si>
    <t>Wages and Salary</t>
  </si>
  <si>
    <t>Other</t>
  </si>
  <si>
    <t>Customer Accounts</t>
  </si>
  <si>
    <t>Customer Service</t>
  </si>
  <si>
    <t>Sales</t>
  </si>
  <si>
    <t>Wages &amp; Salary</t>
  </si>
  <si>
    <t>LSE Expenses included in Transmission O&amp;M Accts</t>
  </si>
  <si>
    <t>Acct 561.4</t>
  </si>
  <si>
    <t>Acct 561.8</t>
  </si>
  <si>
    <t>Acct 565</t>
  </si>
  <si>
    <t>Scheduling, System Control &amp; Dispatch Services</t>
  </si>
  <si>
    <t>Reliability, Planning and Standards Development Services</t>
  </si>
  <si>
    <t>Transmission of Electricity by Others</t>
  </si>
  <si>
    <t>Transmission O&amp;M Expense:</t>
  </si>
  <si>
    <t>Transmission O&amp;M Expenses Excluded</t>
  </si>
  <si>
    <t>Projected 2013</t>
  </si>
  <si>
    <t>Projected 2014</t>
  </si>
  <si>
    <t>Actual 2013</t>
  </si>
  <si>
    <t>General &amp;</t>
  </si>
  <si>
    <t>Common &amp;</t>
  </si>
  <si>
    <t>Depreciation Expense</t>
  </si>
  <si>
    <t>1/</t>
  </si>
  <si>
    <t>Transmission Expenses included in OATT</t>
  </si>
  <si>
    <t>Transmission Expenses included in OATT:</t>
  </si>
  <si>
    <t>Ancillary Services</t>
  </si>
  <si>
    <t>Acct 561.1</t>
  </si>
  <si>
    <t>Load Dispatch - Reliability</t>
  </si>
  <si>
    <t>Acct 561.2</t>
  </si>
  <si>
    <t>Load Dispatch - Monitor &amp; Operate Transmission System</t>
  </si>
  <si>
    <t>Electric</t>
  </si>
  <si>
    <t>% Integrated</t>
  </si>
  <si>
    <t>Insurance</t>
  </si>
  <si>
    <t>Load Dispatching Account 561</t>
  </si>
  <si>
    <t>Acct 561</t>
  </si>
  <si>
    <t xml:space="preserve">  Total Account 561</t>
  </si>
  <si>
    <t>Capital Structure</t>
  </si>
  <si>
    <t>Long Term</t>
  </si>
  <si>
    <t>Interest</t>
  </si>
  <si>
    <t>Preferred</t>
  </si>
  <si>
    <t>Proprietary</t>
  </si>
  <si>
    <t>Capital</t>
  </si>
  <si>
    <t>Acct</t>
  </si>
  <si>
    <t>Debt</t>
  </si>
  <si>
    <t>Stock</t>
  </si>
  <si>
    <t xml:space="preserve">   13 Month Average</t>
  </si>
  <si>
    <t>Gross Receipts</t>
  </si>
  <si>
    <t>Franchise Taxes</t>
  </si>
  <si>
    <t>Revenue</t>
  </si>
  <si>
    <t>Franchise</t>
  </si>
  <si>
    <t>1/  Integrated System.</t>
  </si>
  <si>
    <t>Allocation</t>
  </si>
  <si>
    <t>Revenue/Franchise Tax</t>
  </si>
  <si>
    <t>Factor 2/</t>
  </si>
  <si>
    <t>% of Other</t>
  </si>
  <si>
    <t>Other  1/</t>
  </si>
  <si>
    <t>1/  Includes Customer Accounts, Customer Service, and Sales.</t>
  </si>
  <si>
    <t>% Integrated System</t>
  </si>
  <si>
    <t>Total FERC Fees</t>
  </si>
  <si>
    <t xml:space="preserve"> </t>
  </si>
  <si>
    <t>Adjustments to Rate Base</t>
  </si>
  <si>
    <t>858TS1</t>
  </si>
  <si>
    <t>856TS1</t>
  </si>
  <si>
    <t>857TS1</t>
  </si>
  <si>
    <t>1/  Exclude facilities not classified as Transmission.</t>
  </si>
  <si>
    <t>TL409-2</t>
  </si>
  <si>
    <t>Land Rights Function FERC 3502</t>
  </si>
  <si>
    <t>Overhead Conductor &amp; Device Function FERC 3560</t>
  </si>
  <si>
    <t>Transmission Function FERC 355</t>
  </si>
  <si>
    <t>Transmission Function FERC 353 to Power Production</t>
  </si>
  <si>
    <t>Ormat Transmission Line</t>
  </si>
  <si>
    <t>Transmission Function FERC 3502</t>
  </si>
  <si>
    <t>Transmission Function FERC 3501</t>
  </si>
  <si>
    <t>Transmission Function FERC 353</t>
  </si>
  <si>
    <t>Cedar Hills Substation</t>
  </si>
  <si>
    <t>Diamond Willow Substation</t>
  </si>
  <si>
    <t xml:space="preserve">                    </t>
  </si>
  <si>
    <t>Tl122-1</t>
  </si>
  <si>
    <t>Coyote Surge Pond Line</t>
  </si>
  <si>
    <t>TL118-1</t>
  </si>
  <si>
    <t>Big Stone Plant Intake Line</t>
  </si>
  <si>
    <t>TL059-2</t>
  </si>
  <si>
    <t>Towers &amp; Fixtures Function FERC 3540</t>
  </si>
  <si>
    <t>Coyote Aux. Power 115KV Tap Line</t>
  </si>
  <si>
    <t>586TS1</t>
  </si>
  <si>
    <t>Lewis &amp; Clark Switchyard</t>
  </si>
  <si>
    <t>504TS2</t>
  </si>
  <si>
    <t>Miles City Turbine</t>
  </si>
  <si>
    <t>498TS1</t>
  </si>
  <si>
    <t>Heskett Station</t>
  </si>
  <si>
    <t>409TS3</t>
  </si>
  <si>
    <t>Glendive Turbine Junction</t>
  </si>
  <si>
    <t>Facility  1/</t>
  </si>
  <si>
    <t>Production-Related Plant Removed from Transmission</t>
  </si>
  <si>
    <t xml:space="preserve">561BA </t>
  </si>
  <si>
    <t>Straight Time</t>
  </si>
  <si>
    <t>Premium Time</t>
  </si>
  <si>
    <t>Bonuses &amp; Commissions</t>
  </si>
  <si>
    <t>Incentive Comp Accr</t>
  </si>
  <si>
    <t>Resource</t>
  </si>
  <si>
    <t>Acct 561BA  1/</t>
  </si>
  <si>
    <t>1/  Payroll only.</t>
  </si>
  <si>
    <t>Highway &amp; Vehicle</t>
  </si>
  <si>
    <t>Payroll Related</t>
  </si>
  <si>
    <t>Factor</t>
  </si>
  <si>
    <t>Gas Utility</t>
  </si>
  <si>
    <t>GPNG Gas</t>
  </si>
  <si>
    <t>MDU Gas (excluding Wyoming)</t>
  </si>
  <si>
    <t>MDU Electric</t>
  </si>
  <si>
    <t>Common Plant Allocator</t>
  </si>
  <si>
    <t>Total Plant</t>
  </si>
  <si>
    <t xml:space="preserve">  Total Electric Utility</t>
  </si>
  <si>
    <t>Acct 456.1 Other Electric Revenues</t>
  </si>
  <si>
    <t>Acct 454 Revenue from Electric Property</t>
  </si>
  <si>
    <t>Line 35</t>
  </si>
  <si>
    <t>Montana-Dakota</t>
  </si>
  <si>
    <t>Great Plains</t>
  </si>
  <si>
    <t xml:space="preserve">  Total Gas Utility</t>
  </si>
  <si>
    <t>Short Term</t>
  </si>
  <si>
    <t>Actual 2014</t>
  </si>
  <si>
    <t>System  2/</t>
  </si>
  <si>
    <t>Other (Integrated System)</t>
  </si>
  <si>
    <t>Electric Plant in Service, Gas Plant in Service - Common</t>
  </si>
  <si>
    <t xml:space="preserve">Electric Accumulated Reserve for Depreciation, Gas Accumulated Reserve - Common </t>
  </si>
  <si>
    <t>Projected 2017</t>
  </si>
  <si>
    <t>Actual 2015</t>
  </si>
  <si>
    <t>January 2017</t>
  </si>
  <si>
    <t xml:space="preserve">L&amp;C - Rice Generator </t>
  </si>
  <si>
    <t>TL069-2</t>
  </si>
  <si>
    <t>Transmission Function FERC 356</t>
  </si>
  <si>
    <t>Actual 2016</t>
  </si>
  <si>
    <t>SPP FERC Annual Fees</t>
  </si>
  <si>
    <t>Total Company - Regulatory Commission Expense</t>
  </si>
  <si>
    <t>Wyoming - Regulatory Commission Expense</t>
  </si>
  <si>
    <t>Thunder Spirit</t>
  </si>
  <si>
    <t>859TS1</t>
  </si>
  <si>
    <t>2015</t>
  </si>
  <si>
    <t>January</t>
  </si>
  <si>
    <t>Accumulated Deferred Income Taxes</t>
  </si>
  <si>
    <t>Account 190</t>
  </si>
  <si>
    <t>234.8.b</t>
  </si>
  <si>
    <t>234.8.c</t>
  </si>
  <si>
    <t>Average Balance</t>
  </si>
  <si>
    <t>Account 282</t>
  </si>
  <si>
    <t>Account 283</t>
  </si>
  <si>
    <t>Line</t>
  </si>
  <si>
    <t>Sub</t>
  </si>
  <si>
    <t>Fuel &amp; PP</t>
  </si>
  <si>
    <t>Transmission:</t>
  </si>
  <si>
    <t>Projected Schedules 26 and 26A</t>
  </si>
  <si>
    <t>Projected Acct 565:</t>
  </si>
  <si>
    <t>Transmission (excl Acct 565)</t>
  </si>
  <si>
    <t>2/  Increased by increase in Acct 561</t>
  </si>
  <si>
    <t>Total Projected O&amp;M - Integrated System</t>
  </si>
  <si>
    <t>Line 36</t>
  </si>
  <si>
    <t>Total Revenue Credits - Other Electric Revenues</t>
  </si>
  <si>
    <t>Line 36a</t>
  </si>
  <si>
    <t>Line 36b</t>
  </si>
  <si>
    <t>Schedule 1</t>
  </si>
  <si>
    <t>Schedule 2</t>
  </si>
  <si>
    <t>Schedule 7</t>
  </si>
  <si>
    <t>Schedule 8</t>
  </si>
  <si>
    <t>Schedule 9</t>
  </si>
  <si>
    <t>Schedule 11</t>
  </si>
  <si>
    <t>Schedule 24</t>
  </si>
  <si>
    <t>Projected 2018</t>
  </si>
  <si>
    <t>MDU</t>
  </si>
  <si>
    <t>BEPC</t>
  </si>
  <si>
    <t xml:space="preserve">    Average </t>
  </si>
  <si>
    <t>(Line 8)</t>
  </si>
  <si>
    <t>(Line 10)</t>
  </si>
  <si>
    <t>January 2018</t>
  </si>
  <si>
    <t>Incr from 16 Actuals</t>
  </si>
  <si>
    <t>Incr from Proj 17</t>
  </si>
  <si>
    <t>2016</t>
  </si>
  <si>
    <t>MISO</t>
  </si>
  <si>
    <t>Transmission Function FERC 355 to Generation</t>
  </si>
  <si>
    <t>TL168-1</t>
  </si>
  <si>
    <t>OH Conductor &amp; Device Function FERC 3560 to Generation</t>
  </si>
  <si>
    <t>Revenue Credits</t>
  </si>
  <si>
    <t>Facility Credits under SPP Schedule 9</t>
  </si>
  <si>
    <t>Schedule 26A Indicative MVP Charge</t>
  </si>
  <si>
    <t>Schedule 26 Indicative Annual Charge</t>
  </si>
  <si>
    <t>Projected MISO Charges - Acct 565</t>
  </si>
  <si>
    <t>Total Projected MISO Charges</t>
  </si>
  <si>
    <t>MISO Schedule 10 Costs</t>
  </si>
  <si>
    <t>MISO Schedule Revenues</t>
  </si>
  <si>
    <t>MISO Schedule 24</t>
  </si>
  <si>
    <t>Facility Sharing Agreement with Basin</t>
  </si>
  <si>
    <t>2/  3 year average allocation</t>
  </si>
  <si>
    <t>5-Year</t>
  </si>
  <si>
    <t>FP-200773</t>
  </si>
  <si>
    <t>FP-200779</t>
  </si>
  <si>
    <t>Reactor</t>
  </si>
  <si>
    <t>FP-302388</t>
  </si>
  <si>
    <t>Growth Factor</t>
  </si>
  <si>
    <t xml:space="preserve">     Average Monthly Expense</t>
  </si>
  <si>
    <t>2017</t>
  </si>
  <si>
    <t>Total Account 565</t>
  </si>
  <si>
    <t>Calculation of Projected Acct 565:</t>
  </si>
  <si>
    <t>Beginning Balance</t>
  </si>
  <si>
    <t>Ending Balance</t>
  </si>
  <si>
    <t>276.9.b</t>
  </si>
  <si>
    <t>275.2.k</t>
  </si>
  <si>
    <t>Projected 2019</t>
  </si>
  <si>
    <t>Actual 2017</t>
  </si>
  <si>
    <t>January  2019</t>
  </si>
  <si>
    <t>December 2018</t>
  </si>
  <si>
    <t>January 2019</t>
  </si>
  <si>
    <t>Year Ended December 31, 2019</t>
  </si>
  <si>
    <t>Projected 2019 Materials &amp; Supplies - Total Company</t>
  </si>
  <si>
    <t xml:space="preserve">   % Integrated System - 2017</t>
  </si>
  <si>
    <t>December 2016</t>
  </si>
  <si>
    <t>2017 Integrated System Factor</t>
  </si>
  <si>
    <t>Projected 2019 Total O&amp;M - Integrated System</t>
  </si>
  <si>
    <t>Projected 2019 Total Transmission O&amp;M</t>
  </si>
  <si>
    <t>1/  Calculation of Projected 2019 Load Dispatching O&amp;M Expense:</t>
  </si>
  <si>
    <t>Projected 2019 Materials &amp; Supplies - Integrated System</t>
  </si>
  <si>
    <t xml:space="preserve"> -- posted by MISO May 1, 2018</t>
  </si>
  <si>
    <t>Projected 2019 Integrated System MWhs</t>
  </si>
  <si>
    <t>Projected 2019 Schedule 26A Costs</t>
  </si>
  <si>
    <t>Projected 2019 Account 561 Expense</t>
  </si>
  <si>
    <t>2019  2/</t>
  </si>
  <si>
    <t>Actual 2017 Acct 561</t>
  </si>
  <si>
    <t>Projected 2019 Acct 561</t>
  </si>
  <si>
    <t>1/  Allocated Wyoming based on 2017 Wyoming % of Total Company</t>
  </si>
  <si>
    <t>2017  1/</t>
  </si>
  <si>
    <t xml:space="preserve">MISO Schedules 9 and 24 </t>
  </si>
  <si>
    <t>July 2017</t>
  </si>
  <si>
    <t>SPP Schedules 9 and 11</t>
  </si>
  <si>
    <t>SPP Schedules - Actuals</t>
  </si>
  <si>
    <t>Total Projected SPP Schedules</t>
  </si>
  <si>
    <t xml:space="preserve">   Total 2019</t>
  </si>
  <si>
    <t>2019  1/</t>
  </si>
  <si>
    <t>Company  1/</t>
  </si>
  <si>
    <t>2/  Allocated Wyoming based on 2017 Wyoming % of Total Company</t>
  </si>
  <si>
    <t xml:space="preserve">FERC Annual Charges </t>
  </si>
  <si>
    <t>MISO Schedule 10 FERC and SPP Schedule 12 reflect twelve months ended July 2018.</t>
  </si>
  <si>
    <t>FERC Annual Charges - August 2018.</t>
  </si>
  <si>
    <t xml:space="preserve">  (percent of federal income tax deductible for state purposes)</t>
  </si>
  <si>
    <t>p =</t>
  </si>
  <si>
    <t xml:space="preserve">  (State Income Tax Rate or Composite SIT)</t>
  </si>
  <si>
    <t>SIT=</t>
  </si>
  <si>
    <t>FIT =</t>
  </si>
  <si>
    <t>Inputs Required:</t>
  </si>
  <si>
    <t xml:space="preserve">  multiplied by (1/1-T) (page 3, line 26).</t>
  </si>
  <si>
    <t xml:space="preserve">  rate base, must reduce its income tax expense by the amount of the Amortized Investment Tax Credit (Form 1, 266.8.f)</t>
  </si>
  <si>
    <t xml:space="preserve">  elected to utilize amortization of tax credits against taxable income, rather than book tax credits to Account No. 255 and reduce </t>
  </si>
  <si>
    <t xml:space="preserve">  work paper showing the name of each state and how the blended or composite SIT was developed.  Furthermore, a utility that</t>
  </si>
  <si>
    <t xml:space="preserve">  "the percentage of federal income tax deductible for state income taxes".  If the utility is taxed in more than one state it must attach a</t>
  </si>
  <si>
    <t>The currently effective income tax rate,  where FIT is the Federal income tax rate; SIT is the State income tax rate, and p =</t>
  </si>
  <si>
    <t>Note K:</t>
  </si>
  <si>
    <t>Montana</t>
  </si>
  <si>
    <t>North Dakota</t>
  </si>
  <si>
    <t>South Dakota</t>
  </si>
  <si>
    <t>Allocation %</t>
  </si>
  <si>
    <t>State Tax Rate</t>
  </si>
  <si>
    <t>Calculation of Composite State  Rate</t>
  </si>
  <si>
    <t>Page 5 Note K - Federal and State Income Tax Rates</t>
  </si>
  <si>
    <t>Supporting Workpaper</t>
  </si>
  <si>
    <t>SIT Calculation</t>
  </si>
  <si>
    <t>2019 Projection</t>
  </si>
  <si>
    <t>MISO Attchment O</t>
  </si>
  <si>
    <t>MISO Schedule 7</t>
  </si>
  <si>
    <t>MISO Schedule 8</t>
  </si>
  <si>
    <t>MISO Schedule 9</t>
  </si>
  <si>
    <t>Schedule 26 (Attachment GG Revenue Requirement)</t>
  </si>
  <si>
    <t>Schedule 26A (Attachment MM Revenue Requirement)</t>
  </si>
  <si>
    <t>MONTANA-DAKOTA UTILITIES CO.</t>
  </si>
  <si>
    <t>Rate Year =</t>
  </si>
  <si>
    <t>Proration Used for Projected Revenue Requirement Calculation</t>
  </si>
  <si>
    <t>Proration Used for True-up Revenue Requirement Calculation</t>
  </si>
  <si>
    <t>Days in Period</t>
  </si>
  <si>
    <t>Averaging with Proration - Projected</t>
  </si>
  <si>
    <t>Averaging Preserving Projected Proration - True-up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</si>
  <si>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</si>
  <si>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</si>
  <si>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</si>
  <si>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</si>
  <si>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</si>
  <si>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</si>
  <si>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</si>
  <si>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</si>
  <si>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</si>
  <si>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</si>
  <si>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</si>
  <si>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</si>
  <si>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</si>
  <si>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Month</t>
  </si>
  <si>
    <t>Days in the Month</t>
  </si>
  <si>
    <t xml:space="preserve">Number of Days Remaining in Year After Month's Accrual of Deferred Taxes </t>
  </si>
  <si>
    <t>Total Days in Future Portion of Test Period (Line 18, Col B)</t>
  </si>
  <si>
    <t>Proration Amount (Lines 6 to 17, Col C / Col D)</t>
  </si>
  <si>
    <t>Projected Monthly Activity</t>
  </si>
  <si>
    <t>Prorated Projected Monthly Activity (Lines 6 to 17, Col E x Col F)</t>
  </si>
  <si>
    <t>Prorated Projected Balance (Line 5, Col H plus Cumulative Sum of Col G)</t>
  </si>
  <si>
    <t>Actual Monthly Activity</t>
  </si>
  <si>
    <t>Difference between projected and actual activity (Col F minus Col I) (If projected and actual activity are both positive, a negative in Col J represents over-projection (amount of projected activity that did not occur) and a positive in Col J represents under-projection (excess of actual activity over projected activity). If projected and actual activity are both negative, a negative in Col J reprents under-projection (excess of actual activity over projected activity) and a positive in Col J representes over-projection (amount of projected activity that did not occur).)</t>
  </si>
  <si>
    <t>Preserve proration when actual and projected activity are either both increases or decreases:  If Col J is over-projected, (Col G x [Col I/Col F]); if Col J is under-projected, (Col G + Col J).  In other situations, enter zero.</t>
  </si>
  <si>
    <t>Use actual activity (Col I) when projected activity is an increase while actual activity is a decrease OR projected activity is a decrease while actual activity is an increase (Col F is positive and Col I is negative OR Col F is negative and Col I is positive). In other situations, enter zero.</t>
  </si>
  <si>
    <t>Preserved prorated actual balance (Line 5, Col M plus Cumulative Sum of Col K and Col L)</t>
  </si>
  <si>
    <t>December 31st balance Prorated Items (FF1 234.8.b less non Prorated Items)</t>
  </si>
  <si>
    <t>Less non Prorated (non-Property-related) Items</t>
  </si>
  <si>
    <t>(Line 19 less line 21)</t>
  </si>
  <si>
    <t>Beginning Balance of Prorated items</t>
  </si>
  <si>
    <t>(Line 5, Col H)</t>
  </si>
  <si>
    <t>(Line 5, Col M)</t>
  </si>
  <si>
    <t>(Line 22 less line 24)</t>
  </si>
  <si>
    <t>Ending Balance of Prorated items</t>
  </si>
  <si>
    <t>(Line 17, Col H)</t>
  </si>
  <si>
    <t>(Line 17, Col M)</t>
  </si>
  <si>
    <t>([Lines 21 + 24]/2)+([Lines 20 +23)]/2)</t>
  </si>
  <si>
    <t>Less ASC 740 Items</t>
  </si>
  <si>
    <t>Attachment O, Footnote F</t>
  </si>
  <si>
    <t>Amount for Attachment O Page 2 Line 22</t>
  </si>
  <si>
    <t>(Line 25 less line 26)</t>
  </si>
  <si>
    <t>Total Days in Future Portion of Test Period (Line 45, Col B)</t>
  </si>
  <si>
    <t>Proration Amount (Lines 33 to 44, Col C / Col D)</t>
  </si>
  <si>
    <t>Prorated Projected Monthly Activity (Lines 33 to 44, Col E x Col F)</t>
  </si>
  <si>
    <t>Prorated Projected Balance (Line 32, Col H plus Cumulative Sum of Col G)</t>
  </si>
  <si>
    <t xml:space="preserve">Difference between projected and actual activity (Col F minus Col I) (If projected and actual activity are both positive, a negative in Col J represents over-projection (amount of projected activity that did not occur) and a positive in Col J represents under-projection (excess of actual activity over projected activity). If projected and actual activity are both negative, a negative in Col J reprents under-projection (excess of actual activity over projected activity) and a positive in Col J representes over-projection (amount of projected activity that did not occur).) </t>
  </si>
  <si>
    <t>Preserved original prorated actual balance (Line 32, Col M plus Cumulative Sum of Col K and Col L)</t>
  </si>
  <si>
    <t>December 31st balance Prorated Items (FF1 274.2.b)</t>
  </si>
  <si>
    <t>274.2.b</t>
  </si>
  <si>
    <t>([Lines 46 + 47] /2)</t>
  </si>
  <si>
    <t>Amount for Attachment O Page 2 Line 20</t>
  </si>
  <si>
    <t>(Line 48 less line 49)</t>
  </si>
  <si>
    <t>Total Days in Future Portion of Test Period (Line 68, Col B)</t>
  </si>
  <si>
    <t>Proration Amount (Lines 56 to 67, Col C / Col D)</t>
  </si>
  <si>
    <t>Prorated Projected Monthly Activity (Lines 56 to 67, Col E x Col F)</t>
  </si>
  <si>
    <t>Prorated Projected Balance (Line 55, Col H plus Cumulative Sum of Col G)</t>
  </si>
  <si>
    <t>Preserved original prorated actual balance (Line 55, Col M plus Cumulative Sum of Col K and Col L)</t>
  </si>
  <si>
    <t>December 31st balance Prorated Items (FF1 276.9.b less non Prorated Items)</t>
  </si>
  <si>
    <t>(Line 69 less line 71)</t>
  </si>
  <si>
    <t>(Line 55, Col H)</t>
  </si>
  <si>
    <t>(Line 55, Col M)</t>
  </si>
  <si>
    <t>277.9.k</t>
  </si>
  <si>
    <t>(Line 72 less line 74)</t>
  </si>
  <si>
    <t>(Line 67, Col H)</t>
  </si>
  <si>
    <t>(Line 67, Col M)</t>
  </si>
  <si>
    <t>([Lines 71 + 74]/2)+([Lines 70+73]/2)</t>
  </si>
  <si>
    <t>Amount for Attachment O Page 2 Line 21</t>
  </si>
  <si>
    <t>(Line 75 less line 76)</t>
  </si>
  <si>
    <t>Total Account 561 - YTD June 2018 (Integrated System)</t>
  </si>
  <si>
    <t>Transmission Plant in Service and BSSE Project</t>
  </si>
  <si>
    <t>Plant</t>
  </si>
  <si>
    <t>BSSE</t>
  </si>
  <si>
    <t>Transmission Accumulated Reserve and BSSE Project Reserve</t>
  </si>
  <si>
    <t>MVP Project - BSSE Project</t>
  </si>
  <si>
    <t xml:space="preserve">    Average</t>
  </si>
  <si>
    <t>WO 195544  1/</t>
  </si>
  <si>
    <t>WO 238903  2/</t>
  </si>
  <si>
    <t>WO 239024  3/</t>
  </si>
  <si>
    <t>CWIP Balance</t>
  </si>
  <si>
    <t>Substation</t>
  </si>
  <si>
    <t>BSSE Project</t>
  </si>
  <si>
    <t>Reserve</t>
  </si>
  <si>
    <t>Supplies</t>
  </si>
  <si>
    <t xml:space="preserve"> O&amp;M Expense</t>
  </si>
  <si>
    <t>1/  In-service in January 2019.</t>
  </si>
  <si>
    <t>2/  In-service in December 2018.</t>
  </si>
  <si>
    <t>3/  In-service in December 2018.</t>
  </si>
  <si>
    <t>1/  Includes BSSE depreciation expense of $1,931,851.</t>
  </si>
  <si>
    <t>MISO Attachment O Annual True-Up</t>
  </si>
  <si>
    <t>Components with Variance</t>
  </si>
  <si>
    <t>% Variance</t>
  </si>
  <si>
    <t>Reason for Variance &gt; 20% from Projected 2018</t>
  </si>
  <si>
    <t>Total Transmission Plant</t>
  </si>
  <si>
    <t>BSSE project coming online in early 2019.</t>
  </si>
  <si>
    <t>CWIP</t>
  </si>
  <si>
    <t>BSSE project coming online in early 2019</t>
  </si>
  <si>
    <t>ADITS - Account 255</t>
  </si>
  <si>
    <t>Anticipated utilization of North Dakota ITCs.</t>
  </si>
  <si>
    <t>ADITS - Account 283</t>
  </si>
  <si>
    <t>Decrease in Company's electric rate rider balances</t>
  </si>
  <si>
    <t>Decrease in deferred taxes associated with the projected</t>
  </si>
  <si>
    <t>utilization of carryover production tax credits</t>
  </si>
  <si>
    <t>Function of projects undertaken in year.</t>
  </si>
  <si>
    <t>Variances &gt; 20% from Projected 2018</t>
  </si>
  <si>
    <t>Attachment MM Total Plant</t>
  </si>
  <si>
    <t>13 Month Average Plant in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</si>
</sst>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_);[Red]\(#,##0.000\)"/>
    <numFmt numFmtId="166" formatCode="&quot;$&quot;#,##0.00"/>
    <numFmt numFmtId="167" formatCode="#,##0.0_);[Red]\(#,##0.0\)"/>
    <numFmt numFmtId="168" formatCode="0.000000%"/>
    <numFmt numFmtId="169" formatCode="_(* #,##0_);_(* \(#,##0\);_(* &quot;-&quot;??_);_(@_)"/>
    <numFmt numFmtId="170" formatCode="_(* #,##0.0_);_(* \(#,##0.0\);_(* &quot;-&quot;?_);_(@_)"/>
  </numFmts>
  <fonts count="3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trike/>
      <sz val="10"/>
      <color theme="0" tint="-0.249977111117893"/>
      <name val="Arial"/>
      <family val="2"/>
    </font>
    <font>
      <sz val="14"/>
      <name val="Times New Roman"/>
      <family val="1"/>
    </font>
    <font>
      <sz val="16"/>
      <name val="Arial MT"/>
    </font>
    <font>
      <sz val="14"/>
      <name val="Arial MT"/>
    </font>
    <font>
      <sz val="14"/>
      <color indexed="12"/>
      <name val="Arial MT"/>
    </font>
    <font>
      <sz val="12"/>
      <color indexed="17"/>
      <name val="Arial"/>
      <family val="2"/>
    </font>
    <font>
      <sz val="12"/>
      <color indexed="12"/>
      <name val="Arial MT"/>
    </font>
    <font>
      <b/>
      <sz val="12"/>
      <name val="Arial MT"/>
    </font>
    <font>
      <b/>
      <sz val="12"/>
      <color rgb="FF0000CC"/>
      <name val="Arial MT"/>
    </font>
    <font>
      <b/>
      <sz val="12"/>
      <color indexed="12"/>
      <name val="Arial MT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166" fontId="9" fillId="0" borderId="0" applyProtection="0"/>
    <xf numFmtId="3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10" fillId="0" borderId="0"/>
    <xf numFmtId="37" fontId="10" fillId="0" borderId="0" applyFont="0" applyFill="0" applyBorder="0" applyAlignment="0" applyProtection="0"/>
    <xf numFmtId="0" fontId="1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60">
    <xf numFmtId="0" fontId="0" fillId="0" borderId="0" xfId="0"/>
    <xf numFmtId="38" fontId="0" fillId="0" borderId="0" xfId="0" applyNumberFormat="1"/>
    <xf numFmtId="38" fontId="0" fillId="0" borderId="2" xfId="0" applyNumberFormat="1" applyBorder="1"/>
    <xf numFmtId="0" fontId="5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Continuous"/>
    </xf>
    <xf numFmtId="0" fontId="0" fillId="0" borderId="0" xfId="0" quotePrefix="1"/>
    <xf numFmtId="0" fontId="0" fillId="0" borderId="0" xfId="0" applyBorder="1"/>
    <xf numFmtId="0" fontId="0" fillId="0" borderId="0" xfId="0" applyBorder="1" applyAlignment="1">
      <alignment horizontal="center"/>
    </xf>
    <xf numFmtId="6" fontId="0" fillId="0" borderId="0" xfId="0" applyNumberFormat="1"/>
    <xf numFmtId="0" fontId="0" fillId="0" borderId="0" xfId="0" applyAlignment="1">
      <alignment horizontal="centerContinuous"/>
    </xf>
    <xf numFmtId="0" fontId="5" fillId="2" borderId="0" xfId="0" applyFont="1" applyFill="1" applyBorder="1" applyAlignment="1">
      <alignment horizontal="center"/>
    </xf>
    <xf numFmtId="38" fontId="0" fillId="0" borderId="0" xfId="0" applyNumberFormat="1" applyBorder="1"/>
    <xf numFmtId="0" fontId="0" fillId="0" borderId="0" xfId="0" applyBorder="1" applyAlignment="1">
      <alignment horizontal="centerContinuous"/>
    </xf>
    <xf numFmtId="6" fontId="0" fillId="0" borderId="0" xfId="0" applyNumberFormat="1" applyBorder="1"/>
    <xf numFmtId="40" fontId="0" fillId="0" borderId="0" xfId="0" applyNumberFormat="1"/>
    <xf numFmtId="40" fontId="0" fillId="0" borderId="0" xfId="0" applyNumberForma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0" fontId="0" fillId="0" borderId="0" xfId="0" applyAlignment="1">
      <alignment horizontal="left"/>
    </xf>
    <xf numFmtId="0" fontId="5" fillId="2" borderId="0" xfId="0" applyFont="1" applyFill="1" applyAlignment="1">
      <alignment horizontal="centerContinuous"/>
    </xf>
    <xf numFmtId="0" fontId="0" fillId="2" borderId="0" xfId="0" applyFill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quotePrefix="1" applyFont="1" applyFill="1"/>
    <xf numFmtId="0" fontId="0" fillId="2" borderId="0" xfId="0" applyFont="1" applyFill="1"/>
    <xf numFmtId="38" fontId="0" fillId="0" borderId="4" xfId="0" applyNumberFormat="1" applyBorder="1"/>
    <xf numFmtId="0" fontId="0" fillId="0" borderId="0" xfId="0" applyAlignment="1">
      <alignment horizontal="center"/>
    </xf>
    <xf numFmtId="38" fontId="0" fillId="0" borderId="1" xfId="0" applyNumberFormat="1" applyBorder="1"/>
    <xf numFmtId="6" fontId="0" fillId="0" borderId="4" xfId="0" applyNumberFormat="1" applyBorder="1"/>
    <xf numFmtId="6" fontId="0" fillId="0" borderId="5" xfId="0" applyNumberFormat="1" applyBorder="1"/>
    <xf numFmtId="0" fontId="8" fillId="0" borderId="0" xfId="0" applyFont="1"/>
    <xf numFmtId="0" fontId="5" fillId="0" borderId="0" xfId="0" applyFont="1" applyAlignment="1">
      <alignment horizontal="left"/>
    </xf>
    <xf numFmtId="0" fontId="7" fillId="3" borderId="0" xfId="0" applyFont="1" applyFill="1"/>
    <xf numFmtId="38" fontId="7" fillId="3" borderId="0" xfId="0" applyNumberFormat="1" applyFont="1" applyFill="1"/>
    <xf numFmtId="38" fontId="7" fillId="3" borderId="0" xfId="0" applyNumberFormat="1" applyFont="1" applyFill="1" applyBorder="1"/>
    <xf numFmtId="0" fontId="0" fillId="0" borderId="0" xfId="0" applyAlignment="1">
      <alignment horizontal="right"/>
    </xf>
    <xf numFmtId="6" fontId="0" fillId="0" borderId="2" xfId="0" applyNumberFormat="1" applyBorder="1"/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Continuous"/>
    </xf>
    <xf numFmtId="40" fontId="0" fillId="0" borderId="1" xfId="0" applyNumberFormat="1" applyBorder="1" applyAlignment="1">
      <alignment horizontal="centerContinuous"/>
    </xf>
    <xf numFmtId="0" fontId="5" fillId="0" borderId="0" xfId="0" applyFont="1"/>
    <xf numFmtId="0" fontId="0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164" fontId="0" fillId="0" borderId="2" xfId="0" applyNumberFormat="1" applyBorder="1"/>
    <xf numFmtId="38" fontId="0" fillId="0" borderId="5" xfId="0" applyNumberFormat="1" applyBorder="1"/>
    <xf numFmtId="0" fontId="7" fillId="0" borderId="0" xfId="0" applyFont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38" fontId="0" fillId="2" borderId="0" xfId="0" applyNumberFormat="1" applyFill="1" applyBorder="1"/>
    <xf numFmtId="38" fontId="8" fillId="0" borderId="0" xfId="0" applyNumberFormat="1" applyFont="1" applyBorder="1"/>
    <xf numFmtId="38" fontId="0" fillId="2" borderId="0" xfId="0" applyNumberFormat="1" applyFill="1"/>
    <xf numFmtId="0" fontId="4" fillId="2" borderId="0" xfId="1" applyFont="1" applyFill="1"/>
    <xf numFmtId="0" fontId="7" fillId="0" borderId="0" xfId="6"/>
    <xf numFmtId="0" fontId="7" fillId="0" borderId="0" xfId="6" applyFont="1" applyFill="1"/>
    <xf numFmtId="0" fontId="7" fillId="0" borderId="0" xfId="6" applyFill="1"/>
    <xf numFmtId="0" fontId="7" fillId="0" borderId="0" xfId="6" quotePrefix="1" applyFill="1" applyAlignment="1">
      <alignment horizontal="left"/>
    </xf>
    <xf numFmtId="0" fontId="7" fillId="0" borderId="1" xfId="6" applyFill="1" applyBorder="1" applyAlignment="1">
      <alignment horizontal="centerContinuous"/>
    </xf>
    <xf numFmtId="0" fontId="7" fillId="0" borderId="0" xfId="6" applyFill="1" applyBorder="1" applyAlignment="1">
      <alignment horizontal="center"/>
    </xf>
    <xf numFmtId="0" fontId="7" fillId="0" borderId="0" xfId="6" applyFont="1"/>
    <xf numFmtId="49" fontId="0" fillId="0" borderId="0" xfId="0" applyNumberFormat="1"/>
    <xf numFmtId="49" fontId="5" fillId="0" borderId="0" xfId="0" applyNumberFormat="1" applyFont="1" applyAlignment="1">
      <alignment horizontal="centerContinuous"/>
    </xf>
    <xf numFmtId="0" fontId="0" fillId="0" borderId="0" xfId="0"/>
    <xf numFmtId="0" fontId="5" fillId="0" borderId="0" xfId="0" applyNumberFormat="1" applyFont="1" applyAlignment="1">
      <alignment horizontal="centerContinuous"/>
    </xf>
    <xf numFmtId="38" fontId="5" fillId="0" borderId="0" xfId="0" applyNumberFormat="1" applyFont="1" applyAlignment="1">
      <alignment horizontal="centerContinuous"/>
    </xf>
    <xf numFmtId="0" fontId="7" fillId="3" borderId="6" xfId="0" applyFont="1" applyFill="1" applyBorder="1"/>
    <xf numFmtId="38" fontId="7" fillId="3" borderId="6" xfId="0" applyNumberFormat="1" applyFont="1" applyFill="1" applyBorder="1"/>
    <xf numFmtId="6" fontId="0" fillId="2" borderId="0" xfId="0" applyNumberFormat="1" applyFill="1"/>
    <xf numFmtId="0" fontId="0" fillId="0" borderId="0" xfId="0" quotePrefix="1" applyBorder="1"/>
    <xf numFmtId="40" fontId="0" fillId="0" borderId="0" xfId="0" applyNumberFormat="1" applyBorder="1"/>
    <xf numFmtId="0" fontId="0" fillId="4" borderId="0" xfId="0" applyFill="1"/>
    <xf numFmtId="164" fontId="8" fillId="4" borderId="0" xfId="0" applyNumberFormat="1" applyFont="1" applyFill="1"/>
    <xf numFmtId="38" fontId="0" fillId="2" borderId="5" xfId="0" applyNumberFormat="1" applyFill="1" applyBorder="1"/>
    <xf numFmtId="38" fontId="8" fillId="2" borderId="0" xfId="0" applyNumberFormat="1" applyFont="1" applyFill="1"/>
    <xf numFmtId="165" fontId="0" fillId="0" borderId="0" xfId="0" applyNumberFormat="1" applyAlignment="1">
      <alignment horizontal="right"/>
    </xf>
    <xf numFmtId="38" fontId="0" fillId="0" borderId="3" xfId="0" applyNumberFormat="1" applyBorder="1"/>
    <xf numFmtId="0" fontId="4" fillId="2" borderId="0" xfId="0" applyFont="1" applyFill="1"/>
    <xf numFmtId="0" fontId="4" fillId="0" borderId="0" xfId="0" applyFont="1"/>
    <xf numFmtId="0" fontId="11" fillId="0" borderId="0" xfId="0" applyFont="1"/>
    <xf numFmtId="8" fontId="0" fillId="0" borderId="0" xfId="0" applyNumberFormat="1"/>
    <xf numFmtId="0" fontId="0" fillId="0" borderId="0" xfId="0" applyFont="1"/>
    <xf numFmtId="0" fontId="0" fillId="0" borderId="0" xfId="0" applyFill="1" applyBorder="1"/>
    <xf numFmtId="0" fontId="12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67" fontId="0" fillId="0" borderId="0" xfId="0" applyNumberFormat="1"/>
    <xf numFmtId="38" fontId="0" fillId="0" borderId="0" xfId="0" applyNumberFormat="1" applyAlignment="1">
      <alignment horizontal="centerContinuous"/>
    </xf>
    <xf numFmtId="38" fontId="0" fillId="0" borderId="0" xfId="0" applyNumberFormat="1" applyAlignment="1">
      <alignment horizontal="center"/>
    </xf>
    <xf numFmtId="38" fontId="0" fillId="0" borderId="0" xfId="0" applyNumberFormat="1" applyFont="1" applyBorder="1"/>
    <xf numFmtId="0" fontId="13" fillId="0" borderId="0" xfId="0" applyFont="1"/>
    <xf numFmtId="0" fontId="0" fillId="0" borderId="8" xfId="0" quotePrefix="1" applyBorder="1"/>
    <xf numFmtId="0" fontId="0" fillId="0" borderId="7" xfId="0" applyBorder="1"/>
    <xf numFmtId="38" fontId="0" fillId="0" borderId="7" xfId="0" applyNumberFormat="1" applyBorder="1"/>
    <xf numFmtId="38" fontId="0" fillId="0" borderId="9" xfId="0" applyNumberFormat="1" applyBorder="1"/>
    <xf numFmtId="40" fontId="0" fillId="2" borderId="0" xfId="0" applyNumberFormat="1" applyFill="1"/>
    <xf numFmtId="40" fontId="0" fillId="2" borderId="0" xfId="0" applyNumberFormat="1" applyFill="1" applyBorder="1"/>
    <xf numFmtId="8" fontId="0" fillId="2" borderId="0" xfId="0" applyNumberFormat="1" applyFill="1" applyBorder="1"/>
    <xf numFmtId="0" fontId="7" fillId="2" borderId="0" xfId="6" applyFill="1" applyBorder="1" applyAlignment="1">
      <alignment horizontal="center"/>
    </xf>
    <xf numFmtId="0" fontId="7" fillId="2" borderId="0" xfId="6" applyFill="1"/>
    <xf numFmtId="7" fontId="7" fillId="2" borderId="0" xfId="4" applyNumberFormat="1" applyFont="1" applyFill="1"/>
    <xf numFmtId="0" fontId="7" fillId="2" borderId="0" xfId="1" applyFont="1" applyFill="1"/>
    <xf numFmtId="0" fontId="7" fillId="2" borderId="0" xfId="6" applyFont="1" applyFill="1"/>
    <xf numFmtId="40" fontId="7" fillId="2" borderId="0" xfId="6" applyNumberFormat="1" applyFont="1" applyFill="1"/>
    <xf numFmtId="43" fontId="7" fillId="2" borderId="0" xfId="2" applyFont="1" applyFill="1"/>
    <xf numFmtId="43" fontId="7" fillId="2" borderId="1" xfId="2" applyFont="1" applyFill="1" applyBorder="1"/>
    <xf numFmtId="43" fontId="7" fillId="2" borderId="2" xfId="2" applyFont="1" applyFill="1" applyBorder="1"/>
    <xf numFmtId="40" fontId="7" fillId="2" borderId="2" xfId="6" applyNumberFormat="1" applyFont="1" applyFill="1" applyBorder="1"/>
    <xf numFmtId="40" fontId="7" fillId="2" borderId="0" xfId="1" applyNumberFormat="1" applyFont="1" applyFill="1"/>
    <xf numFmtId="40" fontId="7" fillId="2" borderId="2" xfId="6" applyNumberFormat="1" applyFill="1" applyBorder="1"/>
    <xf numFmtId="40" fontId="4" fillId="2" borderId="0" xfId="0" applyNumberFormat="1" applyFont="1" applyFill="1"/>
    <xf numFmtId="40" fontId="4" fillId="2" borderId="2" xfId="0" applyNumberFormat="1" applyFont="1" applyFill="1" applyBorder="1"/>
    <xf numFmtId="40" fontId="7" fillId="2" borderId="0" xfId="6" applyNumberFormat="1" applyFill="1"/>
    <xf numFmtId="8" fontId="7" fillId="2" borderId="5" xfId="6" applyNumberFormat="1" applyFill="1" applyBorder="1"/>
    <xf numFmtId="40" fontId="0" fillId="0" borderId="0" xfId="0" applyNumberFormat="1" applyFill="1"/>
    <xf numFmtId="38" fontId="0" fillId="0" borderId="0" xfId="0" applyNumberFormat="1" applyFill="1" applyBorder="1"/>
    <xf numFmtId="38" fontId="0" fillId="0" borderId="0" xfId="0" applyNumberFormat="1" applyFill="1"/>
    <xf numFmtId="40" fontId="0" fillId="0" borderId="0" xfId="0" applyNumberFormat="1" applyFill="1" applyBorder="1"/>
    <xf numFmtId="0" fontId="0" fillId="0" borderId="0" xfId="0" applyFill="1"/>
    <xf numFmtId="0" fontId="0" fillId="0" borderId="1" xfId="0" applyBorder="1"/>
    <xf numFmtId="38" fontId="0" fillId="0" borderId="0" xfId="0" applyNumberFormat="1" applyAlignment="1">
      <alignment horizontal="left"/>
    </xf>
    <xf numFmtId="9" fontId="0" fillId="0" borderId="0" xfId="0" applyNumberFormat="1" applyBorder="1"/>
    <xf numFmtId="0" fontId="14" fillId="0" borderId="0" xfId="0" applyFont="1"/>
    <xf numFmtId="167" fontId="0" fillId="2" borderId="0" xfId="0" applyNumberFormat="1" applyFill="1"/>
    <xf numFmtId="0" fontId="0" fillId="0" borderId="0" xfId="0" quotePrefix="1" applyAlignment="1">
      <alignment horizontal="left" indent="2"/>
    </xf>
    <xf numFmtId="14" fontId="0" fillId="0" borderId="0" xfId="0" quotePrefix="1" applyNumberFormat="1"/>
    <xf numFmtId="8" fontId="0" fillId="2" borderId="0" xfId="0" applyNumberFormat="1" applyFill="1"/>
    <xf numFmtId="6" fontId="0" fillId="2" borderId="0" xfId="0" applyNumberFormat="1" applyFill="1" applyAlignment="1">
      <alignment horizontal="right"/>
    </xf>
    <xf numFmtId="38" fontId="0" fillId="2" borderId="1" xfId="0" applyNumberFormat="1" applyFill="1" applyBorder="1"/>
    <xf numFmtId="166" fontId="9" fillId="0" borderId="0" xfId="12" applyAlignment="1"/>
    <xf numFmtId="166" fontId="9" fillId="0" borderId="0" xfId="12" applyFont="1" applyAlignment="1"/>
    <xf numFmtId="0" fontId="9" fillId="0" borderId="0" xfId="12" applyNumberFormat="1" applyFont="1"/>
    <xf numFmtId="0" fontId="9" fillId="0" borderId="0" xfId="12" applyNumberFormat="1" applyFont="1" applyFill="1"/>
    <xf numFmtId="0" fontId="15" fillId="0" borderId="0" xfId="12" applyNumberFormat="1" applyFont="1" applyFill="1" applyAlignment="1" applyProtection="1">
      <alignment horizontal="center"/>
      <protection locked="0"/>
    </xf>
    <xf numFmtId="0" fontId="16" fillId="0" borderId="0" xfId="12" applyNumberFormat="1" applyFont="1" applyFill="1" applyProtection="1">
      <protection locked="0"/>
    </xf>
    <xf numFmtId="0" fontId="17" fillId="0" borderId="0" xfId="12" applyNumberFormat="1" applyFont="1" applyFill="1" applyProtection="1">
      <protection locked="0"/>
    </xf>
    <xf numFmtId="0" fontId="17" fillId="0" borderId="0" xfId="12" applyNumberFormat="1" applyFont="1" applyAlignment="1" applyProtection="1">
      <alignment horizontal="center"/>
      <protection locked="0"/>
    </xf>
    <xf numFmtId="0" fontId="19" fillId="0" borderId="0" xfId="12" applyNumberFormat="1" applyFont="1" applyFill="1" applyAlignment="1" applyProtection="1">
      <alignment horizontal="left"/>
      <protection locked="0"/>
    </xf>
    <xf numFmtId="0" fontId="17" fillId="0" borderId="0" xfId="12" applyNumberFormat="1" applyFont="1" applyFill="1" applyAlignment="1" applyProtection="1">
      <alignment horizontal="right"/>
      <protection locked="0"/>
    </xf>
    <xf numFmtId="168" fontId="9" fillId="0" borderId="0" xfId="12" applyNumberFormat="1" applyAlignment="1"/>
    <xf numFmtId="166" fontId="9" fillId="0" borderId="0" xfId="12" applyBorder="1" applyAlignment="1"/>
    <xf numFmtId="168" fontId="9" fillId="0" borderId="0" xfId="12" applyNumberFormat="1" applyBorder="1" applyAlignment="1"/>
    <xf numFmtId="168" fontId="20" fillId="0" borderId="0" xfId="12" applyNumberFormat="1" applyFont="1" applyBorder="1" applyAlignment="1"/>
    <xf numFmtId="10" fontId="20" fillId="0" borderId="0" xfId="12" applyNumberFormat="1" applyFont="1" applyAlignment="1"/>
    <xf numFmtId="168" fontId="9" fillId="0" borderId="1" xfId="12" applyNumberFormat="1" applyBorder="1" applyAlignment="1"/>
    <xf numFmtId="168" fontId="20" fillId="0" borderId="1" xfId="12" applyNumberFormat="1" applyFont="1" applyBorder="1" applyAlignment="1"/>
    <xf numFmtId="168" fontId="20" fillId="0" borderId="0" xfId="12" applyNumberFormat="1" applyFont="1" applyAlignment="1"/>
    <xf numFmtId="166" fontId="9" fillId="0" borderId="0" xfId="12" quotePrefix="1" applyBorder="1" applyAlignment="1">
      <alignment horizontal="center"/>
    </xf>
    <xf numFmtId="166" fontId="21" fillId="0" borderId="0" xfId="12" quotePrefix="1" applyFont="1" applyBorder="1" applyAlignment="1">
      <alignment horizontal="center"/>
    </xf>
    <xf numFmtId="166" fontId="22" fillId="0" borderId="0" xfId="12" quotePrefix="1" applyFont="1" applyAlignment="1">
      <alignment horizontal="center"/>
    </xf>
    <xf numFmtId="166" fontId="21" fillId="0" borderId="0" xfId="12" applyFont="1" applyAlignment="1">
      <alignment horizontal="centerContinuous"/>
    </xf>
    <xf numFmtId="166" fontId="21" fillId="0" borderId="0" xfId="12" applyFont="1" applyAlignment="1">
      <alignment horizontal="centerContinuous" vertical="center"/>
    </xf>
    <xf numFmtId="166" fontId="21" fillId="0" borderId="0" xfId="12" applyFont="1" applyAlignment="1">
      <alignment horizontal="centerContinuous" vertical="center" wrapText="1"/>
    </xf>
    <xf numFmtId="166" fontId="21" fillId="0" borderId="0" xfId="12" applyFont="1" applyAlignment="1">
      <alignment horizontal="center"/>
    </xf>
    <xf numFmtId="166" fontId="23" fillId="0" borderId="0" xfId="12" applyFont="1" applyAlignment="1">
      <alignment horizontal="center"/>
    </xf>
    <xf numFmtId="166" fontId="23" fillId="0" borderId="0" xfId="12" quotePrefix="1" applyFont="1" applyAlignment="1">
      <alignment horizontal="center"/>
    </xf>
    <xf numFmtId="0" fontId="24" fillId="0" borderId="0" xfId="24" applyFont="1" applyFill="1"/>
    <xf numFmtId="0" fontId="25" fillId="0" borderId="0" xfId="24" applyFont="1" applyFill="1"/>
    <xf numFmtId="0" fontId="25" fillId="0" borderId="0" xfId="24" applyFont="1" applyFill="1" applyAlignment="1">
      <alignment horizontal="right"/>
    </xf>
    <xf numFmtId="0" fontId="26" fillId="5" borderId="0" xfId="24" applyFont="1" applyFill="1"/>
    <xf numFmtId="0" fontId="25" fillId="5" borderId="0" xfId="24" applyFont="1" applyFill="1"/>
    <xf numFmtId="0" fontId="26" fillId="0" borderId="0" xfId="24" applyFont="1" applyFill="1"/>
    <xf numFmtId="0" fontId="27" fillId="0" borderId="0" xfId="24" applyFont="1" applyFill="1"/>
    <xf numFmtId="0" fontId="27" fillId="0" borderId="0" xfId="24" applyFont="1" applyFill="1" applyBorder="1" applyAlignment="1">
      <alignment vertical="center"/>
    </xf>
    <xf numFmtId="0" fontId="28" fillId="0" borderId="0" xfId="24" applyFont="1" applyFill="1" applyBorder="1"/>
    <xf numFmtId="0" fontId="27" fillId="0" borderId="0" xfId="24" applyFont="1" applyFill="1" applyBorder="1" applyAlignment="1">
      <alignment horizontal="center" vertical="center" wrapText="1"/>
    </xf>
    <xf numFmtId="0" fontId="27" fillId="0" borderId="10" xfId="24" applyFont="1" applyFill="1" applyBorder="1" applyAlignment="1">
      <alignment horizontal="center" vertical="center"/>
    </xf>
    <xf numFmtId="0" fontId="27" fillId="0" borderId="0" xfId="24" applyFont="1" applyFill="1" applyBorder="1" applyAlignment="1">
      <alignment horizontal="center" vertical="center"/>
    </xf>
    <xf numFmtId="0" fontId="29" fillId="0" borderId="10" xfId="24" applyFont="1" applyFill="1" applyBorder="1" applyAlignment="1">
      <alignment horizontal="center" vertical="center"/>
    </xf>
    <xf numFmtId="0" fontId="25" fillId="0" borderId="11" xfId="24" applyFont="1" applyFill="1" applyBorder="1" applyAlignment="1">
      <alignment horizontal="center" vertical="center" wrapText="1"/>
    </xf>
    <xf numFmtId="0" fontId="25" fillId="0" borderId="0" xfId="24" applyFont="1" applyFill="1" applyBorder="1" applyAlignment="1">
      <alignment horizontal="center" vertical="center" wrapText="1"/>
    </xf>
    <xf numFmtId="0" fontId="28" fillId="0" borderId="11" xfId="24" applyFont="1" applyFill="1" applyBorder="1" applyAlignment="1">
      <alignment horizontal="center" vertical="center" wrapText="1"/>
    </xf>
    <xf numFmtId="0" fontId="25" fillId="0" borderId="0" xfId="24" applyFont="1" applyFill="1" applyBorder="1" applyAlignment="1">
      <alignment horizontal="left" vertical="center"/>
    </xf>
    <xf numFmtId="15" fontId="25" fillId="0" borderId="0" xfId="24" applyNumberFormat="1" applyFont="1" applyFill="1" applyBorder="1" applyAlignment="1">
      <alignment vertical="center" wrapText="1"/>
    </xf>
    <xf numFmtId="169" fontId="25" fillId="0" borderId="0" xfId="25" applyNumberFormat="1" applyFont="1" applyFill="1" applyBorder="1" applyAlignment="1">
      <alignment horizontal="right" vertical="center" wrapText="1"/>
    </xf>
    <xf numFmtId="169" fontId="25" fillId="0" borderId="0" xfId="25" applyNumberFormat="1" applyFont="1" applyFill="1" applyBorder="1" applyAlignment="1">
      <alignment vertical="center" wrapText="1"/>
    </xf>
    <xf numFmtId="169" fontId="30" fillId="5" borderId="0" xfId="25" applyNumberFormat="1" applyFont="1" applyFill="1" applyBorder="1" applyAlignment="1">
      <alignment vertical="center" wrapText="1"/>
    </xf>
    <xf numFmtId="169" fontId="28" fillId="0" borderId="0" xfId="25" applyNumberFormat="1" applyFont="1" applyFill="1" applyBorder="1" applyAlignment="1">
      <alignment vertical="center" wrapText="1"/>
    </xf>
    <xf numFmtId="169" fontId="28" fillId="5" borderId="0" xfId="25" applyNumberFormat="1" applyFont="1" applyFill="1" applyBorder="1" applyAlignment="1">
      <alignment vertical="center" wrapText="1"/>
    </xf>
    <xf numFmtId="169" fontId="25" fillId="5" borderId="0" xfId="25" applyNumberFormat="1" applyFont="1" applyFill="1" applyBorder="1" applyAlignment="1">
      <alignment vertical="center" wrapText="1"/>
    </xf>
    <xf numFmtId="169" fontId="25" fillId="5" borderId="0" xfId="25" applyNumberFormat="1" applyFont="1" applyFill="1" applyBorder="1" applyAlignment="1">
      <alignment horizontal="right" vertical="center" wrapText="1"/>
    </xf>
    <xf numFmtId="10" fontId="25" fillId="0" borderId="0" xfId="26" applyNumberFormat="1" applyFont="1" applyFill="1"/>
    <xf numFmtId="0" fontId="25" fillId="0" borderId="4" xfId="24" applyFont="1" applyFill="1" applyBorder="1" applyAlignment="1">
      <alignment vertical="center" wrapText="1"/>
    </xf>
    <xf numFmtId="169" fontId="25" fillId="0" borderId="4" xfId="24" applyNumberFormat="1" applyFont="1" applyFill="1" applyBorder="1" applyAlignment="1">
      <alignment vertical="center" wrapText="1"/>
    </xf>
    <xf numFmtId="0" fontId="25" fillId="0" borderId="4" xfId="24" applyFont="1" applyFill="1" applyBorder="1" applyAlignment="1">
      <alignment horizontal="right" vertical="center" wrapText="1"/>
    </xf>
    <xf numFmtId="169" fontId="25" fillId="0" borderId="4" xfId="25" applyNumberFormat="1" applyFont="1" applyFill="1" applyBorder="1" applyAlignment="1">
      <alignment vertical="center" wrapText="1"/>
    </xf>
    <xf numFmtId="0" fontId="25" fillId="0" borderId="0" xfId="24" applyFont="1" applyFill="1" applyBorder="1" applyAlignment="1">
      <alignment horizontal="right" vertical="center" wrapText="1"/>
    </xf>
    <xf numFmtId="169" fontId="28" fillId="0" borderId="4" xfId="24" applyNumberFormat="1" applyFont="1" applyFill="1" applyBorder="1"/>
    <xf numFmtId="0" fontId="25" fillId="0" borderId="0" xfId="24" applyFont="1" applyFill="1" applyBorder="1" applyAlignment="1">
      <alignment vertical="center" wrapText="1"/>
    </xf>
    <xf numFmtId="0" fontId="25" fillId="0" borderId="0" xfId="24" applyFont="1" applyFill="1" applyBorder="1"/>
    <xf numFmtId="0" fontId="25" fillId="0" borderId="0" xfId="24" applyFont="1" applyFill="1" applyBorder="1" applyAlignment="1">
      <alignment horizontal="justify" vertical="center" wrapText="1"/>
    </xf>
    <xf numFmtId="169" fontId="28" fillId="0" borderId="4" xfId="25" applyNumberFormat="1" applyFont="1" applyFill="1" applyBorder="1" applyAlignment="1">
      <alignment vertical="center" wrapText="1"/>
    </xf>
    <xf numFmtId="169" fontId="27" fillId="0" borderId="0" xfId="24" applyNumberFormat="1" applyFont="1" applyFill="1"/>
    <xf numFmtId="169" fontId="29" fillId="0" borderId="0" xfId="24" applyNumberFormat="1" applyFont="1" applyFill="1" applyBorder="1"/>
    <xf numFmtId="169" fontId="25" fillId="0" borderId="0" xfId="25" applyNumberFormat="1" applyFont="1" applyFill="1" applyBorder="1" applyAlignment="1">
      <alignment horizontal="center" vertical="center" wrapText="1"/>
    </xf>
    <xf numFmtId="169" fontId="25" fillId="5" borderId="1" xfId="25" applyNumberFormat="1" applyFont="1" applyFill="1" applyBorder="1" applyAlignment="1">
      <alignment vertical="center" wrapText="1"/>
    </xf>
    <xf numFmtId="0" fontId="25" fillId="0" borderId="0" xfId="24" applyFont="1" applyFill="1" applyBorder="1" applyAlignment="1">
      <alignment horizontal="left" vertical="center" wrapText="1"/>
    </xf>
    <xf numFmtId="170" fontId="25" fillId="0" borderId="0" xfId="24" applyNumberFormat="1" applyFont="1" applyFill="1"/>
    <xf numFmtId="0" fontId="25" fillId="0" borderId="0" xfId="24" applyFont="1" applyFill="1" applyAlignment="1">
      <alignment horizontal="left"/>
    </xf>
    <xf numFmtId="169" fontId="25" fillId="0" borderId="0" xfId="24" applyNumberFormat="1" applyFont="1" applyFill="1"/>
    <xf numFmtId="6" fontId="0" fillId="2" borderId="0" xfId="0" applyNumberFormat="1" applyFill="1" applyBorder="1"/>
    <xf numFmtId="38" fontId="4" fillId="0" borderId="0" xfId="0" applyNumberFormat="1" applyFont="1" applyBorder="1"/>
    <xf numFmtId="38" fontId="0" fillId="0" borderId="0" xfId="0" applyNumberFormat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Continuous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8" fontId="0" fillId="2" borderId="2" xfId="0" applyNumberFormat="1" applyFill="1" applyBorder="1"/>
    <xf numFmtId="0" fontId="8" fillId="2" borderId="0" xfId="0" applyFont="1" applyFill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38" fontId="7" fillId="2" borderId="0" xfId="0" applyNumberFormat="1" applyFont="1" applyFill="1"/>
    <xf numFmtId="164" fontId="7" fillId="2" borderId="0" xfId="0" applyNumberFormat="1" applyFont="1" applyFill="1" applyAlignment="1"/>
    <xf numFmtId="38" fontId="7" fillId="2" borderId="2" xfId="0" applyNumberFormat="1" applyFont="1" applyFill="1" applyBorder="1"/>
    <xf numFmtId="164" fontId="7" fillId="2" borderId="2" xfId="0" applyNumberFormat="1" applyFont="1" applyFill="1" applyBorder="1" applyAlignment="1"/>
    <xf numFmtId="10" fontId="18" fillId="2" borderId="0" xfId="12" applyNumberFormat="1" applyFont="1" applyFill="1" applyProtection="1">
      <protection locked="0"/>
    </xf>
    <xf numFmtId="10" fontId="17" fillId="2" borderId="0" xfId="12" applyNumberFormat="1" applyFont="1" applyFill="1" applyProtection="1">
      <protection locked="0"/>
    </xf>
    <xf numFmtId="49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38" fontId="0" fillId="2" borderId="4" xfId="0" applyNumberFormat="1" applyFill="1" applyBorder="1"/>
    <xf numFmtId="164" fontId="0" fillId="2" borderId="2" xfId="0" applyNumberFormat="1" applyFill="1" applyBorder="1"/>
    <xf numFmtId="49" fontId="0" fillId="2" borderId="0" xfId="0" applyNumberFormat="1" applyFill="1" applyBorder="1" applyAlignment="1">
      <alignment horizontal="center"/>
    </xf>
    <xf numFmtId="0" fontId="5" fillId="0" borderId="0" xfId="27" applyFont="1" applyAlignment="1">
      <alignment horizontal="centerContinuous"/>
    </xf>
    <xf numFmtId="0" fontId="4" fillId="0" borderId="0" xfId="27" applyFont="1" applyAlignment="1">
      <alignment horizontal="centerContinuous"/>
    </xf>
    <xf numFmtId="164" fontId="4" fillId="0" borderId="0" xfId="27" applyNumberFormat="1" applyFont="1" applyAlignment="1">
      <alignment horizontal="centerContinuous"/>
    </xf>
    <xf numFmtId="0" fontId="4" fillId="0" borderId="0" xfId="27" applyFont="1"/>
    <xf numFmtId="0" fontId="5" fillId="2" borderId="0" xfId="27" applyFont="1" applyFill="1" applyAlignment="1">
      <alignment horizontal="centerContinuous"/>
    </xf>
    <xf numFmtId="0" fontId="4" fillId="2" borderId="0" xfId="27" applyFont="1" applyFill="1" applyAlignment="1">
      <alignment horizontal="centerContinuous"/>
    </xf>
    <xf numFmtId="164" fontId="4" fillId="2" borderId="0" xfId="27" applyNumberFormat="1" applyFont="1" applyFill="1" applyAlignment="1">
      <alignment horizontal="centerContinuous"/>
    </xf>
    <xf numFmtId="0" fontId="4" fillId="2" borderId="0" xfId="27" applyFont="1" applyFill="1"/>
    <xf numFmtId="0" fontId="5" fillId="2" borderId="0" xfId="27" applyFont="1" applyFill="1" applyAlignment="1">
      <alignment horizontal="left"/>
    </xf>
    <xf numFmtId="164" fontId="4" fillId="2" borderId="0" xfId="27" applyNumberFormat="1" applyFont="1" applyFill="1"/>
    <xf numFmtId="0" fontId="4" fillId="2" borderId="0" xfId="27" applyFont="1" applyFill="1" applyAlignment="1">
      <alignment horizontal="center"/>
    </xf>
    <xf numFmtId="0" fontId="0" fillId="2" borderId="0" xfId="27" applyFont="1" applyFill="1" applyAlignment="1">
      <alignment horizontal="center"/>
    </xf>
    <xf numFmtId="164" fontId="4" fillId="2" borderId="0" xfId="27" applyNumberFormat="1" applyFont="1" applyFill="1" applyAlignment="1">
      <alignment horizontal="center"/>
    </xf>
    <xf numFmtId="0" fontId="4" fillId="2" borderId="1" xfId="27" applyFont="1" applyFill="1" applyBorder="1" applyAlignment="1">
      <alignment horizontal="center"/>
    </xf>
    <xf numFmtId="164" fontId="4" fillId="2" borderId="1" xfId="27" applyNumberFormat="1" applyFont="1" applyFill="1" applyBorder="1" applyAlignment="1">
      <alignment horizontal="center"/>
    </xf>
    <xf numFmtId="0" fontId="0" fillId="2" borderId="1" xfId="27" applyFont="1" applyFill="1" applyBorder="1" applyAlignment="1">
      <alignment horizontal="center"/>
    </xf>
    <xf numFmtId="0" fontId="0" fillId="2" borderId="0" xfId="27" applyFont="1" applyFill="1"/>
    <xf numFmtId="38" fontId="4" fillId="2" borderId="0" xfId="27" applyNumberFormat="1" applyFont="1" applyFill="1"/>
    <xf numFmtId="38" fontId="4" fillId="0" borderId="0" xfId="27" applyNumberFormat="1" applyFont="1"/>
    <xf numFmtId="164" fontId="4" fillId="0" borderId="0" xfId="27" applyNumberFormat="1" applyFont="1"/>
    <xf numFmtId="0" fontId="27" fillId="0" borderId="12" xfId="24" applyFont="1" applyFill="1" applyBorder="1" applyAlignment="1">
      <alignment horizontal="center" vertical="center"/>
    </xf>
    <xf numFmtId="0" fontId="27" fillId="0" borderId="4" xfId="24" applyFont="1" applyFill="1" applyBorder="1" applyAlignment="1">
      <alignment horizontal="center" vertical="center"/>
    </xf>
    <xf numFmtId="0" fontId="27" fillId="0" borderId="13" xfId="24" applyFont="1" applyFill="1" applyBorder="1" applyAlignment="1">
      <alignment horizontal="center" vertical="center"/>
    </xf>
    <xf numFmtId="0" fontId="27" fillId="0" borderId="8" xfId="24" applyFont="1" applyFill="1" applyBorder="1" applyAlignment="1">
      <alignment horizontal="center" vertical="center"/>
    </xf>
    <xf numFmtId="0" fontId="27" fillId="0" borderId="7" xfId="24" applyFont="1" applyFill="1" applyBorder="1" applyAlignment="1">
      <alignment horizontal="center" vertical="center"/>
    </xf>
    <xf numFmtId="0" fontId="27" fillId="0" borderId="9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29" fillId="0" borderId="7" xfId="24" applyFont="1" applyFill="1" applyBorder="1" applyAlignment="1">
      <alignment horizontal="center" vertical="center"/>
    </xf>
    <xf numFmtId="0" fontId="24" fillId="5" borderId="0" xfId="24" applyFont="1" applyFill="1" applyAlignment="1">
      <alignment horizontal="center"/>
    </xf>
    <xf numFmtId="0" fontId="24" fillId="0" borderId="0" xfId="24" applyFont="1" applyFill="1" applyAlignment="1">
      <alignment horizontal="center"/>
    </xf>
    <xf numFmtId="0" fontId="24" fillId="0" borderId="1" xfId="24" applyFont="1" applyFill="1" applyBorder="1" applyAlignment="1">
      <alignment horizontal="center"/>
    </xf>
    <xf numFmtId="0" fontId="0" fillId="2" borderId="0" xfId="0" applyFont="1" applyFill="1" applyBorder="1"/>
    <xf numFmtId="38" fontId="0" fillId="0" borderId="0" xfId="0" applyNumberFormat="1" applyAlignment="1">
      <alignment horizontal="right"/>
    </xf>
  </cellXfs>
  <cellStyles count="28">
    <cellStyle name="Comma 2" xfId="2" xr:uid="{00000000-0005-0000-0000-000000000000}"/>
    <cellStyle name="Comma 2 2" xfId="16" xr:uid="{00000000-0005-0000-0000-000001000000}"/>
    <cellStyle name="Comma 2 3" xfId="25" xr:uid="{94DB75EA-3534-46C8-A136-6A068248CABF}"/>
    <cellStyle name="Comma 3" xfId="3" xr:uid="{00000000-0005-0000-0000-000002000000}"/>
    <cellStyle name="Comma 4" xfId="13" xr:uid="{00000000-0005-0000-0000-000003000000}"/>
    <cellStyle name="Comma 5" xfId="19" xr:uid="{00000000-0005-0000-0000-000004000000}"/>
    <cellStyle name="Comma 6" xfId="20" xr:uid="{00000000-0005-0000-0000-000005000000}"/>
    <cellStyle name="Currency 2" xfId="4" xr:uid="{00000000-0005-0000-0000-000006000000}"/>
    <cellStyle name="Currency 3" xfId="5" xr:uid="{00000000-0005-0000-0000-000007000000}"/>
    <cellStyle name="Currency 4" xfId="14" xr:uid="{00000000-0005-0000-0000-000008000000}"/>
    <cellStyle name="Currency 5" xfId="18" xr:uid="{00000000-0005-0000-0000-000009000000}"/>
    <cellStyle name="Normal" xfId="0" builtinId="0"/>
    <cellStyle name="Normal 2" xfId="1" xr:uid="{00000000-0005-0000-0000-00000B000000}"/>
    <cellStyle name="Normal 2 2" xfId="12" xr:uid="{00000000-0005-0000-0000-00000C000000}"/>
    <cellStyle name="Normal 2 3" xfId="15" xr:uid="{00000000-0005-0000-0000-00000D000000}"/>
    <cellStyle name="Normal 2 4" xfId="24" xr:uid="{3401C1AA-F4A4-4993-876F-076C4FE4FB10}"/>
    <cellStyle name="Normal 3" xfId="6" xr:uid="{00000000-0005-0000-0000-00000E000000}"/>
    <cellStyle name="Normal 3 2" xfId="17" xr:uid="{00000000-0005-0000-0000-00000F000000}"/>
    <cellStyle name="Normal 3 3" xfId="23" xr:uid="{E6275A96-CE02-4DBE-9E31-8934FCC09036}"/>
    <cellStyle name="Normal 4" xfId="7" xr:uid="{00000000-0005-0000-0000-000010000000}"/>
    <cellStyle name="Normal 4 2" xfId="8" xr:uid="{00000000-0005-0000-0000-000011000000}"/>
    <cellStyle name="Normal 5" xfId="9" xr:uid="{00000000-0005-0000-0000-000012000000}"/>
    <cellStyle name="Normal 6" xfId="10" xr:uid="{00000000-0005-0000-0000-000013000000}"/>
    <cellStyle name="Normal 7" xfId="22" xr:uid="{00000000-0005-0000-0000-000014000000}"/>
    <cellStyle name="Normal 7 2" xfId="27" xr:uid="{2C188F4C-5E5F-444F-A481-8647F3CDBDD2}"/>
    <cellStyle name="Percent 2" xfId="11" xr:uid="{00000000-0005-0000-0000-000015000000}"/>
    <cellStyle name="Percent 2 2" xfId="26" xr:uid="{BEBCD55E-6DD1-453E-9838-2903CF9D1D32}"/>
    <cellStyle name="Percent 3" xfId="21" xr:uid="{00000000-0005-0000-0000-000016000000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PivotTable Style 1" table="0" count="0" xr9:uid="{00000000-0011-0000-FFFF-FFFF00000000}"/>
    <tableStyle name="PivotTable Style 2" table="0" count="1" xr9:uid="{00000000-0011-0000-FFFF-FFFF01000000}">
      <tableStyleElement type="wholeTable" dxfId="1"/>
    </tableStyle>
    <tableStyle name="PivotTable Style 3" table="0" count="1" xr9:uid="{00000000-0011-0000-FFFF-FFFF02000000}">
      <tableStyleElement type="wholeTable" dxfId="0"/>
    </tableStyle>
  </tableStyles>
  <colors>
    <mruColors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77</xdr:row>
      <xdr:rowOff>9525</xdr:rowOff>
    </xdr:from>
    <xdr:to>
      <xdr:col>5</xdr:col>
      <xdr:colOff>95251</xdr:colOff>
      <xdr:row>81</xdr:row>
      <xdr:rowOff>85725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94BCC740-401D-4D5A-AC16-19FE5B0C0849}"/>
            </a:ext>
          </a:extLst>
        </xdr:cNvPr>
        <xdr:cNvSpPr/>
      </xdr:nvSpPr>
      <xdr:spPr>
        <a:xfrm>
          <a:off x="2419351" y="12553950"/>
          <a:ext cx="847725" cy="7239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1386-C2A4-4034-8FAB-9E981C1EF775}">
  <dimension ref="A1:I333"/>
  <sheetViews>
    <sheetView showGridLines="0" tabSelected="1" workbookViewId="0"/>
  </sheetViews>
  <sheetFormatPr defaultColWidth="9.140625" defaultRowHeight="12.75" customHeight="1"/>
  <cols>
    <col min="1" max="1" width="25.140625" style="230" bestFit="1" customWidth="1"/>
    <col min="2" max="2" width="2.7109375" style="230" customWidth="1"/>
    <col min="3" max="3" width="15" style="230" bestFit="1" customWidth="1"/>
    <col min="4" max="4" width="2.7109375" style="230" customWidth="1"/>
    <col min="5" max="5" width="15" style="230" bestFit="1" customWidth="1"/>
    <col min="6" max="6" width="2.7109375" style="230" customWidth="1"/>
    <col min="7" max="7" width="10.85546875" style="246" bestFit="1" customWidth="1"/>
    <col min="8" max="8" width="2.7109375" style="230" customWidth="1"/>
    <col min="9" max="9" width="49.28515625" style="230" bestFit="1" customWidth="1"/>
    <col min="10" max="10" width="2.7109375" style="230" customWidth="1"/>
    <col min="11" max="16384" width="9.140625" style="230"/>
  </cols>
  <sheetData>
    <row r="1" spans="1:9" ht="12.75" customHeight="1">
      <c r="A1" s="227" t="s">
        <v>0</v>
      </c>
      <c r="B1" s="228"/>
      <c r="C1" s="228"/>
      <c r="D1" s="228"/>
      <c r="E1" s="228"/>
      <c r="F1" s="228"/>
      <c r="G1" s="229"/>
      <c r="H1" s="228"/>
      <c r="I1" s="228"/>
    </row>
    <row r="2" spans="1:9" ht="12.75" customHeight="1">
      <c r="A2" s="227" t="s">
        <v>421</v>
      </c>
      <c r="B2" s="228"/>
      <c r="C2" s="228"/>
      <c r="D2" s="228"/>
      <c r="E2" s="228"/>
      <c r="F2" s="228"/>
      <c r="G2" s="229"/>
      <c r="H2" s="228"/>
      <c r="I2" s="228"/>
    </row>
    <row r="3" spans="1:9" ht="12.75" customHeight="1">
      <c r="A3" s="227" t="s">
        <v>436</v>
      </c>
      <c r="B3" s="228"/>
      <c r="C3" s="228"/>
      <c r="D3" s="228"/>
      <c r="E3" s="228"/>
      <c r="F3" s="228"/>
      <c r="G3" s="229"/>
      <c r="H3" s="228"/>
      <c r="I3" s="228"/>
    </row>
    <row r="4" spans="1:9" s="234" customFormat="1" ht="12.75" customHeight="1">
      <c r="A4" s="231" t="s">
        <v>262</v>
      </c>
      <c r="B4" s="232"/>
      <c r="C4" s="232"/>
      <c r="D4" s="232"/>
      <c r="E4" s="232"/>
      <c r="F4" s="232"/>
      <c r="G4" s="233"/>
      <c r="H4" s="232"/>
      <c r="I4" s="232"/>
    </row>
    <row r="5" spans="1:9" s="234" customFormat="1" ht="12.75" customHeight="1">
      <c r="A5" s="231"/>
      <c r="B5" s="232"/>
      <c r="C5" s="232"/>
      <c r="D5" s="232"/>
      <c r="E5" s="232"/>
      <c r="F5" s="232"/>
      <c r="G5" s="233"/>
      <c r="H5" s="232"/>
      <c r="I5" s="232"/>
    </row>
    <row r="6" spans="1:9" s="234" customFormat="1" ht="12.75" customHeight="1">
      <c r="A6" s="235"/>
      <c r="G6" s="236"/>
    </row>
    <row r="7" spans="1:9" s="237" customFormat="1" ht="12.75" customHeight="1">
      <c r="C7" s="238" t="s">
        <v>27</v>
      </c>
      <c r="E7" s="238" t="s">
        <v>27</v>
      </c>
      <c r="G7" s="239"/>
    </row>
    <row r="8" spans="1:9" s="237" customFormat="1" ht="12.75" customHeight="1">
      <c r="A8" s="240" t="s">
        <v>422</v>
      </c>
      <c r="C8" s="240">
        <v>2018</v>
      </c>
      <c r="E8" s="240">
        <v>2019</v>
      </c>
      <c r="G8" s="241" t="s">
        <v>423</v>
      </c>
      <c r="I8" s="242" t="s">
        <v>424</v>
      </c>
    </row>
    <row r="9" spans="1:9" s="234" customFormat="1" ht="12.75" customHeight="1">
      <c r="A9" s="243" t="s">
        <v>425</v>
      </c>
      <c r="C9" s="244">
        <v>319631973</v>
      </c>
      <c r="D9" s="244"/>
      <c r="E9" s="244">
        <v>415610697</v>
      </c>
      <c r="G9" s="236">
        <f>ROUND((E9-C9)/C9,5)</f>
        <v>0.30027999999999999</v>
      </c>
      <c r="I9" s="243" t="s">
        <v>426</v>
      </c>
    </row>
    <row r="10" spans="1:9" s="234" customFormat="1" ht="12.75" customHeight="1">
      <c r="C10" s="244"/>
      <c r="D10" s="244"/>
      <c r="E10" s="244"/>
      <c r="G10" s="236"/>
    </row>
    <row r="11" spans="1:9" s="234" customFormat="1" ht="12.75" customHeight="1">
      <c r="A11" s="243" t="s">
        <v>427</v>
      </c>
      <c r="C11" s="244">
        <v>117650308</v>
      </c>
      <c r="D11" s="244"/>
      <c r="E11" s="244">
        <v>8333966</v>
      </c>
      <c r="G11" s="236">
        <f>ROUND((E11-C11)/C11,5)</f>
        <v>-0.92915999999999999</v>
      </c>
      <c r="I11" s="243" t="s">
        <v>428</v>
      </c>
    </row>
    <row r="12" spans="1:9" s="234" customFormat="1" ht="12.75" customHeight="1">
      <c r="C12" s="244"/>
      <c r="D12" s="244"/>
      <c r="E12" s="244"/>
      <c r="G12" s="236"/>
    </row>
    <row r="13" spans="1:9" s="234" customFormat="1" ht="12.75" customHeight="1">
      <c r="A13" s="243" t="s">
        <v>429</v>
      </c>
      <c r="C13" s="244">
        <v>-2765874</v>
      </c>
      <c r="D13" s="244"/>
      <c r="E13" s="244">
        <v>-4442001</v>
      </c>
      <c r="G13" s="236">
        <f>ROUND((E13-C13)/C13,5)</f>
        <v>0.60599999999999998</v>
      </c>
      <c r="I13" s="243" t="s">
        <v>430</v>
      </c>
    </row>
    <row r="14" spans="1:9" s="234" customFormat="1" ht="12.75" customHeight="1">
      <c r="C14" s="244"/>
      <c r="D14" s="244"/>
      <c r="E14" s="244"/>
      <c r="G14" s="236"/>
    </row>
    <row r="15" spans="1:9" s="234" customFormat="1" ht="12.75" customHeight="1">
      <c r="A15" s="243" t="s">
        <v>431</v>
      </c>
      <c r="C15" s="244">
        <v>-24154070</v>
      </c>
      <c r="D15" s="244"/>
      <c r="E15" s="244">
        <v>-16437180</v>
      </c>
      <c r="G15" s="236">
        <f>ROUND((E15-C15)/C15,5)</f>
        <v>-0.31949</v>
      </c>
      <c r="I15" s="243" t="s">
        <v>432</v>
      </c>
    </row>
    <row r="16" spans="1:9" s="234" customFormat="1" ht="12.75" customHeight="1">
      <c r="C16" s="244"/>
      <c r="D16" s="244"/>
      <c r="E16" s="244"/>
      <c r="G16" s="236"/>
    </row>
    <row r="17" spans="1:9" ht="12.75" customHeight="1">
      <c r="A17" s="243" t="s">
        <v>431</v>
      </c>
      <c r="B17" s="234"/>
      <c r="C17" s="244">
        <v>29818613</v>
      </c>
      <c r="D17" s="244"/>
      <c r="E17" s="244">
        <v>16114117</v>
      </c>
      <c r="F17" s="234"/>
      <c r="G17" s="236">
        <f>ROUND((E17-C17)/C17,5)</f>
        <v>-0.45960000000000001</v>
      </c>
      <c r="H17" s="234"/>
      <c r="I17" s="243" t="s">
        <v>433</v>
      </c>
    </row>
    <row r="18" spans="1:9" ht="12.75" customHeight="1">
      <c r="A18" s="234"/>
      <c r="B18" s="234"/>
      <c r="C18" s="244"/>
      <c r="D18" s="244"/>
      <c r="E18" s="244"/>
      <c r="F18" s="234"/>
      <c r="G18" s="236"/>
      <c r="H18" s="234"/>
      <c r="I18" s="243" t="s">
        <v>434</v>
      </c>
    </row>
    <row r="19" spans="1:9" ht="12.75" customHeight="1">
      <c r="A19" s="234"/>
      <c r="B19" s="234"/>
      <c r="C19" s="244"/>
      <c r="D19" s="244"/>
      <c r="E19" s="244"/>
      <c r="F19" s="234"/>
      <c r="G19" s="236"/>
      <c r="H19" s="234"/>
      <c r="I19" s="243"/>
    </row>
    <row r="20" spans="1:9" ht="12.75" customHeight="1">
      <c r="A20" s="243" t="s">
        <v>30</v>
      </c>
      <c r="B20" s="234"/>
      <c r="C20" s="244">
        <v>107703</v>
      </c>
      <c r="D20" s="244"/>
      <c r="E20" s="244">
        <v>154071</v>
      </c>
      <c r="F20" s="234"/>
      <c r="G20" s="236">
        <f>ROUND((E20-C20)/C20,5)</f>
        <v>0.43052000000000001</v>
      </c>
      <c r="H20" s="234"/>
      <c r="I20" s="243" t="s">
        <v>435</v>
      </c>
    </row>
    <row r="21" spans="1:9" ht="12.75" customHeight="1">
      <c r="A21" s="234"/>
      <c r="B21" s="234"/>
      <c r="C21" s="244"/>
      <c r="D21" s="244"/>
      <c r="E21" s="244"/>
      <c r="F21" s="234"/>
      <c r="G21" s="236"/>
      <c r="H21" s="234"/>
      <c r="I21" s="243"/>
    </row>
    <row r="22" spans="1:9" ht="12.75" customHeight="1">
      <c r="A22" s="234"/>
      <c r="B22" s="234"/>
      <c r="C22" s="244"/>
      <c r="D22" s="244"/>
      <c r="E22" s="244"/>
      <c r="F22" s="234"/>
      <c r="G22" s="236"/>
      <c r="H22" s="234"/>
      <c r="I22" s="243"/>
    </row>
    <row r="23" spans="1:9" ht="12.75" customHeight="1">
      <c r="A23" s="234"/>
      <c r="B23" s="234"/>
      <c r="C23" s="244"/>
      <c r="D23" s="244"/>
      <c r="E23" s="244"/>
      <c r="F23" s="234"/>
      <c r="G23" s="236"/>
      <c r="H23" s="234"/>
      <c r="I23" s="234"/>
    </row>
    <row r="24" spans="1:9" ht="12.75" customHeight="1">
      <c r="A24" s="234"/>
      <c r="B24" s="234"/>
      <c r="C24" s="244"/>
      <c r="D24" s="244"/>
      <c r="E24" s="244"/>
      <c r="F24" s="234"/>
      <c r="G24" s="236"/>
      <c r="H24" s="234"/>
      <c r="I24" s="234"/>
    </row>
    <row r="25" spans="1:9" ht="12.75" customHeight="1">
      <c r="A25" s="234"/>
      <c r="B25" s="234"/>
      <c r="C25" s="244"/>
      <c r="D25" s="244"/>
      <c r="E25" s="244"/>
      <c r="F25" s="234"/>
      <c r="G25" s="236"/>
      <c r="H25" s="234"/>
      <c r="I25" s="234"/>
    </row>
    <row r="26" spans="1:9" ht="12.75" customHeight="1">
      <c r="A26" s="234"/>
      <c r="B26" s="234"/>
      <c r="C26" s="244"/>
      <c r="D26" s="244"/>
      <c r="E26" s="244"/>
      <c r="F26" s="234"/>
      <c r="G26" s="236"/>
      <c r="H26" s="234"/>
      <c r="I26" s="234"/>
    </row>
    <row r="27" spans="1:9" ht="12.75" customHeight="1">
      <c r="C27" s="245"/>
      <c r="D27" s="245"/>
      <c r="E27" s="245"/>
    </row>
    <row r="28" spans="1:9" ht="12.75" customHeight="1">
      <c r="C28" s="245"/>
      <c r="D28" s="245"/>
      <c r="E28" s="245"/>
    </row>
    <row r="29" spans="1:9" ht="12.75" customHeight="1">
      <c r="C29" s="245"/>
      <c r="D29" s="245"/>
      <c r="E29" s="245"/>
    </row>
    <row r="30" spans="1:9" ht="12.75" customHeight="1">
      <c r="C30" s="245"/>
      <c r="D30" s="245"/>
      <c r="E30" s="245"/>
    </row>
    <row r="31" spans="1:9" ht="12.75" customHeight="1">
      <c r="C31" s="245"/>
      <c r="D31" s="245"/>
      <c r="E31" s="245"/>
    </row>
    <row r="32" spans="1:9" ht="12.75" customHeight="1">
      <c r="C32" s="245"/>
      <c r="D32" s="245"/>
      <c r="E32" s="245"/>
    </row>
    <row r="33" spans="3:5" ht="12.75" customHeight="1">
      <c r="C33" s="245"/>
      <c r="D33" s="245"/>
      <c r="E33" s="245"/>
    </row>
    <row r="34" spans="3:5" ht="12.75" customHeight="1">
      <c r="C34" s="245"/>
      <c r="D34" s="245"/>
      <c r="E34" s="245"/>
    </row>
    <row r="35" spans="3:5" ht="12.75" customHeight="1">
      <c r="C35" s="245"/>
      <c r="D35" s="245"/>
      <c r="E35" s="245"/>
    </row>
    <row r="36" spans="3:5" ht="12.75" customHeight="1">
      <c r="C36" s="245"/>
      <c r="D36" s="245"/>
      <c r="E36" s="245"/>
    </row>
    <row r="37" spans="3:5" ht="12.75" customHeight="1">
      <c r="C37" s="245"/>
      <c r="D37" s="245"/>
      <c r="E37" s="245"/>
    </row>
    <row r="38" spans="3:5" ht="12.75" customHeight="1">
      <c r="C38" s="245"/>
      <c r="D38" s="245"/>
      <c r="E38" s="245"/>
    </row>
    <row r="39" spans="3:5" ht="12.75" customHeight="1">
      <c r="C39" s="245"/>
      <c r="D39" s="245"/>
      <c r="E39" s="245"/>
    </row>
    <row r="40" spans="3:5" ht="12.75" customHeight="1">
      <c r="C40" s="245"/>
      <c r="D40" s="245"/>
      <c r="E40" s="245"/>
    </row>
    <row r="41" spans="3:5" ht="12.75" customHeight="1">
      <c r="C41" s="245"/>
      <c r="D41" s="245"/>
      <c r="E41" s="245"/>
    </row>
    <row r="42" spans="3:5" ht="12.75" customHeight="1">
      <c r="C42" s="245"/>
      <c r="D42" s="245"/>
      <c r="E42" s="245"/>
    </row>
    <row r="43" spans="3:5" ht="12.75" customHeight="1">
      <c r="C43" s="245"/>
      <c r="D43" s="245"/>
      <c r="E43" s="245"/>
    </row>
    <row r="44" spans="3:5" ht="12.75" customHeight="1">
      <c r="C44" s="245"/>
      <c r="D44" s="245"/>
      <c r="E44" s="245"/>
    </row>
    <row r="45" spans="3:5" ht="12.75" customHeight="1">
      <c r="C45" s="245"/>
      <c r="D45" s="245"/>
      <c r="E45" s="245"/>
    </row>
    <row r="46" spans="3:5" ht="12.75" customHeight="1">
      <c r="C46" s="245"/>
      <c r="D46" s="245"/>
      <c r="E46" s="245"/>
    </row>
    <row r="47" spans="3:5" ht="12.75" customHeight="1">
      <c r="C47" s="245"/>
      <c r="D47" s="245"/>
      <c r="E47" s="245"/>
    </row>
    <row r="48" spans="3:5" ht="12.75" customHeight="1">
      <c r="C48" s="245"/>
      <c r="D48" s="245"/>
      <c r="E48" s="245"/>
    </row>
    <row r="49" spans="3:5" ht="12.75" customHeight="1">
      <c r="C49" s="245"/>
      <c r="D49" s="245"/>
      <c r="E49" s="245"/>
    </row>
    <row r="50" spans="3:5" ht="12.75" customHeight="1">
      <c r="C50" s="245"/>
      <c r="D50" s="245"/>
      <c r="E50" s="245"/>
    </row>
    <row r="51" spans="3:5" ht="12.75" customHeight="1">
      <c r="C51" s="245"/>
      <c r="D51" s="245"/>
      <c r="E51" s="245"/>
    </row>
    <row r="52" spans="3:5" ht="12.75" customHeight="1">
      <c r="C52" s="245"/>
      <c r="D52" s="245"/>
      <c r="E52" s="245"/>
    </row>
    <row r="53" spans="3:5" ht="12.75" customHeight="1">
      <c r="C53" s="245"/>
      <c r="D53" s="245"/>
      <c r="E53" s="245"/>
    </row>
    <row r="54" spans="3:5" ht="12.75" customHeight="1">
      <c r="C54" s="245"/>
      <c r="D54" s="245"/>
      <c r="E54" s="245"/>
    </row>
    <row r="55" spans="3:5" ht="12.75" customHeight="1">
      <c r="C55" s="245"/>
      <c r="D55" s="245"/>
      <c r="E55" s="245"/>
    </row>
    <row r="56" spans="3:5" ht="12.75" customHeight="1">
      <c r="C56" s="245"/>
      <c r="D56" s="245"/>
      <c r="E56" s="245"/>
    </row>
    <row r="57" spans="3:5" ht="12.75" customHeight="1">
      <c r="C57" s="245"/>
      <c r="D57" s="245"/>
      <c r="E57" s="245"/>
    </row>
    <row r="58" spans="3:5" ht="12.75" customHeight="1">
      <c r="C58" s="245"/>
      <c r="D58" s="245"/>
      <c r="E58" s="245"/>
    </row>
    <row r="59" spans="3:5" ht="12.75" customHeight="1">
      <c r="C59" s="245"/>
      <c r="D59" s="245"/>
      <c r="E59" s="245"/>
    </row>
    <row r="60" spans="3:5" ht="12.75" customHeight="1">
      <c r="C60" s="245"/>
      <c r="D60" s="245"/>
      <c r="E60" s="245"/>
    </row>
    <row r="61" spans="3:5" ht="12.75" customHeight="1">
      <c r="C61" s="245"/>
      <c r="D61" s="245"/>
      <c r="E61" s="245"/>
    </row>
    <row r="62" spans="3:5" ht="12.75" customHeight="1">
      <c r="C62" s="245"/>
      <c r="D62" s="245"/>
      <c r="E62" s="245"/>
    </row>
    <row r="63" spans="3:5" ht="12.75" customHeight="1">
      <c r="C63" s="245"/>
      <c r="D63" s="245"/>
      <c r="E63" s="245"/>
    </row>
    <row r="64" spans="3:5" ht="12.75" customHeight="1">
      <c r="C64" s="245"/>
      <c r="D64" s="245"/>
      <c r="E64" s="245"/>
    </row>
    <row r="65" spans="3:5" ht="12.75" customHeight="1">
      <c r="C65" s="245"/>
      <c r="D65" s="245"/>
      <c r="E65" s="245"/>
    </row>
    <row r="66" spans="3:5" ht="12.75" customHeight="1">
      <c r="C66" s="245"/>
      <c r="D66" s="245"/>
      <c r="E66" s="245"/>
    </row>
    <row r="67" spans="3:5" ht="12.75" customHeight="1">
      <c r="C67" s="245"/>
      <c r="D67" s="245"/>
      <c r="E67" s="245"/>
    </row>
    <row r="68" spans="3:5" ht="12.75" customHeight="1">
      <c r="C68" s="245"/>
      <c r="D68" s="245"/>
      <c r="E68" s="245"/>
    </row>
    <row r="69" spans="3:5" ht="12.75" customHeight="1">
      <c r="C69" s="245"/>
      <c r="D69" s="245"/>
      <c r="E69" s="245"/>
    </row>
    <row r="70" spans="3:5" ht="12.75" customHeight="1">
      <c r="C70" s="245"/>
      <c r="D70" s="245"/>
      <c r="E70" s="245"/>
    </row>
    <row r="71" spans="3:5" ht="12.75" customHeight="1">
      <c r="C71" s="245"/>
      <c r="D71" s="245"/>
      <c r="E71" s="245"/>
    </row>
    <row r="72" spans="3:5" ht="12.75" customHeight="1">
      <c r="C72" s="245"/>
      <c r="D72" s="245"/>
      <c r="E72" s="245"/>
    </row>
    <row r="73" spans="3:5" ht="12.75" customHeight="1">
      <c r="C73" s="245"/>
      <c r="D73" s="245"/>
      <c r="E73" s="245"/>
    </row>
    <row r="74" spans="3:5" ht="12.75" customHeight="1">
      <c r="C74" s="245"/>
      <c r="D74" s="245"/>
      <c r="E74" s="245"/>
    </row>
    <row r="75" spans="3:5" ht="12.75" customHeight="1">
      <c r="C75" s="245"/>
      <c r="D75" s="245"/>
      <c r="E75" s="245"/>
    </row>
    <row r="76" spans="3:5" ht="12.75" customHeight="1">
      <c r="C76" s="245"/>
      <c r="D76" s="245"/>
      <c r="E76" s="245"/>
    </row>
    <row r="77" spans="3:5" ht="12.75" customHeight="1">
      <c r="C77" s="245"/>
      <c r="D77" s="245"/>
      <c r="E77" s="245"/>
    </row>
    <row r="78" spans="3:5" ht="12.75" customHeight="1">
      <c r="C78" s="245"/>
      <c r="D78" s="245"/>
      <c r="E78" s="245"/>
    </row>
    <row r="79" spans="3:5" ht="12.75" customHeight="1">
      <c r="C79" s="245"/>
      <c r="D79" s="245"/>
      <c r="E79" s="245"/>
    </row>
    <row r="80" spans="3:5" ht="12.75" customHeight="1">
      <c r="C80" s="245"/>
      <c r="D80" s="245"/>
      <c r="E80" s="245"/>
    </row>
    <row r="81" spans="3:5" ht="12.75" customHeight="1">
      <c r="C81" s="245"/>
      <c r="D81" s="245"/>
      <c r="E81" s="245"/>
    </row>
    <row r="82" spans="3:5" ht="12.75" customHeight="1">
      <c r="C82" s="245"/>
      <c r="D82" s="245"/>
      <c r="E82" s="245"/>
    </row>
    <row r="83" spans="3:5" ht="12.75" customHeight="1">
      <c r="C83" s="245"/>
      <c r="D83" s="245"/>
      <c r="E83" s="245"/>
    </row>
    <row r="84" spans="3:5" ht="12.75" customHeight="1">
      <c r="C84" s="245"/>
      <c r="D84" s="245"/>
      <c r="E84" s="245"/>
    </row>
    <row r="85" spans="3:5" ht="12.75" customHeight="1">
      <c r="C85" s="245"/>
      <c r="D85" s="245"/>
      <c r="E85" s="245"/>
    </row>
    <row r="86" spans="3:5" ht="12.75" customHeight="1">
      <c r="C86" s="245"/>
      <c r="D86" s="245"/>
      <c r="E86" s="245"/>
    </row>
    <row r="87" spans="3:5" ht="12.75" customHeight="1">
      <c r="C87" s="245"/>
      <c r="D87" s="245"/>
      <c r="E87" s="245"/>
    </row>
    <row r="88" spans="3:5" ht="12.75" customHeight="1">
      <c r="C88" s="245"/>
      <c r="D88" s="245"/>
      <c r="E88" s="245"/>
    </row>
    <row r="89" spans="3:5" ht="12.75" customHeight="1">
      <c r="C89" s="245"/>
      <c r="D89" s="245"/>
      <c r="E89" s="245"/>
    </row>
    <row r="90" spans="3:5" ht="12.75" customHeight="1">
      <c r="C90" s="245"/>
      <c r="D90" s="245"/>
      <c r="E90" s="245"/>
    </row>
    <row r="91" spans="3:5" ht="12.75" customHeight="1">
      <c r="C91" s="245"/>
      <c r="D91" s="245"/>
      <c r="E91" s="245"/>
    </row>
    <row r="92" spans="3:5" ht="12.75" customHeight="1">
      <c r="C92" s="245"/>
      <c r="D92" s="245"/>
      <c r="E92" s="245"/>
    </row>
    <row r="93" spans="3:5" ht="12.75" customHeight="1">
      <c r="C93" s="245"/>
      <c r="D93" s="245"/>
      <c r="E93" s="245"/>
    </row>
    <row r="94" spans="3:5" ht="12.75" customHeight="1">
      <c r="C94" s="245"/>
      <c r="D94" s="245"/>
      <c r="E94" s="245"/>
    </row>
    <row r="95" spans="3:5" ht="12.75" customHeight="1">
      <c r="C95" s="245"/>
      <c r="D95" s="245"/>
      <c r="E95" s="245"/>
    </row>
    <row r="96" spans="3:5" ht="12.75" customHeight="1">
      <c r="C96" s="245"/>
      <c r="D96" s="245"/>
      <c r="E96" s="245"/>
    </row>
    <row r="97" spans="3:5" ht="12.75" customHeight="1">
      <c r="C97" s="245"/>
      <c r="D97" s="245"/>
      <c r="E97" s="245"/>
    </row>
    <row r="98" spans="3:5" ht="12.75" customHeight="1">
      <c r="C98" s="245"/>
      <c r="D98" s="245"/>
      <c r="E98" s="245"/>
    </row>
    <row r="99" spans="3:5" ht="12.75" customHeight="1">
      <c r="C99" s="245"/>
      <c r="D99" s="245"/>
      <c r="E99" s="245"/>
    </row>
    <row r="100" spans="3:5" ht="12.75" customHeight="1">
      <c r="C100" s="245"/>
      <c r="D100" s="245"/>
      <c r="E100" s="245"/>
    </row>
    <row r="101" spans="3:5" ht="12.75" customHeight="1">
      <c r="C101" s="245"/>
      <c r="D101" s="245"/>
      <c r="E101" s="245"/>
    </row>
    <row r="102" spans="3:5" ht="12.75" customHeight="1">
      <c r="C102" s="245"/>
      <c r="D102" s="245"/>
      <c r="E102" s="245"/>
    </row>
    <row r="103" spans="3:5" ht="12.75" customHeight="1">
      <c r="C103" s="245"/>
      <c r="D103" s="245"/>
      <c r="E103" s="245"/>
    </row>
    <row r="104" spans="3:5" ht="12.75" customHeight="1">
      <c r="C104" s="245"/>
      <c r="D104" s="245"/>
      <c r="E104" s="245"/>
    </row>
    <row r="105" spans="3:5" ht="12.75" customHeight="1">
      <c r="C105" s="245"/>
      <c r="D105" s="245"/>
      <c r="E105" s="245"/>
    </row>
    <row r="106" spans="3:5" ht="12.75" customHeight="1">
      <c r="C106" s="245"/>
      <c r="D106" s="245"/>
      <c r="E106" s="245"/>
    </row>
    <row r="107" spans="3:5" ht="12.75" customHeight="1">
      <c r="C107" s="245"/>
      <c r="D107" s="245"/>
      <c r="E107" s="245"/>
    </row>
    <row r="108" spans="3:5" ht="12.75" customHeight="1">
      <c r="C108" s="245"/>
      <c r="D108" s="245"/>
      <c r="E108" s="245"/>
    </row>
    <row r="109" spans="3:5" ht="12.75" customHeight="1">
      <c r="C109" s="245"/>
      <c r="D109" s="245"/>
      <c r="E109" s="245"/>
    </row>
    <row r="110" spans="3:5" ht="12.75" customHeight="1">
      <c r="C110" s="245"/>
      <c r="D110" s="245"/>
      <c r="E110" s="245"/>
    </row>
    <row r="111" spans="3:5" ht="12.75" customHeight="1">
      <c r="C111" s="245"/>
      <c r="D111" s="245"/>
      <c r="E111" s="245"/>
    </row>
    <row r="112" spans="3:5" ht="12.75" customHeight="1">
      <c r="C112" s="245"/>
      <c r="D112" s="245"/>
      <c r="E112" s="245"/>
    </row>
    <row r="113" spans="3:5" ht="12.75" customHeight="1">
      <c r="C113" s="245"/>
      <c r="D113" s="245"/>
      <c r="E113" s="245"/>
    </row>
    <row r="114" spans="3:5" ht="12.75" customHeight="1">
      <c r="C114" s="245"/>
      <c r="D114" s="245"/>
      <c r="E114" s="245"/>
    </row>
    <row r="115" spans="3:5" ht="12.75" customHeight="1">
      <c r="C115" s="245"/>
      <c r="D115" s="245"/>
      <c r="E115" s="245"/>
    </row>
    <row r="116" spans="3:5" ht="12.75" customHeight="1">
      <c r="C116" s="245"/>
      <c r="D116" s="245"/>
      <c r="E116" s="245"/>
    </row>
    <row r="117" spans="3:5" ht="12.75" customHeight="1">
      <c r="C117" s="245"/>
      <c r="D117" s="245"/>
      <c r="E117" s="245"/>
    </row>
    <row r="118" spans="3:5" ht="12.75" customHeight="1">
      <c r="C118" s="245"/>
      <c r="D118" s="245"/>
      <c r="E118" s="245"/>
    </row>
    <row r="119" spans="3:5" ht="12.75" customHeight="1">
      <c r="C119" s="245"/>
      <c r="D119" s="245"/>
      <c r="E119" s="245"/>
    </row>
    <row r="120" spans="3:5" ht="12.75" customHeight="1">
      <c r="C120" s="245"/>
      <c r="D120" s="245"/>
      <c r="E120" s="245"/>
    </row>
    <row r="121" spans="3:5" ht="12.75" customHeight="1">
      <c r="C121" s="245"/>
      <c r="D121" s="245"/>
      <c r="E121" s="245"/>
    </row>
    <row r="122" spans="3:5" ht="12.75" customHeight="1">
      <c r="C122" s="245"/>
      <c r="D122" s="245"/>
      <c r="E122" s="245"/>
    </row>
    <row r="123" spans="3:5" ht="12.75" customHeight="1">
      <c r="C123" s="245"/>
      <c r="D123" s="245"/>
      <c r="E123" s="245"/>
    </row>
    <row r="124" spans="3:5" ht="12.75" customHeight="1">
      <c r="C124" s="245"/>
      <c r="D124" s="245"/>
      <c r="E124" s="245"/>
    </row>
    <row r="125" spans="3:5" ht="12.75" customHeight="1">
      <c r="C125" s="245"/>
      <c r="D125" s="245"/>
      <c r="E125" s="245"/>
    </row>
    <row r="126" spans="3:5" ht="12.75" customHeight="1">
      <c r="C126" s="245"/>
      <c r="D126" s="245"/>
      <c r="E126" s="245"/>
    </row>
    <row r="127" spans="3:5" ht="12.75" customHeight="1">
      <c r="C127" s="245"/>
      <c r="D127" s="245"/>
      <c r="E127" s="245"/>
    </row>
    <row r="128" spans="3:5" ht="12.75" customHeight="1">
      <c r="C128" s="245"/>
      <c r="D128" s="245"/>
      <c r="E128" s="245"/>
    </row>
    <row r="129" spans="3:5" ht="12.75" customHeight="1">
      <c r="C129" s="245"/>
      <c r="D129" s="245"/>
      <c r="E129" s="245"/>
    </row>
    <row r="130" spans="3:5" ht="12.75" customHeight="1">
      <c r="C130" s="245"/>
      <c r="D130" s="245"/>
      <c r="E130" s="245"/>
    </row>
    <row r="131" spans="3:5" ht="12.75" customHeight="1">
      <c r="C131" s="245"/>
      <c r="D131" s="245"/>
      <c r="E131" s="245"/>
    </row>
    <row r="132" spans="3:5" ht="12.75" customHeight="1">
      <c r="C132" s="245"/>
      <c r="D132" s="245"/>
      <c r="E132" s="245"/>
    </row>
    <row r="133" spans="3:5" ht="12.75" customHeight="1">
      <c r="C133" s="245"/>
      <c r="D133" s="245"/>
      <c r="E133" s="245"/>
    </row>
    <row r="134" spans="3:5" ht="12.75" customHeight="1">
      <c r="C134" s="245"/>
      <c r="D134" s="245"/>
      <c r="E134" s="245"/>
    </row>
    <row r="135" spans="3:5" ht="12.75" customHeight="1">
      <c r="C135" s="245"/>
      <c r="D135" s="245"/>
      <c r="E135" s="245"/>
    </row>
    <row r="136" spans="3:5" ht="12.75" customHeight="1">
      <c r="C136" s="245"/>
      <c r="D136" s="245"/>
      <c r="E136" s="245"/>
    </row>
    <row r="137" spans="3:5" ht="12.75" customHeight="1">
      <c r="C137" s="245"/>
      <c r="D137" s="245"/>
      <c r="E137" s="245"/>
    </row>
    <row r="138" spans="3:5" ht="12.75" customHeight="1">
      <c r="C138" s="245"/>
      <c r="D138" s="245"/>
      <c r="E138" s="245"/>
    </row>
    <row r="139" spans="3:5" ht="12.75" customHeight="1">
      <c r="C139" s="245"/>
      <c r="D139" s="245"/>
      <c r="E139" s="245"/>
    </row>
    <row r="140" spans="3:5" ht="12.75" customHeight="1">
      <c r="C140" s="245"/>
      <c r="D140" s="245"/>
      <c r="E140" s="245"/>
    </row>
    <row r="141" spans="3:5" ht="12.75" customHeight="1">
      <c r="C141" s="245"/>
      <c r="D141" s="245"/>
      <c r="E141" s="245"/>
    </row>
    <row r="142" spans="3:5" ht="12.75" customHeight="1">
      <c r="C142" s="245"/>
      <c r="D142" s="245"/>
      <c r="E142" s="245"/>
    </row>
    <row r="143" spans="3:5" ht="12.75" customHeight="1">
      <c r="C143" s="245"/>
      <c r="D143" s="245"/>
      <c r="E143" s="245"/>
    </row>
    <row r="144" spans="3:5" ht="12.75" customHeight="1">
      <c r="C144" s="245"/>
      <c r="D144" s="245"/>
      <c r="E144" s="245"/>
    </row>
    <row r="145" spans="3:5" ht="12.75" customHeight="1">
      <c r="C145" s="245"/>
      <c r="D145" s="245"/>
      <c r="E145" s="245"/>
    </row>
    <row r="146" spans="3:5" ht="12.75" customHeight="1">
      <c r="C146" s="245"/>
      <c r="D146" s="245"/>
      <c r="E146" s="245"/>
    </row>
    <row r="147" spans="3:5" ht="12.75" customHeight="1">
      <c r="C147" s="245"/>
      <c r="D147" s="245"/>
      <c r="E147" s="245"/>
    </row>
    <row r="148" spans="3:5" ht="12.75" customHeight="1">
      <c r="C148" s="245"/>
      <c r="D148" s="245"/>
      <c r="E148" s="245"/>
    </row>
    <row r="149" spans="3:5" ht="12.75" customHeight="1">
      <c r="C149" s="245"/>
      <c r="D149" s="245"/>
      <c r="E149" s="245"/>
    </row>
    <row r="150" spans="3:5" ht="12.75" customHeight="1">
      <c r="C150" s="245"/>
      <c r="D150" s="245"/>
      <c r="E150" s="245"/>
    </row>
    <row r="151" spans="3:5" ht="12.75" customHeight="1">
      <c r="C151" s="245"/>
      <c r="D151" s="245"/>
      <c r="E151" s="245"/>
    </row>
    <row r="152" spans="3:5" ht="12.75" customHeight="1">
      <c r="C152" s="245"/>
      <c r="D152" s="245"/>
      <c r="E152" s="245"/>
    </row>
    <row r="153" spans="3:5" ht="12.75" customHeight="1">
      <c r="C153" s="245"/>
      <c r="D153" s="245"/>
      <c r="E153" s="245"/>
    </row>
    <row r="154" spans="3:5" ht="12.75" customHeight="1">
      <c r="C154" s="245"/>
      <c r="D154" s="245"/>
      <c r="E154" s="245"/>
    </row>
    <row r="155" spans="3:5" ht="12.75" customHeight="1">
      <c r="C155" s="245"/>
      <c r="D155" s="245"/>
      <c r="E155" s="245"/>
    </row>
    <row r="156" spans="3:5" ht="12.75" customHeight="1">
      <c r="C156" s="245"/>
      <c r="D156" s="245"/>
      <c r="E156" s="245"/>
    </row>
    <row r="157" spans="3:5" ht="12.75" customHeight="1">
      <c r="C157" s="245"/>
      <c r="D157" s="245"/>
      <c r="E157" s="245"/>
    </row>
    <row r="158" spans="3:5" ht="12.75" customHeight="1">
      <c r="C158" s="245"/>
      <c r="D158" s="245"/>
      <c r="E158" s="245"/>
    </row>
    <row r="159" spans="3:5" ht="12.75" customHeight="1">
      <c r="C159" s="245"/>
      <c r="D159" s="245"/>
      <c r="E159" s="245"/>
    </row>
    <row r="160" spans="3:5" ht="12.75" customHeight="1">
      <c r="C160" s="245"/>
      <c r="D160" s="245"/>
      <c r="E160" s="245"/>
    </row>
    <row r="161" spans="3:5" ht="12.75" customHeight="1">
      <c r="C161" s="245"/>
      <c r="D161" s="245"/>
      <c r="E161" s="245"/>
    </row>
    <row r="162" spans="3:5" ht="12.75" customHeight="1">
      <c r="C162" s="245"/>
      <c r="D162" s="245"/>
      <c r="E162" s="245"/>
    </row>
    <row r="163" spans="3:5" ht="12.75" customHeight="1">
      <c r="C163" s="245"/>
      <c r="D163" s="245"/>
      <c r="E163" s="245"/>
    </row>
    <row r="164" spans="3:5" ht="12.75" customHeight="1">
      <c r="C164" s="245"/>
      <c r="D164" s="245"/>
      <c r="E164" s="245"/>
    </row>
    <row r="165" spans="3:5" ht="12.75" customHeight="1">
      <c r="C165" s="245"/>
      <c r="D165" s="245"/>
      <c r="E165" s="245"/>
    </row>
    <row r="166" spans="3:5" ht="12.75" customHeight="1">
      <c r="C166" s="245"/>
      <c r="D166" s="245"/>
      <c r="E166" s="245"/>
    </row>
    <row r="167" spans="3:5" ht="12.75" customHeight="1">
      <c r="C167" s="245"/>
      <c r="D167" s="245"/>
      <c r="E167" s="245"/>
    </row>
    <row r="168" spans="3:5" ht="12.75" customHeight="1">
      <c r="C168" s="245"/>
      <c r="D168" s="245"/>
      <c r="E168" s="245"/>
    </row>
    <row r="169" spans="3:5" ht="12.75" customHeight="1">
      <c r="C169" s="245"/>
      <c r="D169" s="245"/>
      <c r="E169" s="245"/>
    </row>
    <row r="170" spans="3:5" ht="12.75" customHeight="1">
      <c r="C170" s="245"/>
      <c r="D170" s="245"/>
      <c r="E170" s="245"/>
    </row>
    <row r="171" spans="3:5" ht="12.75" customHeight="1">
      <c r="C171" s="245"/>
      <c r="D171" s="245"/>
      <c r="E171" s="245"/>
    </row>
    <row r="172" spans="3:5" ht="12.75" customHeight="1">
      <c r="C172" s="245"/>
      <c r="D172" s="245"/>
      <c r="E172" s="245"/>
    </row>
    <row r="173" spans="3:5" ht="12.75" customHeight="1">
      <c r="C173" s="245"/>
      <c r="D173" s="245"/>
      <c r="E173" s="245"/>
    </row>
    <row r="174" spans="3:5" ht="12.75" customHeight="1">
      <c r="C174" s="245"/>
      <c r="D174" s="245"/>
      <c r="E174" s="245"/>
    </row>
    <row r="175" spans="3:5" ht="12.75" customHeight="1">
      <c r="C175" s="245"/>
      <c r="D175" s="245"/>
      <c r="E175" s="245"/>
    </row>
    <row r="176" spans="3:5" ht="12.75" customHeight="1">
      <c r="C176" s="245"/>
      <c r="D176" s="245"/>
      <c r="E176" s="245"/>
    </row>
    <row r="177" spans="3:5" ht="12.75" customHeight="1">
      <c r="C177" s="245"/>
      <c r="D177" s="245"/>
      <c r="E177" s="245"/>
    </row>
    <row r="178" spans="3:5" ht="12.75" customHeight="1">
      <c r="C178" s="245"/>
      <c r="D178" s="245"/>
      <c r="E178" s="245"/>
    </row>
    <row r="179" spans="3:5" ht="12.75" customHeight="1">
      <c r="C179" s="245"/>
      <c r="D179" s="245"/>
      <c r="E179" s="245"/>
    </row>
    <row r="180" spans="3:5" ht="12.75" customHeight="1">
      <c r="C180" s="245"/>
      <c r="D180" s="245"/>
      <c r="E180" s="245"/>
    </row>
    <row r="181" spans="3:5" ht="12.75" customHeight="1">
      <c r="C181" s="245"/>
      <c r="D181" s="245"/>
      <c r="E181" s="245"/>
    </row>
    <row r="182" spans="3:5" ht="12.75" customHeight="1">
      <c r="C182" s="245"/>
      <c r="D182" s="245"/>
      <c r="E182" s="245"/>
    </row>
    <row r="183" spans="3:5" ht="12.75" customHeight="1">
      <c r="C183" s="245"/>
      <c r="D183" s="245"/>
      <c r="E183" s="245"/>
    </row>
    <row r="184" spans="3:5" ht="12.75" customHeight="1">
      <c r="C184" s="245"/>
      <c r="D184" s="245"/>
      <c r="E184" s="245"/>
    </row>
    <row r="185" spans="3:5" ht="12.75" customHeight="1">
      <c r="C185" s="245"/>
      <c r="D185" s="245"/>
      <c r="E185" s="245"/>
    </row>
    <row r="186" spans="3:5" ht="12.75" customHeight="1">
      <c r="C186" s="245"/>
      <c r="D186" s="245"/>
      <c r="E186" s="245"/>
    </row>
    <row r="187" spans="3:5" ht="12.75" customHeight="1">
      <c r="C187" s="245"/>
      <c r="D187" s="245"/>
      <c r="E187" s="245"/>
    </row>
    <row r="188" spans="3:5" ht="12.75" customHeight="1">
      <c r="C188" s="245"/>
      <c r="D188" s="245"/>
      <c r="E188" s="245"/>
    </row>
    <row r="189" spans="3:5" ht="12.75" customHeight="1">
      <c r="C189" s="245"/>
      <c r="D189" s="245"/>
      <c r="E189" s="245"/>
    </row>
    <row r="190" spans="3:5" ht="12.75" customHeight="1">
      <c r="C190" s="245"/>
      <c r="D190" s="245"/>
      <c r="E190" s="245"/>
    </row>
    <row r="191" spans="3:5" ht="12.75" customHeight="1">
      <c r="C191" s="245"/>
      <c r="D191" s="245"/>
      <c r="E191" s="245"/>
    </row>
    <row r="192" spans="3:5" ht="12.75" customHeight="1">
      <c r="C192" s="245"/>
      <c r="D192" s="245"/>
      <c r="E192" s="245"/>
    </row>
    <row r="193" spans="3:5" ht="12.75" customHeight="1">
      <c r="C193" s="245"/>
      <c r="D193" s="245"/>
      <c r="E193" s="245"/>
    </row>
    <row r="194" spans="3:5" ht="12.75" customHeight="1">
      <c r="C194" s="245"/>
      <c r="D194" s="245"/>
      <c r="E194" s="245"/>
    </row>
    <row r="195" spans="3:5" ht="12.75" customHeight="1">
      <c r="C195" s="245"/>
      <c r="D195" s="245"/>
      <c r="E195" s="245"/>
    </row>
    <row r="196" spans="3:5" ht="12.75" customHeight="1">
      <c r="C196" s="245"/>
      <c r="D196" s="245"/>
      <c r="E196" s="245"/>
    </row>
    <row r="197" spans="3:5" ht="12.75" customHeight="1">
      <c r="C197" s="245"/>
      <c r="D197" s="245"/>
      <c r="E197" s="245"/>
    </row>
    <row r="198" spans="3:5" ht="12.75" customHeight="1">
      <c r="C198" s="245"/>
      <c r="D198" s="245"/>
      <c r="E198" s="245"/>
    </row>
    <row r="199" spans="3:5" ht="12.75" customHeight="1">
      <c r="C199" s="245"/>
      <c r="D199" s="245"/>
      <c r="E199" s="245"/>
    </row>
    <row r="200" spans="3:5" ht="12.75" customHeight="1">
      <c r="C200" s="245"/>
      <c r="D200" s="245"/>
      <c r="E200" s="245"/>
    </row>
    <row r="201" spans="3:5" ht="12.75" customHeight="1">
      <c r="C201" s="245"/>
      <c r="D201" s="245"/>
      <c r="E201" s="245"/>
    </row>
    <row r="202" spans="3:5" ht="12.75" customHeight="1">
      <c r="C202" s="245"/>
      <c r="D202" s="245"/>
      <c r="E202" s="245"/>
    </row>
    <row r="203" spans="3:5" ht="12.75" customHeight="1">
      <c r="C203" s="245"/>
      <c r="D203" s="245"/>
      <c r="E203" s="245"/>
    </row>
    <row r="204" spans="3:5" ht="12.75" customHeight="1">
      <c r="C204" s="245"/>
      <c r="D204" s="245"/>
      <c r="E204" s="245"/>
    </row>
    <row r="205" spans="3:5" ht="12.75" customHeight="1">
      <c r="C205" s="245"/>
      <c r="D205" s="245"/>
      <c r="E205" s="245"/>
    </row>
    <row r="206" spans="3:5" ht="12.75" customHeight="1">
      <c r="C206" s="245"/>
      <c r="D206" s="245"/>
      <c r="E206" s="245"/>
    </row>
    <row r="207" spans="3:5" ht="12.75" customHeight="1">
      <c r="C207" s="245"/>
      <c r="D207" s="245"/>
      <c r="E207" s="245"/>
    </row>
    <row r="208" spans="3:5" ht="12.75" customHeight="1">
      <c r="C208" s="245"/>
      <c r="D208" s="245"/>
      <c r="E208" s="245"/>
    </row>
    <row r="209" spans="3:5" ht="12.75" customHeight="1">
      <c r="C209" s="245"/>
      <c r="D209" s="245"/>
      <c r="E209" s="245"/>
    </row>
    <row r="210" spans="3:5" ht="12.75" customHeight="1">
      <c r="C210" s="245"/>
      <c r="D210" s="245"/>
      <c r="E210" s="245"/>
    </row>
    <row r="211" spans="3:5" ht="12.75" customHeight="1">
      <c r="C211" s="245"/>
      <c r="D211" s="245"/>
      <c r="E211" s="245"/>
    </row>
    <row r="212" spans="3:5" ht="12.75" customHeight="1">
      <c r="C212" s="245"/>
      <c r="D212" s="245"/>
      <c r="E212" s="245"/>
    </row>
    <row r="213" spans="3:5" ht="12.75" customHeight="1">
      <c r="C213" s="245"/>
      <c r="D213" s="245"/>
      <c r="E213" s="245"/>
    </row>
    <row r="214" spans="3:5" ht="12.75" customHeight="1">
      <c r="C214" s="245"/>
      <c r="D214" s="245"/>
      <c r="E214" s="245"/>
    </row>
    <row r="215" spans="3:5" ht="12.75" customHeight="1">
      <c r="C215" s="245"/>
      <c r="D215" s="245"/>
      <c r="E215" s="245"/>
    </row>
    <row r="216" spans="3:5" ht="12.75" customHeight="1">
      <c r="C216" s="245"/>
      <c r="D216" s="245"/>
      <c r="E216" s="245"/>
    </row>
    <row r="217" spans="3:5" ht="12.75" customHeight="1">
      <c r="C217" s="245"/>
      <c r="D217" s="245"/>
      <c r="E217" s="245"/>
    </row>
    <row r="218" spans="3:5" ht="12.75" customHeight="1">
      <c r="C218" s="245"/>
      <c r="D218" s="245"/>
      <c r="E218" s="245"/>
    </row>
    <row r="219" spans="3:5" ht="12.75" customHeight="1">
      <c r="C219" s="245"/>
      <c r="D219" s="245"/>
      <c r="E219" s="245"/>
    </row>
    <row r="220" spans="3:5" ht="12.75" customHeight="1">
      <c r="C220" s="245"/>
      <c r="D220" s="245"/>
      <c r="E220" s="245"/>
    </row>
    <row r="221" spans="3:5" ht="12.75" customHeight="1">
      <c r="C221" s="245"/>
      <c r="D221" s="245"/>
      <c r="E221" s="245"/>
    </row>
    <row r="222" spans="3:5" ht="12.75" customHeight="1">
      <c r="C222" s="245"/>
      <c r="D222" s="245"/>
      <c r="E222" s="245"/>
    </row>
    <row r="223" spans="3:5" ht="12.75" customHeight="1">
      <c r="C223" s="245"/>
      <c r="D223" s="245"/>
      <c r="E223" s="245"/>
    </row>
    <row r="224" spans="3:5" ht="12.75" customHeight="1">
      <c r="C224" s="245"/>
      <c r="D224" s="245"/>
      <c r="E224" s="245"/>
    </row>
    <row r="225" spans="3:5" ht="12.75" customHeight="1">
      <c r="C225" s="245"/>
      <c r="D225" s="245"/>
      <c r="E225" s="245"/>
    </row>
    <row r="226" spans="3:5" ht="12.75" customHeight="1">
      <c r="C226" s="245"/>
      <c r="D226" s="245"/>
      <c r="E226" s="245"/>
    </row>
    <row r="227" spans="3:5" ht="12.75" customHeight="1">
      <c r="C227" s="245"/>
      <c r="D227" s="245"/>
      <c r="E227" s="245"/>
    </row>
    <row r="228" spans="3:5" ht="12.75" customHeight="1">
      <c r="C228" s="245"/>
      <c r="D228" s="245"/>
      <c r="E228" s="245"/>
    </row>
    <row r="229" spans="3:5" ht="12.75" customHeight="1">
      <c r="C229" s="245"/>
      <c r="D229" s="245"/>
      <c r="E229" s="245"/>
    </row>
    <row r="230" spans="3:5" ht="12.75" customHeight="1">
      <c r="C230" s="245"/>
      <c r="D230" s="245"/>
      <c r="E230" s="245"/>
    </row>
    <row r="231" spans="3:5" ht="12.75" customHeight="1">
      <c r="C231" s="245"/>
      <c r="D231" s="245"/>
      <c r="E231" s="245"/>
    </row>
    <row r="232" spans="3:5" ht="12.75" customHeight="1">
      <c r="C232" s="245"/>
      <c r="D232" s="245"/>
      <c r="E232" s="245"/>
    </row>
    <row r="233" spans="3:5" ht="12.75" customHeight="1">
      <c r="C233" s="245"/>
      <c r="D233" s="245"/>
      <c r="E233" s="245"/>
    </row>
    <row r="234" spans="3:5" ht="12.75" customHeight="1">
      <c r="C234" s="245"/>
      <c r="D234" s="245"/>
      <c r="E234" s="245"/>
    </row>
    <row r="235" spans="3:5" ht="12.75" customHeight="1">
      <c r="C235" s="245"/>
      <c r="D235" s="245"/>
      <c r="E235" s="245"/>
    </row>
    <row r="236" spans="3:5" ht="12.75" customHeight="1">
      <c r="C236" s="245"/>
      <c r="D236" s="245"/>
      <c r="E236" s="245"/>
    </row>
    <row r="237" spans="3:5" ht="12.75" customHeight="1">
      <c r="C237" s="245"/>
      <c r="D237" s="245"/>
      <c r="E237" s="245"/>
    </row>
    <row r="238" spans="3:5" ht="12.75" customHeight="1">
      <c r="C238" s="245"/>
      <c r="D238" s="245"/>
      <c r="E238" s="245"/>
    </row>
    <row r="239" spans="3:5" ht="12.75" customHeight="1">
      <c r="C239" s="245"/>
      <c r="D239" s="245"/>
      <c r="E239" s="245"/>
    </row>
    <row r="240" spans="3:5" ht="12.75" customHeight="1">
      <c r="C240" s="245"/>
      <c r="D240" s="245"/>
      <c r="E240" s="245"/>
    </row>
    <row r="241" spans="3:5" ht="12.75" customHeight="1">
      <c r="C241" s="245"/>
      <c r="D241" s="245"/>
      <c r="E241" s="245"/>
    </row>
    <row r="242" spans="3:5" ht="12.75" customHeight="1">
      <c r="C242" s="245"/>
      <c r="D242" s="245"/>
      <c r="E242" s="245"/>
    </row>
    <row r="243" spans="3:5" ht="12.75" customHeight="1">
      <c r="C243" s="245"/>
      <c r="D243" s="245"/>
      <c r="E243" s="245"/>
    </row>
    <row r="244" spans="3:5" ht="12.75" customHeight="1">
      <c r="C244" s="245"/>
      <c r="D244" s="245"/>
      <c r="E244" s="245"/>
    </row>
    <row r="245" spans="3:5" ht="12.75" customHeight="1">
      <c r="C245" s="245"/>
      <c r="D245" s="245"/>
      <c r="E245" s="245"/>
    </row>
    <row r="246" spans="3:5" ht="12.75" customHeight="1">
      <c r="C246" s="245"/>
      <c r="D246" s="245"/>
      <c r="E246" s="245"/>
    </row>
    <row r="247" spans="3:5" ht="12.75" customHeight="1">
      <c r="C247" s="245"/>
      <c r="D247" s="245"/>
      <c r="E247" s="245"/>
    </row>
    <row r="248" spans="3:5" ht="12.75" customHeight="1">
      <c r="C248" s="245"/>
      <c r="D248" s="245"/>
      <c r="E248" s="245"/>
    </row>
    <row r="249" spans="3:5" ht="12.75" customHeight="1">
      <c r="C249" s="245"/>
      <c r="D249" s="245"/>
      <c r="E249" s="245"/>
    </row>
    <row r="250" spans="3:5" ht="12.75" customHeight="1">
      <c r="C250" s="245"/>
      <c r="D250" s="245"/>
      <c r="E250" s="245"/>
    </row>
    <row r="251" spans="3:5" ht="12.75" customHeight="1">
      <c r="C251" s="245"/>
      <c r="D251" s="245"/>
      <c r="E251" s="245"/>
    </row>
    <row r="252" spans="3:5" ht="12.75" customHeight="1">
      <c r="C252" s="245"/>
      <c r="D252" s="245"/>
      <c r="E252" s="245"/>
    </row>
    <row r="253" spans="3:5" ht="12.75" customHeight="1">
      <c r="C253" s="245"/>
      <c r="D253" s="245"/>
      <c r="E253" s="245"/>
    </row>
    <row r="254" spans="3:5" ht="12.75" customHeight="1">
      <c r="C254" s="245"/>
      <c r="D254" s="245"/>
      <c r="E254" s="245"/>
    </row>
    <row r="255" spans="3:5" ht="12.75" customHeight="1">
      <c r="C255" s="245"/>
      <c r="D255" s="245"/>
      <c r="E255" s="245"/>
    </row>
    <row r="256" spans="3:5" ht="12.75" customHeight="1">
      <c r="C256" s="245"/>
      <c r="D256" s="245"/>
      <c r="E256" s="245"/>
    </row>
    <row r="257" spans="3:5" ht="12.75" customHeight="1">
      <c r="C257" s="245"/>
      <c r="D257" s="245"/>
      <c r="E257" s="245"/>
    </row>
    <row r="258" spans="3:5" ht="12.75" customHeight="1">
      <c r="C258" s="245"/>
      <c r="D258" s="245"/>
      <c r="E258" s="245"/>
    </row>
    <row r="259" spans="3:5" ht="12.75" customHeight="1">
      <c r="C259" s="245"/>
      <c r="D259" s="245"/>
      <c r="E259" s="245"/>
    </row>
    <row r="260" spans="3:5" ht="12.75" customHeight="1">
      <c r="C260" s="245"/>
      <c r="D260" s="245"/>
      <c r="E260" s="245"/>
    </row>
    <row r="261" spans="3:5" ht="12.75" customHeight="1">
      <c r="C261" s="245"/>
      <c r="D261" s="245"/>
      <c r="E261" s="245"/>
    </row>
    <row r="262" spans="3:5" ht="12.75" customHeight="1">
      <c r="C262" s="245"/>
      <c r="D262" s="245"/>
      <c r="E262" s="245"/>
    </row>
    <row r="263" spans="3:5" ht="12.75" customHeight="1">
      <c r="C263" s="245"/>
      <c r="D263" s="245"/>
      <c r="E263" s="245"/>
    </row>
    <row r="264" spans="3:5" ht="12.75" customHeight="1">
      <c r="C264" s="245"/>
      <c r="D264" s="245"/>
      <c r="E264" s="245"/>
    </row>
    <row r="265" spans="3:5" ht="12.75" customHeight="1">
      <c r="C265" s="245"/>
      <c r="D265" s="245"/>
      <c r="E265" s="245"/>
    </row>
    <row r="266" spans="3:5" ht="12.75" customHeight="1">
      <c r="C266" s="245"/>
      <c r="D266" s="245"/>
      <c r="E266" s="245"/>
    </row>
    <row r="267" spans="3:5" ht="12.75" customHeight="1">
      <c r="C267" s="245"/>
      <c r="D267" s="245"/>
      <c r="E267" s="245"/>
    </row>
    <row r="268" spans="3:5" ht="12.75" customHeight="1">
      <c r="C268" s="245"/>
      <c r="D268" s="245"/>
      <c r="E268" s="245"/>
    </row>
    <row r="269" spans="3:5" ht="12.75" customHeight="1">
      <c r="C269" s="245"/>
      <c r="D269" s="245"/>
      <c r="E269" s="245"/>
    </row>
    <row r="270" spans="3:5" ht="12.75" customHeight="1">
      <c r="C270" s="245"/>
      <c r="D270" s="245"/>
      <c r="E270" s="245"/>
    </row>
    <row r="271" spans="3:5" ht="12.75" customHeight="1">
      <c r="C271" s="245"/>
      <c r="D271" s="245"/>
      <c r="E271" s="245"/>
    </row>
    <row r="272" spans="3:5" ht="12.75" customHeight="1">
      <c r="C272" s="245"/>
      <c r="D272" s="245"/>
      <c r="E272" s="245"/>
    </row>
    <row r="273" spans="3:5" ht="12.75" customHeight="1">
      <c r="C273" s="245"/>
      <c r="D273" s="245"/>
      <c r="E273" s="245"/>
    </row>
    <row r="274" spans="3:5" ht="12.75" customHeight="1">
      <c r="C274" s="245"/>
      <c r="D274" s="245"/>
      <c r="E274" s="245"/>
    </row>
    <row r="275" spans="3:5" ht="12.75" customHeight="1">
      <c r="C275" s="245"/>
      <c r="D275" s="245"/>
      <c r="E275" s="245"/>
    </row>
    <row r="276" spans="3:5" ht="12.75" customHeight="1">
      <c r="C276" s="245"/>
      <c r="D276" s="245"/>
      <c r="E276" s="245"/>
    </row>
    <row r="277" spans="3:5" ht="12.75" customHeight="1">
      <c r="C277" s="245"/>
      <c r="D277" s="245"/>
      <c r="E277" s="245"/>
    </row>
    <row r="278" spans="3:5" ht="12.75" customHeight="1">
      <c r="C278" s="245"/>
      <c r="D278" s="245"/>
      <c r="E278" s="245"/>
    </row>
    <row r="279" spans="3:5" ht="12.75" customHeight="1">
      <c r="C279" s="245"/>
      <c r="D279" s="245"/>
      <c r="E279" s="245"/>
    </row>
    <row r="280" spans="3:5" ht="12.75" customHeight="1">
      <c r="C280" s="245"/>
      <c r="D280" s="245"/>
      <c r="E280" s="245"/>
    </row>
    <row r="281" spans="3:5" ht="12.75" customHeight="1">
      <c r="C281" s="245"/>
      <c r="D281" s="245"/>
      <c r="E281" s="245"/>
    </row>
    <row r="282" spans="3:5" ht="12.75" customHeight="1">
      <c r="C282" s="245"/>
      <c r="D282" s="245"/>
      <c r="E282" s="245"/>
    </row>
    <row r="283" spans="3:5" ht="12.75" customHeight="1">
      <c r="C283" s="245"/>
      <c r="D283" s="245"/>
      <c r="E283" s="245"/>
    </row>
    <row r="284" spans="3:5" ht="12.75" customHeight="1">
      <c r="C284" s="245"/>
      <c r="D284" s="245"/>
      <c r="E284" s="245"/>
    </row>
    <row r="285" spans="3:5" ht="12.75" customHeight="1">
      <c r="C285" s="245"/>
      <c r="D285" s="245"/>
      <c r="E285" s="245"/>
    </row>
    <row r="286" spans="3:5" ht="12.75" customHeight="1">
      <c r="C286" s="245"/>
      <c r="D286" s="245"/>
      <c r="E286" s="245"/>
    </row>
    <row r="287" spans="3:5" ht="12.75" customHeight="1">
      <c r="C287" s="245"/>
      <c r="D287" s="245"/>
      <c r="E287" s="245"/>
    </row>
    <row r="288" spans="3:5" ht="12.75" customHeight="1">
      <c r="C288" s="245"/>
      <c r="D288" s="245"/>
      <c r="E288" s="245"/>
    </row>
    <row r="289" spans="3:5" ht="12.75" customHeight="1">
      <c r="C289" s="245"/>
      <c r="D289" s="245"/>
      <c r="E289" s="245"/>
    </row>
    <row r="290" spans="3:5" ht="12.75" customHeight="1">
      <c r="C290" s="245"/>
      <c r="D290" s="245"/>
      <c r="E290" s="245"/>
    </row>
    <row r="291" spans="3:5" ht="12.75" customHeight="1">
      <c r="C291" s="245"/>
      <c r="D291" s="245"/>
      <c r="E291" s="245"/>
    </row>
    <row r="292" spans="3:5" ht="12.75" customHeight="1">
      <c r="C292" s="245"/>
      <c r="D292" s="245"/>
      <c r="E292" s="245"/>
    </row>
    <row r="293" spans="3:5" ht="12.75" customHeight="1">
      <c r="C293" s="245"/>
      <c r="D293" s="245"/>
      <c r="E293" s="245"/>
    </row>
    <row r="294" spans="3:5" ht="12.75" customHeight="1">
      <c r="C294" s="245"/>
      <c r="D294" s="245"/>
      <c r="E294" s="245"/>
    </row>
    <row r="295" spans="3:5" ht="12.75" customHeight="1">
      <c r="C295" s="245"/>
      <c r="D295" s="245"/>
      <c r="E295" s="245"/>
    </row>
    <row r="296" spans="3:5" ht="12.75" customHeight="1">
      <c r="C296" s="245"/>
      <c r="D296" s="245"/>
      <c r="E296" s="245"/>
    </row>
    <row r="297" spans="3:5" ht="12.75" customHeight="1">
      <c r="C297" s="245"/>
      <c r="D297" s="245"/>
      <c r="E297" s="245"/>
    </row>
    <row r="298" spans="3:5" ht="12.75" customHeight="1">
      <c r="C298" s="245"/>
      <c r="D298" s="245"/>
      <c r="E298" s="245"/>
    </row>
    <row r="299" spans="3:5" ht="12.75" customHeight="1">
      <c r="C299" s="245"/>
      <c r="D299" s="245"/>
      <c r="E299" s="245"/>
    </row>
    <row r="300" spans="3:5" ht="12.75" customHeight="1">
      <c r="C300" s="245"/>
      <c r="D300" s="245"/>
      <c r="E300" s="245"/>
    </row>
    <row r="301" spans="3:5" ht="12.75" customHeight="1">
      <c r="C301" s="245"/>
      <c r="D301" s="245"/>
      <c r="E301" s="245"/>
    </row>
    <row r="302" spans="3:5" ht="12.75" customHeight="1">
      <c r="C302" s="245"/>
      <c r="D302" s="245"/>
      <c r="E302" s="245"/>
    </row>
    <row r="303" spans="3:5" ht="12.75" customHeight="1">
      <c r="C303" s="245"/>
      <c r="D303" s="245"/>
      <c r="E303" s="245"/>
    </row>
    <row r="304" spans="3:5" ht="12.75" customHeight="1">
      <c r="C304" s="245"/>
      <c r="D304" s="245"/>
      <c r="E304" s="245"/>
    </row>
    <row r="305" spans="3:5" ht="12.75" customHeight="1">
      <c r="C305" s="245"/>
      <c r="D305" s="245"/>
      <c r="E305" s="245"/>
    </row>
    <row r="306" spans="3:5" ht="12.75" customHeight="1">
      <c r="C306" s="245"/>
      <c r="D306" s="245"/>
      <c r="E306" s="245"/>
    </row>
    <row r="307" spans="3:5" ht="12.75" customHeight="1">
      <c r="C307" s="245"/>
      <c r="D307" s="245"/>
      <c r="E307" s="245"/>
    </row>
    <row r="308" spans="3:5" ht="12.75" customHeight="1">
      <c r="C308" s="245"/>
      <c r="D308" s="245"/>
      <c r="E308" s="245"/>
    </row>
    <row r="309" spans="3:5" ht="12.75" customHeight="1">
      <c r="C309" s="245"/>
      <c r="D309" s="245"/>
      <c r="E309" s="245"/>
    </row>
    <row r="310" spans="3:5" ht="12.75" customHeight="1">
      <c r="C310" s="245"/>
      <c r="D310" s="245"/>
      <c r="E310" s="245"/>
    </row>
    <row r="311" spans="3:5" ht="12.75" customHeight="1">
      <c r="C311" s="245"/>
      <c r="D311" s="245"/>
      <c r="E311" s="245"/>
    </row>
    <row r="312" spans="3:5" ht="12.75" customHeight="1">
      <c r="C312" s="245"/>
      <c r="D312" s="245"/>
      <c r="E312" s="245"/>
    </row>
    <row r="313" spans="3:5" ht="12.75" customHeight="1">
      <c r="C313" s="245"/>
      <c r="D313" s="245"/>
      <c r="E313" s="245"/>
    </row>
    <row r="314" spans="3:5" ht="12.75" customHeight="1">
      <c r="C314" s="245"/>
      <c r="D314" s="245"/>
      <c r="E314" s="245"/>
    </row>
    <row r="315" spans="3:5" ht="12.75" customHeight="1">
      <c r="C315" s="245"/>
      <c r="D315" s="245"/>
      <c r="E315" s="245"/>
    </row>
    <row r="316" spans="3:5" ht="12.75" customHeight="1">
      <c r="C316" s="245"/>
      <c r="D316" s="245"/>
      <c r="E316" s="245"/>
    </row>
    <row r="317" spans="3:5" ht="12.75" customHeight="1">
      <c r="C317" s="245"/>
      <c r="D317" s="245"/>
      <c r="E317" s="245"/>
    </row>
    <row r="318" spans="3:5" ht="12.75" customHeight="1">
      <c r="C318" s="245"/>
      <c r="D318" s="245"/>
      <c r="E318" s="245"/>
    </row>
    <row r="319" spans="3:5" ht="12.75" customHeight="1">
      <c r="C319" s="245"/>
      <c r="D319" s="245"/>
      <c r="E319" s="245"/>
    </row>
    <row r="320" spans="3:5" ht="12.75" customHeight="1">
      <c r="C320" s="245"/>
      <c r="D320" s="245"/>
      <c r="E320" s="245"/>
    </row>
    <row r="321" spans="3:5" ht="12.75" customHeight="1">
      <c r="C321" s="245"/>
      <c r="D321" s="245"/>
      <c r="E321" s="245"/>
    </row>
    <row r="322" spans="3:5" ht="12.75" customHeight="1">
      <c r="C322" s="245"/>
      <c r="D322" s="245"/>
      <c r="E322" s="245"/>
    </row>
    <row r="323" spans="3:5" ht="12.75" customHeight="1">
      <c r="C323" s="245"/>
      <c r="D323" s="245"/>
      <c r="E323" s="245"/>
    </row>
    <row r="324" spans="3:5" ht="12.75" customHeight="1">
      <c r="C324" s="245"/>
      <c r="D324" s="245"/>
      <c r="E324" s="245"/>
    </row>
    <row r="325" spans="3:5" ht="12.75" customHeight="1">
      <c r="C325" s="245"/>
      <c r="D325" s="245"/>
      <c r="E325" s="245"/>
    </row>
    <row r="326" spans="3:5" ht="12.75" customHeight="1">
      <c r="C326" s="245"/>
      <c r="D326" s="245"/>
      <c r="E326" s="245"/>
    </row>
    <row r="327" spans="3:5" ht="12.75" customHeight="1">
      <c r="C327" s="245"/>
      <c r="D327" s="245"/>
      <c r="E327" s="245"/>
    </row>
    <row r="328" spans="3:5" ht="12.75" customHeight="1">
      <c r="C328" s="245"/>
      <c r="D328" s="245"/>
      <c r="E328" s="245"/>
    </row>
    <row r="329" spans="3:5" ht="12.75" customHeight="1">
      <c r="C329" s="245"/>
      <c r="D329" s="245"/>
      <c r="E329" s="245"/>
    </row>
    <row r="330" spans="3:5" ht="12.75" customHeight="1">
      <c r="C330" s="245"/>
      <c r="D330" s="245"/>
      <c r="E330" s="245"/>
    </row>
    <row r="331" spans="3:5" ht="12.75" customHeight="1">
      <c r="C331" s="245"/>
      <c r="D331" s="245"/>
      <c r="E331" s="245"/>
    </row>
    <row r="332" spans="3:5" ht="12.75" customHeight="1">
      <c r="C332" s="245"/>
      <c r="D332" s="245"/>
      <c r="E332" s="245"/>
    </row>
    <row r="333" spans="3:5" ht="12.75" customHeight="1">
      <c r="C333" s="245"/>
      <c r="D333" s="245"/>
      <c r="E333" s="245"/>
    </row>
  </sheetData>
  <printOptions horizontalCentered="1"/>
  <pageMargins left="0.18" right="0.17" top="1" bottom="0.75" header="0.3" footer="0.3"/>
  <pageSetup orientation="landscape" r:id="rId1"/>
  <headerFooter>
    <oddFooter>&amp;C&amp;F -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1"/>
  <sheetViews>
    <sheetView showGridLines="0" workbookViewId="0"/>
  </sheetViews>
  <sheetFormatPr defaultRowHeight="12.75"/>
  <cols>
    <col min="1" max="1" width="2.7109375" customWidth="1"/>
    <col min="2" max="2" width="29.42578125" bestFit="1" customWidth="1"/>
    <col min="3" max="3" width="2.7109375" customWidth="1"/>
    <col min="4" max="4" width="14" customWidth="1"/>
    <col min="5" max="5" width="2.7109375" customWidth="1"/>
    <col min="6" max="6" width="17.5703125" bestFit="1" customWidth="1"/>
    <col min="7" max="7" width="13.5703125" bestFit="1" customWidth="1"/>
  </cols>
  <sheetData>
    <row r="1" spans="1:7">
      <c r="A1" s="3" t="s">
        <v>0</v>
      </c>
      <c r="B1" s="11"/>
      <c r="C1" s="11"/>
      <c r="D1" s="11"/>
      <c r="E1" s="11"/>
      <c r="F1" s="11"/>
    </row>
    <row r="2" spans="1:7">
      <c r="A2" s="3" t="s">
        <v>2</v>
      </c>
      <c r="B2" s="11"/>
      <c r="C2" s="11"/>
      <c r="D2" s="11"/>
      <c r="E2" s="11"/>
      <c r="F2" s="11"/>
    </row>
    <row r="3" spans="1:7">
      <c r="A3" s="3" t="s">
        <v>35</v>
      </c>
      <c r="B3" s="11"/>
      <c r="C3" s="11"/>
      <c r="D3" s="11"/>
      <c r="E3" s="11"/>
      <c r="F3" s="11"/>
    </row>
    <row r="4" spans="1:7">
      <c r="A4" s="3" t="s">
        <v>262</v>
      </c>
      <c r="B4" s="11"/>
      <c r="C4" s="11"/>
      <c r="D4" s="11"/>
      <c r="E4" s="11"/>
      <c r="F4" s="11"/>
    </row>
    <row r="5" spans="1:7">
      <c r="A5" s="21"/>
    </row>
    <row r="7" spans="1:7">
      <c r="A7" t="s">
        <v>272</v>
      </c>
    </row>
    <row r="8" spans="1:7">
      <c r="B8" t="s">
        <v>205</v>
      </c>
      <c r="F8" s="69">
        <v>80185282</v>
      </c>
    </row>
    <row r="9" spans="1:7">
      <c r="B9" t="s">
        <v>206</v>
      </c>
      <c r="G9" s="64"/>
    </row>
    <row r="10" spans="1:7">
      <c r="B10" s="85" t="s">
        <v>209</v>
      </c>
      <c r="F10" s="53">
        <v>10952740</v>
      </c>
      <c r="G10" s="64"/>
    </row>
    <row r="11" spans="1:7">
      <c r="B11" s="86" t="s">
        <v>208</v>
      </c>
      <c r="G11" s="64"/>
    </row>
    <row r="12" spans="1:7">
      <c r="B12" s="87" t="s">
        <v>207</v>
      </c>
      <c r="F12" s="118">
        <v>8277188</v>
      </c>
      <c r="G12" s="64"/>
    </row>
    <row r="13" spans="1:7" s="64" customFormat="1">
      <c r="A13"/>
      <c r="B13" s="87" t="s">
        <v>287</v>
      </c>
      <c r="F13" s="118">
        <v>19416056</v>
      </c>
    </row>
    <row r="14" spans="1:7" s="64" customFormat="1">
      <c r="A14"/>
      <c r="B14" s="21" t="s">
        <v>40</v>
      </c>
      <c r="C14"/>
      <c r="D14"/>
      <c r="E14"/>
      <c r="F14" s="53">
        <v>26393255</v>
      </c>
    </row>
    <row r="15" spans="1:7" s="64" customFormat="1">
      <c r="A15"/>
      <c r="B15" s="21" t="s">
        <v>60</v>
      </c>
      <c r="F15" s="53">
        <v>54592955</v>
      </c>
    </row>
    <row r="16" spans="1:7" s="64" customFormat="1" ht="13.5" thickBot="1">
      <c r="A16" t="s">
        <v>211</v>
      </c>
      <c r="F16" s="2">
        <f>SUM(F8:F15)</f>
        <v>199817476</v>
      </c>
      <c r="G16"/>
    </row>
    <row r="17" spans="1:7" s="64" customFormat="1" ht="13.5" thickTop="1"/>
    <row r="18" spans="1:7">
      <c r="A18" t="s">
        <v>273</v>
      </c>
      <c r="F18" s="1">
        <f>F10+F12+F13</f>
        <v>38645984</v>
      </c>
    </row>
    <row r="19" spans="1:7">
      <c r="B19" t="s">
        <v>256</v>
      </c>
      <c r="F19" s="1">
        <f>F12+F13</f>
        <v>27693244</v>
      </c>
    </row>
    <row r="20" spans="1:7" s="64" customFormat="1"/>
    <row r="22" spans="1:7">
      <c r="A22" s="121" t="s">
        <v>257</v>
      </c>
      <c r="B22" s="121"/>
      <c r="C22" s="121"/>
      <c r="D22" s="121"/>
      <c r="E22" s="121"/>
      <c r="F22" s="121"/>
    </row>
    <row r="23" spans="1:7">
      <c r="A23" t="s">
        <v>241</v>
      </c>
    </row>
    <row r="24" spans="1:7">
      <c r="B24" t="s">
        <v>240</v>
      </c>
    </row>
    <row r="25" spans="1:7">
      <c r="B25" t="s">
        <v>276</v>
      </c>
      <c r="F25" s="10">
        <v>2578647</v>
      </c>
    </row>
    <row r="26" spans="1:7">
      <c r="A26" s="8"/>
      <c r="B26" s="8"/>
      <c r="C26" s="8"/>
      <c r="D26" s="8"/>
      <c r="E26" s="8"/>
      <c r="F26" s="123"/>
    </row>
    <row r="27" spans="1:7">
      <c r="B27" t="s">
        <v>239</v>
      </c>
    </row>
    <row r="28" spans="1:7">
      <c r="B28" s="64" t="s">
        <v>276</v>
      </c>
      <c r="F28" s="81">
        <v>1.71</v>
      </c>
      <c r="G28" s="64"/>
    </row>
    <row r="29" spans="1:7">
      <c r="B29" t="s">
        <v>277</v>
      </c>
      <c r="F29" s="1">
        <v>3332480</v>
      </c>
      <c r="G29" s="64"/>
    </row>
    <row r="30" spans="1:7">
      <c r="B30" t="s">
        <v>278</v>
      </c>
      <c r="F30" s="31">
        <f>ROUND(F28*F29,0)</f>
        <v>5698541</v>
      </c>
      <c r="G30" s="64"/>
    </row>
    <row r="31" spans="1:7">
      <c r="F31" s="8"/>
      <c r="G31" s="64"/>
    </row>
    <row r="32" spans="1:7">
      <c r="A32" t="s">
        <v>242</v>
      </c>
      <c r="F32" s="10">
        <f>F30+F25</f>
        <v>8277188</v>
      </c>
      <c r="G32" s="64"/>
    </row>
    <row r="33" spans="2:7">
      <c r="G33" s="64"/>
    </row>
    <row r="34" spans="2:7">
      <c r="B34" t="s">
        <v>288</v>
      </c>
      <c r="D34" s="4" t="s">
        <v>220</v>
      </c>
      <c r="F34" s="4" t="s">
        <v>221</v>
      </c>
      <c r="G34" s="64"/>
    </row>
    <row r="35" spans="2:7">
      <c r="B35" s="126" t="s">
        <v>286</v>
      </c>
      <c r="D35" s="10">
        <v>1451978</v>
      </c>
      <c r="F35" s="10">
        <v>69193</v>
      </c>
      <c r="G35" s="64"/>
    </row>
    <row r="36" spans="2:7">
      <c r="B36" s="85" t="s">
        <v>10</v>
      </c>
      <c r="D36" s="1">
        <v>1642032</v>
      </c>
      <c r="F36" s="1">
        <v>77032</v>
      </c>
      <c r="G36" s="64"/>
    </row>
    <row r="37" spans="2:7">
      <c r="B37" s="85" t="s">
        <v>11</v>
      </c>
      <c r="D37" s="1">
        <v>1661051</v>
      </c>
      <c r="F37" s="1">
        <v>71703</v>
      </c>
      <c r="G37" s="64"/>
    </row>
    <row r="38" spans="2:7">
      <c r="B38" s="85" t="s">
        <v>12</v>
      </c>
      <c r="D38" s="1">
        <v>1661080</v>
      </c>
      <c r="F38" s="1">
        <v>72040</v>
      </c>
      <c r="G38" s="64"/>
    </row>
    <row r="39" spans="2:7">
      <c r="B39" s="85" t="s">
        <v>13</v>
      </c>
      <c r="D39" s="1">
        <v>1767100</v>
      </c>
      <c r="F39" s="1">
        <v>71659</v>
      </c>
      <c r="G39" s="64"/>
    </row>
    <row r="40" spans="2:7">
      <c r="B40" s="85" t="s">
        <v>14</v>
      </c>
      <c r="D40" s="1">
        <v>1582508</v>
      </c>
      <c r="F40" s="1">
        <v>72597</v>
      </c>
      <c r="G40" s="64"/>
    </row>
    <row r="41" spans="2:7">
      <c r="B41" s="126" t="s">
        <v>229</v>
      </c>
      <c r="D41" s="1">
        <v>1676739</v>
      </c>
      <c r="F41" s="1">
        <v>71192</v>
      </c>
      <c r="G41" s="64"/>
    </row>
    <row r="42" spans="2:7">
      <c r="B42" s="85" t="s">
        <v>4</v>
      </c>
      <c r="D42" s="1">
        <v>1154970</v>
      </c>
      <c r="F42" s="1">
        <v>115774</v>
      </c>
      <c r="G42" s="64"/>
    </row>
    <row r="43" spans="2:7">
      <c r="B43" s="85" t="s">
        <v>5</v>
      </c>
      <c r="D43" s="1">
        <v>1417501</v>
      </c>
      <c r="F43" s="1">
        <v>124161</v>
      </c>
      <c r="G43" s="64"/>
    </row>
    <row r="44" spans="2:7">
      <c r="B44" s="85" t="s">
        <v>6</v>
      </c>
      <c r="D44" s="1">
        <v>1448173</v>
      </c>
      <c r="F44" s="1">
        <v>110728</v>
      </c>
      <c r="G44" s="64"/>
    </row>
    <row r="45" spans="2:7">
      <c r="B45" s="85" t="s">
        <v>7</v>
      </c>
      <c r="D45" s="1">
        <v>1442767</v>
      </c>
      <c r="F45" s="1">
        <v>109701</v>
      </c>
      <c r="G45" s="64"/>
    </row>
    <row r="46" spans="2:7">
      <c r="B46" s="85" t="s">
        <v>8</v>
      </c>
      <c r="D46" s="1">
        <v>1435512</v>
      </c>
      <c r="F46" s="1">
        <v>108865</v>
      </c>
      <c r="G46" s="64"/>
    </row>
    <row r="47" spans="2:7">
      <c r="B47" s="64"/>
      <c r="D47" s="28">
        <f>SUM(D35:D46)</f>
        <v>18341411</v>
      </c>
      <c r="F47" s="28">
        <f>SUM(F35:F46)</f>
        <v>1074645</v>
      </c>
      <c r="G47" s="64"/>
    </row>
    <row r="48" spans="2:7">
      <c r="D48" s="8"/>
      <c r="E48" s="8"/>
      <c r="F48" s="8"/>
      <c r="G48" s="64"/>
    </row>
    <row r="49" spans="1:7" ht="13.5" thickBot="1">
      <c r="A49" s="85" t="s">
        <v>289</v>
      </c>
      <c r="F49" s="47">
        <f>D47+F47</f>
        <v>19416056</v>
      </c>
      <c r="G49" s="64"/>
    </row>
    <row r="50" spans="1:7" ht="13.5" thickTop="1">
      <c r="G50" s="64"/>
    </row>
    <row r="51" spans="1:7">
      <c r="G51" s="64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4"/>
  <sheetViews>
    <sheetView showGridLines="0" workbookViewId="0"/>
  </sheetViews>
  <sheetFormatPr defaultRowHeight="12.75"/>
  <cols>
    <col min="1" max="1" width="2.7109375" customWidth="1"/>
    <col min="2" max="2" width="6.140625" customWidth="1"/>
    <col min="3" max="3" width="49.85546875" bestFit="1" customWidth="1"/>
    <col min="4" max="4" width="2.7109375" customWidth="1"/>
    <col min="5" max="5" width="10.85546875" bestFit="1" customWidth="1"/>
    <col min="6" max="6" width="2.7109375" style="64" customWidth="1"/>
    <col min="7" max="7" width="10.85546875" style="64" bestFit="1" customWidth="1"/>
    <col min="8" max="8" width="2.7109375" customWidth="1"/>
    <col min="9" max="9" width="10.85546875" bestFit="1" customWidth="1"/>
  </cols>
  <sheetData>
    <row r="1" spans="1:9">
      <c r="A1" s="3" t="s">
        <v>0</v>
      </c>
      <c r="B1" s="3"/>
      <c r="C1" s="11"/>
      <c r="D1" s="11"/>
      <c r="E1" s="11"/>
      <c r="F1" s="11"/>
      <c r="G1" s="11"/>
      <c r="H1" s="11"/>
      <c r="I1" s="11"/>
    </row>
    <row r="2" spans="1:9">
      <c r="A2" s="3" t="s">
        <v>2</v>
      </c>
      <c r="B2" s="3"/>
      <c r="C2" s="11"/>
      <c r="D2" s="11"/>
      <c r="E2" s="11"/>
      <c r="F2" s="11"/>
      <c r="G2" s="11"/>
      <c r="H2" s="11"/>
      <c r="I2" s="11"/>
    </row>
    <row r="3" spans="1:9">
      <c r="A3" s="3" t="s">
        <v>91</v>
      </c>
      <c r="B3" s="3"/>
      <c r="C3" s="11"/>
      <c r="D3" s="11"/>
      <c r="E3" s="11"/>
      <c r="F3" s="11"/>
      <c r="G3" s="11"/>
      <c r="H3" s="11"/>
      <c r="I3" s="11"/>
    </row>
    <row r="4" spans="1:9">
      <c r="A4" s="3" t="str">
        <f>'O&amp;M'!A4</f>
        <v>Projected 2019</v>
      </c>
      <c r="B4" s="3"/>
      <c r="C4" s="11"/>
      <c r="D4" s="11"/>
      <c r="E4" s="11"/>
      <c r="F4" s="11"/>
      <c r="G4" s="11"/>
      <c r="H4" s="11"/>
      <c r="I4" s="11"/>
    </row>
    <row r="5" spans="1:9">
      <c r="A5" s="43"/>
      <c r="B5" s="43"/>
    </row>
    <row r="7" spans="1:9">
      <c r="E7" s="14" t="s">
        <v>263</v>
      </c>
    </row>
    <row r="8" spans="1:9">
      <c r="E8" s="29" t="s">
        <v>23</v>
      </c>
      <c r="G8" s="9"/>
      <c r="I8" s="9" t="s">
        <v>27</v>
      </c>
    </row>
    <row r="9" spans="1:9">
      <c r="A9" t="s">
        <v>92</v>
      </c>
      <c r="E9" s="4" t="s">
        <v>32</v>
      </c>
      <c r="G9" s="4" t="s">
        <v>58</v>
      </c>
      <c r="I9" s="4" t="s">
        <v>291</v>
      </c>
    </row>
    <row r="10" spans="1:9">
      <c r="B10" s="21">
        <v>561.1</v>
      </c>
      <c r="C10" t="s">
        <v>85</v>
      </c>
      <c r="E10" s="10">
        <v>464518</v>
      </c>
      <c r="G10" s="19">
        <f>ROUND(E10/$E$14,5)</f>
        <v>0.22767999999999999</v>
      </c>
      <c r="I10" s="10">
        <f>ROUND($E$21*G10,0)</f>
        <v>474907</v>
      </c>
    </row>
    <row r="11" spans="1:9">
      <c r="B11" s="21">
        <v>561.20000000000005</v>
      </c>
      <c r="C11" t="s">
        <v>87</v>
      </c>
      <c r="E11" s="1">
        <v>958766</v>
      </c>
      <c r="G11" s="19">
        <f t="shared" ref="G11:G13" si="0">ROUND(E11/$E$14,5)</f>
        <v>0.46992</v>
      </c>
      <c r="I11" s="1">
        <f>ROUND($E$21*G11,0)</f>
        <v>980184</v>
      </c>
    </row>
    <row r="12" spans="1:9">
      <c r="B12" s="21">
        <v>561.40000000000009</v>
      </c>
      <c r="C12" t="s">
        <v>69</v>
      </c>
      <c r="E12" s="1">
        <v>575086</v>
      </c>
      <c r="G12" s="19">
        <f t="shared" si="0"/>
        <v>0.28187000000000001</v>
      </c>
      <c r="I12" s="1">
        <f>ROUND($E$21*G12,0)</f>
        <v>587939</v>
      </c>
    </row>
    <row r="13" spans="1:9">
      <c r="B13" s="21">
        <v>561.80000000000018</v>
      </c>
      <c r="C13" t="s">
        <v>70</v>
      </c>
      <c r="E13" s="1">
        <v>41893</v>
      </c>
      <c r="G13" s="19">
        <f t="shared" si="0"/>
        <v>2.053E-2</v>
      </c>
      <c r="I13" s="1">
        <f>ROUND($E$21*G13,0)</f>
        <v>42823</v>
      </c>
    </row>
    <row r="14" spans="1:9" ht="13.5" thickBot="1">
      <c r="A14" t="s">
        <v>93</v>
      </c>
      <c r="E14" s="2">
        <f>SUM(E10:E13)</f>
        <v>2040263</v>
      </c>
      <c r="G14" s="46">
        <f>SUM(G10:G13)</f>
        <v>1</v>
      </c>
      <c r="I14" s="2">
        <f>SUM(I10:I13)</f>
        <v>2085853</v>
      </c>
    </row>
    <row r="15" spans="1:9" ht="13.5" thickTop="1"/>
    <row r="17" spans="1:5">
      <c r="A17" t="s">
        <v>274</v>
      </c>
    </row>
    <row r="18" spans="1:5">
      <c r="B18" s="64" t="s">
        <v>401</v>
      </c>
      <c r="E18" s="69">
        <f>1062234-19307</f>
        <v>1042927</v>
      </c>
    </row>
    <row r="19" spans="1:5">
      <c r="B19" t="s">
        <v>254</v>
      </c>
      <c r="E19" s="1">
        <f>ROUND(E18/6,0)</f>
        <v>173821</v>
      </c>
    </row>
    <row r="20" spans="1:5">
      <c r="E20" s="1"/>
    </row>
    <row r="21" spans="1:5">
      <c r="B21" t="s">
        <v>279</v>
      </c>
      <c r="E21" s="1">
        <f>ROUND(E19*12,0)</f>
        <v>2085852</v>
      </c>
    </row>
    <row r="22" spans="1:5">
      <c r="E22" s="1"/>
    </row>
    <row r="25" spans="1:5">
      <c r="A25" s="64"/>
      <c r="B25" s="64"/>
      <c r="C25" s="64"/>
      <c r="D25" s="64"/>
      <c r="E25" s="64"/>
    </row>
    <row r="26" spans="1:5">
      <c r="A26" s="64"/>
      <c r="B26" s="64"/>
      <c r="C26" s="64"/>
      <c r="D26" s="64"/>
      <c r="E26" s="64"/>
    </row>
    <row r="27" spans="1:5">
      <c r="A27" s="64"/>
      <c r="B27" s="64"/>
      <c r="C27" s="64"/>
      <c r="D27" s="64"/>
      <c r="E27" s="64"/>
    </row>
    <row r="28" spans="1:5">
      <c r="A28" s="64"/>
      <c r="B28" s="64"/>
      <c r="C28" s="64"/>
      <c r="D28" s="64"/>
      <c r="E28" s="64"/>
    </row>
    <row r="29" spans="1:5">
      <c r="A29" s="64"/>
      <c r="B29" s="64"/>
      <c r="C29" s="64"/>
      <c r="D29" s="64"/>
      <c r="E29" s="64"/>
    </row>
    <row r="30" spans="1:5">
      <c r="A30" s="64"/>
      <c r="B30" s="64"/>
      <c r="C30" s="64"/>
      <c r="D30" s="64"/>
      <c r="E30" s="64"/>
    </row>
    <row r="31" spans="1:5">
      <c r="A31" s="64"/>
      <c r="B31" s="64"/>
      <c r="C31" s="64"/>
      <c r="D31" s="64"/>
      <c r="E31" s="64"/>
    </row>
    <row r="32" spans="1:5">
      <c r="A32" s="64"/>
      <c r="B32" s="64"/>
      <c r="C32" s="64"/>
      <c r="D32" s="64"/>
      <c r="E32" s="64"/>
    </row>
    <row r="33" spans="1:5">
      <c r="A33" s="64"/>
      <c r="B33" s="64"/>
      <c r="C33" s="64"/>
      <c r="D33" s="64"/>
      <c r="E33" s="64"/>
    </row>
    <row r="34" spans="1:5">
      <c r="A34" s="64"/>
      <c r="B34" s="64"/>
      <c r="C34" s="64"/>
      <c r="D34" s="64"/>
      <c r="E34" s="64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8"/>
  <sheetViews>
    <sheetView showGridLines="0" workbookViewId="0"/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0.7109375" bestFit="1" customWidth="1"/>
    <col min="9" max="9" width="2.7109375" customWidth="1"/>
    <col min="10" max="10" width="10.7109375" bestFit="1" customWidth="1"/>
    <col min="11" max="11" width="2.7109375" customWidth="1"/>
    <col min="12" max="12" width="10.7109375" bestFit="1" customWidth="1"/>
    <col min="13" max="13" width="2.7109375" customWidth="1"/>
    <col min="14" max="19" width="9.7109375" bestFit="1" customWidth="1"/>
  </cols>
  <sheetData>
    <row r="1" spans="1:14">
      <c r="A1" s="3" t="s">
        <v>0</v>
      </c>
      <c r="B1" s="11"/>
      <c r="C1" s="11"/>
      <c r="D1" s="3"/>
      <c r="E1" s="11"/>
      <c r="F1" s="11"/>
      <c r="G1" s="11"/>
      <c r="H1" s="11"/>
      <c r="I1" s="11"/>
      <c r="J1" s="11"/>
      <c r="K1" s="11" t="s">
        <v>117</v>
      </c>
      <c r="L1" s="11"/>
      <c r="M1" s="11"/>
      <c r="N1" s="11"/>
    </row>
    <row r="2" spans="1:14">
      <c r="A2" s="3" t="s">
        <v>2</v>
      </c>
      <c r="B2" s="11"/>
      <c r="C2" s="11"/>
      <c r="D2" s="3"/>
      <c r="E2" s="11"/>
      <c r="F2" s="11"/>
      <c r="G2" s="11"/>
      <c r="H2" s="11"/>
      <c r="I2" s="11"/>
      <c r="J2" s="11"/>
      <c r="K2" s="11" t="s">
        <v>117</v>
      </c>
      <c r="L2" s="11"/>
      <c r="M2" s="11"/>
      <c r="N2" s="11"/>
    </row>
    <row r="3" spans="1:14">
      <c r="A3" s="3" t="s">
        <v>81</v>
      </c>
      <c r="B3" s="11"/>
      <c r="C3" s="11"/>
      <c r="D3" s="3"/>
      <c r="E3" s="11"/>
      <c r="F3" s="11"/>
      <c r="G3" s="11"/>
      <c r="H3" s="11"/>
      <c r="I3" s="11"/>
      <c r="J3" s="11"/>
      <c r="K3" s="11" t="s">
        <v>117</v>
      </c>
      <c r="L3" s="11"/>
      <c r="M3" s="11"/>
      <c r="N3" s="11"/>
    </row>
    <row r="4" spans="1:14">
      <c r="A4" s="3" t="s">
        <v>262</v>
      </c>
      <c r="B4" s="11"/>
      <c r="C4" s="11"/>
      <c r="D4" s="3"/>
      <c r="E4" s="11"/>
      <c r="F4" s="11"/>
      <c r="G4" s="11"/>
      <c r="H4" s="11"/>
      <c r="I4" s="11"/>
      <c r="J4" s="11"/>
      <c r="K4" s="11" t="s">
        <v>117</v>
      </c>
      <c r="L4" s="11"/>
      <c r="M4" s="11"/>
      <c r="N4" s="11"/>
    </row>
    <row r="5" spans="1:14">
      <c r="A5" s="3"/>
      <c r="B5" s="11"/>
      <c r="C5" s="11"/>
      <c r="D5" s="3"/>
      <c r="E5" s="11"/>
      <c r="F5" s="11"/>
      <c r="G5" s="11"/>
      <c r="H5" s="11"/>
      <c r="I5" s="11"/>
      <c r="J5" s="11"/>
      <c r="K5" s="11" t="s">
        <v>117</v>
      </c>
      <c r="L5" s="11"/>
      <c r="M5" s="11"/>
      <c r="N5" s="11"/>
    </row>
    <row r="6" spans="1:14">
      <c r="A6" s="34"/>
      <c r="D6" s="34"/>
    </row>
    <row r="7" spans="1:14">
      <c r="J7" s="9" t="s">
        <v>23</v>
      </c>
    </row>
    <row r="8" spans="1:14">
      <c r="J8" s="4" t="s">
        <v>32</v>
      </c>
    </row>
    <row r="9" spans="1:14">
      <c r="A9" t="s">
        <v>82</v>
      </c>
    </row>
    <row r="10" spans="1:14">
      <c r="B10" t="s">
        <v>83</v>
      </c>
      <c r="J10" s="9"/>
    </row>
    <row r="11" spans="1:14">
      <c r="C11" t="s">
        <v>84</v>
      </c>
      <c r="F11" s="10"/>
    </row>
    <row r="12" spans="1:14">
      <c r="D12" t="s">
        <v>85</v>
      </c>
      <c r="F12" s="10"/>
      <c r="J12" s="10">
        <f>'Acct 561 Load Dispatching'!I10</f>
        <v>474907</v>
      </c>
    </row>
    <row r="13" spans="1:14">
      <c r="C13" t="s">
        <v>86</v>
      </c>
      <c r="F13" s="10"/>
    </row>
    <row r="14" spans="1:14">
      <c r="D14" t="s">
        <v>87</v>
      </c>
      <c r="F14" s="10"/>
      <c r="J14" s="1">
        <f>'Acct 561 Load Dispatching'!I11</f>
        <v>980184</v>
      </c>
    </row>
    <row r="15" spans="1:14" ht="13.5" thickBot="1">
      <c r="F15" s="1"/>
      <c r="J15" s="2">
        <f>SUM(J11:J14)</f>
        <v>1455091</v>
      </c>
    </row>
    <row r="16" spans="1:14" ht="13.5" thickTop="1">
      <c r="F16" s="1"/>
      <c r="J16" s="13"/>
    </row>
    <row r="17" spans="6:20">
      <c r="F17" s="1"/>
      <c r="J17" s="13"/>
    </row>
    <row r="18" spans="6:20"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EM20"/>
  <sheetViews>
    <sheetView showGridLines="0" zoomScaleNormal="100" workbookViewId="0"/>
  </sheetViews>
  <sheetFormatPr defaultRowHeight="12.75"/>
  <cols>
    <col min="1" max="1" width="2.7109375" customWidth="1"/>
    <col min="2" max="2" width="2.7109375" style="29" customWidth="1"/>
    <col min="3" max="3" width="22.42578125" style="29" customWidth="1"/>
    <col min="4" max="4" width="2.7109375" customWidth="1"/>
    <col min="6" max="6" width="2.7109375" customWidth="1"/>
    <col min="7" max="7" width="11.7109375" bestFit="1" customWidth="1"/>
    <col min="8" max="8" width="2.7109375" customWidth="1"/>
    <col min="9" max="9" width="11.7109375" bestFit="1" customWidth="1"/>
  </cols>
  <sheetData>
    <row r="1" spans="1:16367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/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/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/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/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/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/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/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/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/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/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/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/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/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/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/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/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/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/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/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/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/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/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/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/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/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/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/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/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/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/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/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/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/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/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/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/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/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/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/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/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/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/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/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/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/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/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/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/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/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/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/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/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/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/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/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/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/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/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/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/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/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/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/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/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/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/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/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/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/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/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/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/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/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/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/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/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/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/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/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/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/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/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/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/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/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/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/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/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/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/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/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/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/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/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/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/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/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/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/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/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/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/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/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/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/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/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/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/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/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/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/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/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/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/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/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/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/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/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/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/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/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/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/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/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/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/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/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/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/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/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/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/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/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/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/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/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/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/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/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/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/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/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/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/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/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/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/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/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/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/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/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/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/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/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/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/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/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/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/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/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/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/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/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/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/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/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/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/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/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/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/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/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/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/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/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/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/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/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/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/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/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/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/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/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/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/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/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/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/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/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/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/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/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/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/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/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/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/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/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/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/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/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/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/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/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/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/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/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/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/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/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/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/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/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/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/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/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/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/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/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/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/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/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/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/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/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/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/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/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/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/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/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/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/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/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/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/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/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/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/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/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/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/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/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/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</row>
    <row r="2" spans="1:16367">
      <c r="A2" s="3" t="s">
        <v>2</v>
      </c>
      <c r="B2" s="3"/>
      <c r="C2" s="3"/>
      <c r="D2" s="3"/>
      <c r="E2" s="3"/>
      <c r="F2" s="3"/>
      <c r="G2" s="3"/>
      <c r="H2" s="3"/>
      <c r="I2" s="3"/>
    </row>
    <row r="3" spans="1:16367">
      <c r="A3" s="3" t="s">
        <v>152</v>
      </c>
      <c r="B3" s="3"/>
      <c r="C3" s="3"/>
      <c r="D3" s="3"/>
      <c r="E3" s="3"/>
      <c r="F3" s="3"/>
      <c r="G3" s="3"/>
      <c r="H3" s="3"/>
      <c r="I3" s="3"/>
    </row>
    <row r="4" spans="1:16367">
      <c r="A4" s="3" t="str">
        <f>'Acct 561 Load Dispatching'!A4</f>
        <v>Projected 2019</v>
      </c>
      <c r="B4" s="3"/>
      <c r="C4" s="3"/>
      <c r="D4" s="3"/>
      <c r="E4" s="3"/>
      <c r="F4" s="3"/>
      <c r="G4" s="3"/>
      <c r="H4" s="3"/>
      <c r="I4" s="3"/>
    </row>
    <row r="7" spans="1:16367">
      <c r="I7" s="64" t="s">
        <v>27</v>
      </c>
    </row>
    <row r="8" spans="1:16367">
      <c r="A8" t="s">
        <v>158</v>
      </c>
      <c r="E8" s="4" t="s">
        <v>157</v>
      </c>
      <c r="G8" s="4">
        <v>2017</v>
      </c>
      <c r="I8" s="4" t="s">
        <v>280</v>
      </c>
    </row>
    <row r="9" spans="1:16367">
      <c r="B9" s="21" t="s">
        <v>153</v>
      </c>
      <c r="C9" s="21"/>
      <c r="E9" s="29">
        <v>5110</v>
      </c>
      <c r="F9" s="1"/>
      <c r="G9" s="69">
        <v>679884</v>
      </c>
      <c r="H9" s="10"/>
      <c r="I9" s="10">
        <f>ROUND(G9*$I$19,0)</f>
        <v>694841</v>
      </c>
    </row>
    <row r="10" spans="1:16367">
      <c r="B10" s="21" t="s">
        <v>154</v>
      </c>
      <c r="C10" s="21"/>
      <c r="E10" s="29">
        <v>5120</v>
      </c>
      <c r="F10" s="1"/>
      <c r="G10" s="53">
        <v>37862</v>
      </c>
      <c r="I10" s="1">
        <f>ROUND(G10*$I$19,0)</f>
        <v>38695</v>
      </c>
    </row>
    <row r="11" spans="1:16367">
      <c r="B11" s="21" t="s">
        <v>155</v>
      </c>
      <c r="C11" s="21"/>
      <c r="E11" s="29">
        <v>5130</v>
      </c>
      <c r="F11" s="1"/>
      <c r="G11" s="53">
        <v>1292</v>
      </c>
      <c r="I11" s="1">
        <f>ROUND(G11*$I$19,0)</f>
        <v>1320</v>
      </c>
    </row>
    <row r="12" spans="1:16367">
      <c r="B12" s="21" t="s">
        <v>156</v>
      </c>
      <c r="C12" s="21"/>
      <c r="E12" s="29">
        <v>5131</v>
      </c>
      <c r="F12" s="1"/>
      <c r="G12" s="53">
        <v>68217</v>
      </c>
      <c r="I12" s="1">
        <f>ROUND(G12*$I$19,0)</f>
        <v>69718</v>
      </c>
    </row>
    <row r="13" spans="1:16367" ht="13.5" thickBot="1">
      <c r="F13" s="1"/>
      <c r="G13" s="2">
        <f>SUM(G9:G12)</f>
        <v>787255</v>
      </c>
      <c r="I13" s="2">
        <f>SUM(I9:I12)</f>
        <v>804574</v>
      </c>
    </row>
    <row r="14" spans="1:16367" ht="13.5" thickTop="1"/>
    <row r="15" spans="1:16367">
      <c r="A15" t="s">
        <v>159</v>
      </c>
    </row>
    <row r="16" spans="1:16367">
      <c r="A16" t="s">
        <v>210</v>
      </c>
    </row>
    <row r="17" spans="1:9">
      <c r="A17" s="44"/>
      <c r="B17" s="64"/>
      <c r="C17" s="122" t="s">
        <v>281</v>
      </c>
      <c r="D17" s="64"/>
      <c r="E17" s="64"/>
      <c r="G17" s="1"/>
      <c r="I17" s="1">
        <f>'Acct 561 Load Dispatching'!E14</f>
        <v>2040263</v>
      </c>
    </row>
    <row r="18" spans="1:9">
      <c r="C18" s="21" t="s">
        <v>282</v>
      </c>
      <c r="H18" s="1"/>
      <c r="I18" s="1">
        <f>'Acct 561 Load Dispatching'!I14</f>
        <v>2085853</v>
      </c>
    </row>
    <row r="19" spans="1:9">
      <c r="C19" s="29" t="s">
        <v>253</v>
      </c>
      <c r="H19" s="1"/>
      <c r="I19" s="76">
        <f>ROUND(I18/I17,3)</f>
        <v>1.022</v>
      </c>
    </row>
    <row r="20" spans="1:9">
      <c r="H20" s="1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9"/>
  <sheetViews>
    <sheetView showGridLines="0" workbookViewId="0"/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1.85546875" customWidth="1"/>
    <col min="9" max="9" width="2.7109375" customWidth="1"/>
    <col min="10" max="10" width="11.7109375" bestFit="1" customWidth="1"/>
    <col min="11" max="11" width="2.7109375" customWidth="1"/>
    <col min="12" max="12" width="10.7109375" bestFit="1" customWidth="1"/>
    <col min="13" max="13" width="2.7109375" customWidth="1"/>
    <col min="14" max="14" width="12.28515625" customWidth="1"/>
    <col min="15" max="15" width="2.7109375" customWidth="1"/>
    <col min="16" max="16" width="10.7109375" bestFit="1" customWidth="1"/>
    <col min="17" max="17" width="2.7109375" customWidth="1"/>
    <col min="18" max="18" width="10.7109375" bestFit="1" customWidth="1"/>
    <col min="19" max="19" width="2.7109375" customWidth="1"/>
    <col min="20" max="20" width="10.7109375" bestFit="1" customWidth="1"/>
  </cols>
  <sheetData>
    <row r="1" spans="1:14">
      <c r="A1" s="3" t="s">
        <v>0</v>
      </c>
      <c r="B1" s="11"/>
      <c r="C1" s="11"/>
      <c r="D1" s="3"/>
      <c r="E1" s="11"/>
      <c r="F1" s="11"/>
      <c r="G1" s="11"/>
      <c r="H1" s="11"/>
      <c r="I1" s="11"/>
      <c r="J1" s="11"/>
      <c r="K1" s="11" t="s">
        <v>117</v>
      </c>
      <c r="L1" s="11"/>
      <c r="M1" s="11"/>
      <c r="N1" s="11"/>
    </row>
    <row r="2" spans="1:14">
      <c r="A2" s="3" t="s">
        <v>2</v>
      </c>
      <c r="B2" s="11"/>
      <c r="C2" s="11"/>
      <c r="D2" s="3"/>
      <c r="E2" s="11"/>
      <c r="F2" s="11"/>
      <c r="G2" s="11"/>
      <c r="H2" s="11"/>
      <c r="I2" s="11"/>
      <c r="J2" s="11"/>
      <c r="K2" s="11" t="s">
        <v>117</v>
      </c>
      <c r="L2" s="11"/>
      <c r="M2" s="11"/>
      <c r="N2" s="11"/>
    </row>
    <row r="3" spans="1:14">
      <c r="A3" s="3" t="s">
        <v>73</v>
      </c>
      <c r="B3" s="11"/>
      <c r="C3" s="11"/>
      <c r="D3" s="3"/>
      <c r="E3" s="11"/>
      <c r="F3" s="11"/>
      <c r="G3" s="11"/>
      <c r="H3" s="11"/>
      <c r="I3" s="11"/>
      <c r="J3" s="11"/>
      <c r="K3" s="11" t="s">
        <v>117</v>
      </c>
      <c r="L3" s="11"/>
      <c r="M3" s="11"/>
      <c r="N3" s="11"/>
    </row>
    <row r="4" spans="1:14">
      <c r="A4" s="3" t="s">
        <v>262</v>
      </c>
      <c r="B4" s="11"/>
      <c r="C4" s="11"/>
      <c r="D4" s="3"/>
      <c r="E4" s="11"/>
      <c r="F4" s="11"/>
      <c r="G4" s="11"/>
      <c r="H4" s="11"/>
      <c r="I4" s="11"/>
      <c r="J4" s="11"/>
      <c r="K4" s="11" t="s">
        <v>117</v>
      </c>
      <c r="L4" s="11"/>
      <c r="M4" s="11"/>
      <c r="N4" s="11"/>
    </row>
    <row r="5" spans="1:14">
      <c r="A5" s="3"/>
      <c r="B5" s="11"/>
      <c r="C5" s="11"/>
      <c r="D5" s="3"/>
      <c r="E5" s="11"/>
      <c r="F5" s="11"/>
      <c r="G5" s="11"/>
      <c r="H5" s="11"/>
      <c r="I5" s="11"/>
      <c r="J5" s="11"/>
      <c r="K5" s="11" t="s">
        <v>117</v>
      </c>
    </row>
    <row r="6" spans="1:14">
      <c r="A6" s="34"/>
      <c r="D6" s="34"/>
    </row>
    <row r="7" spans="1:14">
      <c r="J7" s="9" t="s">
        <v>23</v>
      </c>
    </row>
    <row r="8" spans="1:14">
      <c r="J8" s="4" t="s">
        <v>32</v>
      </c>
    </row>
    <row r="9" spans="1:14">
      <c r="A9" t="s">
        <v>72</v>
      </c>
    </row>
    <row r="10" spans="1:14">
      <c r="B10" t="s">
        <v>65</v>
      </c>
      <c r="J10" s="9"/>
    </row>
    <row r="11" spans="1:14">
      <c r="C11" t="s">
        <v>66</v>
      </c>
      <c r="F11" s="10"/>
    </row>
    <row r="12" spans="1:14">
      <c r="D12" t="s">
        <v>69</v>
      </c>
      <c r="F12" s="10"/>
      <c r="J12" s="10">
        <f>'Acct 561 Load Dispatching'!I12</f>
        <v>587939</v>
      </c>
    </row>
    <row r="13" spans="1:14">
      <c r="C13" t="s">
        <v>67</v>
      </c>
      <c r="F13" s="1"/>
      <c r="J13" s="1"/>
    </row>
    <row r="14" spans="1:14">
      <c r="D14" t="s">
        <v>70</v>
      </c>
      <c r="F14" s="1"/>
      <c r="J14" s="1">
        <f>'Acct 561 Load Dispatching'!I13</f>
        <v>42823</v>
      </c>
    </row>
    <row r="15" spans="1:14" ht="13.5" thickBot="1">
      <c r="F15" s="1"/>
      <c r="J15" s="2">
        <f>SUM(J11:J14)</f>
        <v>630762</v>
      </c>
    </row>
    <row r="16" spans="1:14" ht="13.5" thickTop="1">
      <c r="F16" s="1"/>
      <c r="J16" s="1"/>
    </row>
    <row r="17" spans="2:10">
      <c r="B17" t="s">
        <v>68</v>
      </c>
      <c r="F17" s="1"/>
      <c r="J17" s="1"/>
    </row>
    <row r="18" spans="2:10" ht="13.5" thickBot="1">
      <c r="C18" t="s">
        <v>71</v>
      </c>
      <c r="F18" s="1"/>
      <c r="J18" s="74">
        <f>'O&amp;M'!F12+'O&amp;M'!F13</f>
        <v>27693244</v>
      </c>
    </row>
    <row r="19" spans="2:10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31"/>
  <sheetViews>
    <sheetView showGridLines="0" workbookViewId="0"/>
  </sheetViews>
  <sheetFormatPr defaultRowHeight="12.75"/>
  <cols>
    <col min="1" max="2" width="2.7109375" customWidth="1"/>
    <col min="3" max="3" width="46.7109375" bestFit="1" customWidth="1"/>
    <col min="4" max="4" width="2.7109375" customWidth="1"/>
    <col min="5" max="5" width="11.7109375" bestFit="1" customWidth="1"/>
    <col min="6" max="6" width="2.7109375" customWidth="1"/>
    <col min="7" max="7" width="10.140625" bestFit="1" customWidth="1"/>
  </cols>
  <sheetData>
    <row r="1" spans="1:7">
      <c r="A1" s="3" t="s">
        <v>0</v>
      </c>
      <c r="B1" s="11"/>
      <c r="C1" s="11"/>
      <c r="D1" s="11"/>
      <c r="E1" s="11"/>
      <c r="F1" s="11"/>
      <c r="G1" s="11"/>
    </row>
    <row r="2" spans="1:7">
      <c r="A2" s="3" t="s">
        <v>2</v>
      </c>
      <c r="B2" s="11"/>
      <c r="C2" s="11"/>
      <c r="D2" s="11"/>
      <c r="E2" s="11"/>
      <c r="F2" s="11"/>
      <c r="G2" s="11"/>
    </row>
    <row r="3" spans="1:7">
      <c r="A3" s="3" t="s">
        <v>42</v>
      </c>
      <c r="B3" s="11"/>
      <c r="C3" s="11"/>
      <c r="D3" s="11"/>
      <c r="E3" s="11"/>
      <c r="F3" s="11"/>
      <c r="G3" s="11"/>
    </row>
    <row r="4" spans="1:7">
      <c r="A4" s="3" t="s">
        <v>262</v>
      </c>
      <c r="B4" s="11"/>
      <c r="C4" s="11"/>
      <c r="D4" s="11"/>
      <c r="E4" s="11"/>
      <c r="F4" s="11"/>
      <c r="G4" s="11"/>
    </row>
    <row r="5" spans="1:7">
      <c r="A5" s="21"/>
    </row>
    <row r="7" spans="1:7">
      <c r="E7" s="9" t="s">
        <v>22</v>
      </c>
      <c r="G7" s="9" t="s">
        <v>23</v>
      </c>
    </row>
    <row r="8" spans="1:7">
      <c r="A8" t="s">
        <v>44</v>
      </c>
      <c r="E8" s="4" t="s">
        <v>292</v>
      </c>
      <c r="G8" s="4" t="s">
        <v>178</v>
      </c>
    </row>
    <row r="9" spans="1:7" s="64" customFormat="1">
      <c r="B9" s="64" t="s">
        <v>47</v>
      </c>
      <c r="E9" s="9"/>
      <c r="G9" s="9"/>
    </row>
    <row r="10" spans="1:7">
      <c r="C10" t="s">
        <v>243</v>
      </c>
      <c r="E10" s="10">
        <v>175899</v>
      </c>
      <c r="G10" s="10">
        <f>E10</f>
        <v>175899</v>
      </c>
    </row>
    <row r="11" spans="1:7">
      <c r="E11" s="23"/>
      <c r="G11" s="1"/>
    </row>
    <row r="12" spans="1:7">
      <c r="B12" t="s">
        <v>294</v>
      </c>
      <c r="E12" s="1">
        <v>656</v>
      </c>
      <c r="F12" s="1"/>
      <c r="G12" s="1">
        <f>ROUND(E12*$E$23,0)</f>
        <v>595</v>
      </c>
    </row>
    <row r="14" spans="1:7">
      <c r="B14" t="s">
        <v>189</v>
      </c>
      <c r="E14" s="1">
        <v>128125</v>
      </c>
      <c r="F14" s="1"/>
      <c r="G14" s="1">
        <f>E14</f>
        <v>128125</v>
      </c>
    </row>
    <row r="15" spans="1:7">
      <c r="E15" s="1"/>
      <c r="F15" s="1"/>
      <c r="G15" s="1"/>
    </row>
    <row r="16" spans="1:7" ht="13.5" thickBot="1">
      <c r="A16" t="s">
        <v>116</v>
      </c>
      <c r="E16" s="2">
        <f>E10+E12+E14</f>
        <v>304680</v>
      </c>
      <c r="G16" s="2">
        <f>G10+G12+G14</f>
        <v>304619</v>
      </c>
    </row>
    <row r="17" spans="1:7" ht="13.5" thickTop="1">
      <c r="E17" s="1"/>
      <c r="G17" s="1"/>
    </row>
    <row r="18" spans="1:7">
      <c r="A18" t="s">
        <v>80</v>
      </c>
      <c r="B18" t="s">
        <v>295</v>
      </c>
    </row>
    <row r="19" spans="1:7">
      <c r="B19" t="s">
        <v>296</v>
      </c>
    </row>
    <row r="20" spans="1:7">
      <c r="A20" t="s">
        <v>293</v>
      </c>
      <c r="F20" s="10"/>
    </row>
    <row r="21" spans="1:7">
      <c r="C21" t="s">
        <v>190</v>
      </c>
      <c r="E21" s="69">
        <v>846071</v>
      </c>
    </row>
    <row r="22" spans="1:7" s="64" customFormat="1">
      <c r="A22"/>
      <c r="B22"/>
      <c r="C22" t="s">
        <v>191</v>
      </c>
      <c r="D22"/>
      <c r="E22" s="53">
        <v>78776</v>
      </c>
      <c r="F22"/>
      <c r="G22"/>
    </row>
    <row r="23" spans="1:7" s="64" customFormat="1">
      <c r="A23"/>
      <c r="B23"/>
      <c r="C23" t="s">
        <v>115</v>
      </c>
      <c r="D23"/>
      <c r="E23" s="19">
        <f>ROUND((E21-E22)/E21,5)</f>
        <v>0.90688999999999997</v>
      </c>
    </row>
    <row r="27" spans="1:7" s="64" customFormat="1"/>
    <row r="29" spans="1:7">
      <c r="E29" s="1"/>
    </row>
    <row r="30" spans="1:7">
      <c r="E30" s="1"/>
    </row>
    <row r="31" spans="1:7">
      <c r="E31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2"/>
  <sheetViews>
    <sheetView showGridLines="0" workbookViewId="0"/>
  </sheetViews>
  <sheetFormatPr defaultRowHeight="12.75"/>
  <cols>
    <col min="1" max="2" width="2.7109375" customWidth="1"/>
    <col min="3" max="3" width="44.85546875" customWidth="1"/>
    <col min="4" max="4" width="2.7109375" customWidth="1"/>
    <col min="5" max="5" width="9.140625" bestFit="1" customWidth="1"/>
    <col min="6" max="6" width="2.7109375" customWidth="1"/>
    <col min="7" max="7" width="11.7109375" bestFit="1" customWidth="1"/>
    <col min="8" max="8" width="2.7109375" customWidth="1"/>
    <col min="10" max="10" width="2.7109375" customWidth="1"/>
    <col min="12" max="12" width="2.7109375" customWidth="1"/>
    <col min="14" max="14" width="2.7109375" customWidth="1"/>
  </cols>
  <sheetData>
    <row r="1" spans="1:15">
      <c r="A1" s="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3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3" t="s">
        <v>45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>
      <c r="A4" s="3" t="s">
        <v>262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3"/>
      <c r="B6" s="11"/>
      <c r="C6" s="11"/>
      <c r="D6" s="11"/>
      <c r="E6" s="11"/>
      <c r="F6" s="11"/>
      <c r="G6" s="11"/>
    </row>
    <row r="7" spans="1:15">
      <c r="A7" s="21"/>
      <c r="E7" s="29" t="s">
        <v>248</v>
      </c>
      <c r="G7" s="9"/>
      <c r="I7" s="9"/>
      <c r="J7" s="64"/>
      <c r="K7" s="9"/>
      <c r="L7" s="64"/>
      <c r="M7" s="64"/>
      <c r="N7" s="64"/>
      <c r="O7" s="48"/>
    </row>
    <row r="8" spans="1:15">
      <c r="E8" s="4" t="s">
        <v>29</v>
      </c>
      <c r="G8" s="4">
        <v>2017</v>
      </c>
      <c r="I8" s="4">
        <v>2016</v>
      </c>
      <c r="J8" s="64"/>
      <c r="K8" s="4">
        <v>2015</v>
      </c>
      <c r="L8" s="64"/>
      <c r="M8" s="4">
        <v>2014</v>
      </c>
      <c r="N8" s="64"/>
      <c r="O8" s="4">
        <v>2013</v>
      </c>
    </row>
    <row r="9" spans="1:15">
      <c r="A9" t="s">
        <v>46</v>
      </c>
      <c r="E9" s="9"/>
      <c r="G9" s="9"/>
      <c r="I9" s="9"/>
      <c r="J9" s="64"/>
      <c r="K9" s="9"/>
      <c r="L9" s="64"/>
      <c r="M9" s="9"/>
      <c r="N9" s="64"/>
      <c r="O9" s="9"/>
    </row>
    <row r="10" spans="1:15">
      <c r="A10" t="s">
        <v>47</v>
      </c>
      <c r="G10" s="64"/>
      <c r="I10" s="64"/>
      <c r="J10" s="64"/>
      <c r="K10" s="64"/>
      <c r="L10" s="64"/>
      <c r="M10" s="64"/>
      <c r="N10" s="64"/>
      <c r="O10" s="64"/>
    </row>
    <row r="11" spans="1:15">
      <c r="B11" t="s">
        <v>41</v>
      </c>
      <c r="E11" s="10"/>
      <c r="G11" s="10"/>
      <c r="I11" s="10"/>
      <c r="J11" s="64"/>
      <c r="K11" s="10"/>
      <c r="L11" s="64"/>
      <c r="M11" s="10"/>
      <c r="N11" s="64"/>
      <c r="O11" s="10"/>
    </row>
    <row r="12" spans="1:15">
      <c r="B12" t="s">
        <v>48</v>
      </c>
      <c r="E12" s="30"/>
      <c r="G12" s="1"/>
      <c r="I12" s="1"/>
      <c r="J12" s="64"/>
      <c r="K12" s="1"/>
      <c r="L12" s="64"/>
      <c r="M12" s="1"/>
      <c r="N12" s="64"/>
      <c r="O12" s="1"/>
    </row>
    <row r="13" spans="1:15">
      <c r="C13" t="s">
        <v>43</v>
      </c>
      <c r="E13" s="15">
        <f>ROUND(AVERAGE(G13:O13),0)</f>
        <v>179046</v>
      </c>
      <c r="G13" s="31">
        <v>251430</v>
      </c>
      <c r="I13" s="31">
        <v>135306</v>
      </c>
      <c r="J13" s="64"/>
      <c r="K13" s="31">
        <v>109345</v>
      </c>
      <c r="L13" s="64"/>
      <c r="M13" s="31">
        <v>56391</v>
      </c>
      <c r="N13" s="64"/>
      <c r="O13" s="28">
        <v>342756</v>
      </c>
    </row>
    <row r="14" spans="1:15">
      <c r="E14" s="8"/>
      <c r="F14" s="8"/>
      <c r="G14" s="8"/>
      <c r="I14" s="8"/>
      <c r="J14" s="64"/>
      <c r="K14" s="8"/>
      <c r="L14" s="64"/>
      <c r="M14" s="8"/>
      <c r="N14" s="8"/>
      <c r="O14" s="8"/>
    </row>
    <row r="15" spans="1:15">
      <c r="A15" t="s">
        <v>46</v>
      </c>
      <c r="E15" s="9"/>
      <c r="G15" s="9"/>
      <c r="I15" s="9"/>
      <c r="J15" s="64"/>
      <c r="K15" s="9"/>
      <c r="L15" s="64"/>
      <c r="M15" s="9"/>
      <c r="N15" s="64"/>
      <c r="O15" s="9"/>
    </row>
    <row r="16" spans="1:15">
      <c r="A16" t="s">
        <v>49</v>
      </c>
      <c r="G16" s="64"/>
      <c r="I16" s="64"/>
      <c r="J16" s="64"/>
      <c r="K16" s="64"/>
      <c r="L16" s="64"/>
      <c r="M16" s="64"/>
      <c r="N16" s="64"/>
      <c r="O16" s="64"/>
    </row>
    <row r="17" spans="1:15">
      <c r="B17" t="s">
        <v>41</v>
      </c>
      <c r="E17" s="10"/>
      <c r="G17" s="10">
        <v>69837</v>
      </c>
      <c r="I17" s="10">
        <v>81269</v>
      </c>
      <c r="J17" s="64"/>
      <c r="K17" s="10">
        <v>81313</v>
      </c>
      <c r="L17" s="64"/>
      <c r="M17" s="10">
        <v>73527</v>
      </c>
      <c r="N17" s="64"/>
      <c r="O17" s="10">
        <v>51607</v>
      </c>
    </row>
    <row r="18" spans="1:15">
      <c r="A18" t="s">
        <v>283</v>
      </c>
      <c r="B18" t="s">
        <v>48</v>
      </c>
      <c r="E18" s="30"/>
      <c r="G18" s="1">
        <v>2878</v>
      </c>
      <c r="I18" s="1">
        <v>2861</v>
      </c>
      <c r="J18" s="64"/>
      <c r="K18" s="1">
        <v>3650</v>
      </c>
      <c r="L18" s="64"/>
      <c r="M18" s="1">
        <v>3022</v>
      </c>
      <c r="N18" s="64"/>
      <c r="O18" s="1">
        <v>2238</v>
      </c>
    </row>
    <row r="19" spans="1:15">
      <c r="C19" t="s">
        <v>50</v>
      </c>
      <c r="E19" s="15">
        <f>ROUND(AVERAGE(G19:O19),0)</f>
        <v>68581</v>
      </c>
      <c r="G19" s="28">
        <f>G17-G18</f>
        <v>66959</v>
      </c>
      <c r="I19" s="28">
        <v>78408</v>
      </c>
      <c r="J19" s="64"/>
      <c r="K19" s="28">
        <v>77663</v>
      </c>
      <c r="L19" s="64"/>
      <c r="M19" s="28">
        <v>70505</v>
      </c>
      <c r="N19" s="64"/>
      <c r="O19" s="28">
        <v>49369</v>
      </c>
    </row>
    <row r="20" spans="1:15">
      <c r="E20" s="8"/>
      <c r="F20" s="8"/>
      <c r="G20" s="8"/>
      <c r="I20" s="8"/>
      <c r="J20" s="64"/>
      <c r="K20" s="8"/>
      <c r="L20" s="64"/>
      <c r="M20" s="8"/>
      <c r="N20" s="8"/>
      <c r="O20" s="8"/>
    </row>
    <row r="21" spans="1:15" ht="13.5" thickBot="1">
      <c r="A21" t="s">
        <v>51</v>
      </c>
      <c r="E21" s="32">
        <f>E13+E19</f>
        <v>247627</v>
      </c>
      <c r="G21" s="32">
        <f>G13+G19</f>
        <v>318389</v>
      </c>
      <c r="I21" s="32">
        <v>213714</v>
      </c>
      <c r="J21" s="64"/>
      <c r="K21" s="32">
        <v>187008</v>
      </c>
      <c r="L21" s="64"/>
      <c r="M21" s="32">
        <v>126896</v>
      </c>
      <c r="N21" s="64"/>
      <c r="O21" s="32">
        <v>392125</v>
      </c>
    </row>
    <row r="22" spans="1:15" ht="13.5" thickTop="1">
      <c r="M22" s="33"/>
      <c r="O22" s="48"/>
    </row>
    <row r="23" spans="1:15">
      <c r="C23" s="64"/>
      <c r="D23" s="64"/>
      <c r="E23" s="51"/>
      <c r="F23" s="49"/>
      <c r="G23" s="50"/>
    </row>
    <row r="24" spans="1:15">
      <c r="C24" s="64"/>
      <c r="D24" s="64"/>
      <c r="E24" s="51"/>
      <c r="F24" s="49"/>
      <c r="G24" s="50"/>
    </row>
    <row r="25" spans="1:15">
      <c r="C25" s="64"/>
      <c r="D25" s="64"/>
      <c r="E25" s="51"/>
      <c r="F25" s="49"/>
      <c r="G25" s="50"/>
    </row>
    <row r="26" spans="1:15">
      <c r="C26" s="64"/>
      <c r="D26" s="64"/>
      <c r="E26" s="51"/>
      <c r="F26" s="49"/>
      <c r="G26" s="50"/>
    </row>
    <row r="27" spans="1:15">
      <c r="C27" s="64"/>
      <c r="D27" s="64"/>
      <c r="E27" s="51"/>
      <c r="F27" s="49"/>
      <c r="G27" s="50"/>
    </row>
    <row r="28" spans="1:15">
      <c r="C28" s="64"/>
      <c r="D28" s="64"/>
      <c r="E28" s="51"/>
      <c r="F28" s="49"/>
      <c r="G28" s="50"/>
    </row>
    <row r="29" spans="1:15">
      <c r="C29" s="64"/>
      <c r="D29" s="64"/>
      <c r="E29" s="51"/>
      <c r="F29" s="49"/>
      <c r="G29" s="50"/>
    </row>
    <row r="30" spans="1:15">
      <c r="C30" s="64"/>
      <c r="D30" s="64"/>
      <c r="E30" s="51"/>
      <c r="F30" s="49"/>
      <c r="G30" s="50"/>
    </row>
    <row r="31" spans="1:15">
      <c r="C31" s="64"/>
      <c r="D31" s="64"/>
      <c r="E31" s="51"/>
      <c r="F31" s="49"/>
      <c r="G31" s="50"/>
    </row>
    <row r="32" spans="1:15">
      <c r="C32" s="64"/>
      <c r="D32" s="64"/>
      <c r="E32" s="51"/>
      <c r="F32" s="49"/>
      <c r="G32" s="50"/>
    </row>
  </sheetData>
  <printOptions horizontalCentered="1"/>
  <pageMargins left="0.17" right="0.17" top="1" bottom="0.75" header="0.3" footer="0.3"/>
  <pageSetup orientation="landscape" r:id="rId1"/>
  <headerFooter>
    <oddFooter>&amp;C&amp;F -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5"/>
  <sheetViews>
    <sheetView showGridLines="0" workbookViewId="0"/>
  </sheetViews>
  <sheetFormatPr defaultRowHeight="12.75"/>
  <cols>
    <col min="1" max="2" width="2.7109375" customWidth="1"/>
    <col min="3" max="3" width="18.5703125" customWidth="1"/>
    <col min="4" max="4" width="2.7109375" customWidth="1"/>
    <col min="5" max="5" width="12.140625" bestFit="1" customWidth="1"/>
    <col min="6" max="6" width="2.7109375" customWidth="1"/>
    <col min="7" max="7" width="12.5703125" bestFit="1" customWidth="1"/>
    <col min="8" max="8" width="2.7109375" customWidth="1"/>
    <col min="9" max="9" width="12.28515625" bestFit="1" customWidth="1"/>
    <col min="10" max="10" width="2.5703125" bestFit="1" customWidth="1"/>
    <col min="11" max="11" width="11.7109375" bestFit="1" customWidth="1"/>
  </cols>
  <sheetData>
    <row r="1" spans="1:11">
      <c r="A1" s="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3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>
      <c r="A3" s="3" t="s">
        <v>79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 s="3" t="s">
        <v>262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>
      <c r="A5" s="3"/>
      <c r="B5" s="11"/>
      <c r="C5" s="11"/>
      <c r="D5" s="11"/>
      <c r="E5" s="11"/>
      <c r="F5" s="11"/>
      <c r="G5" s="11"/>
      <c r="H5" s="11"/>
      <c r="I5" s="11"/>
      <c r="J5" s="11"/>
    </row>
    <row r="6" spans="1:11">
      <c r="A6" s="3"/>
      <c r="B6" s="11"/>
      <c r="C6" s="11"/>
      <c r="D6" s="11"/>
      <c r="E6" s="11"/>
      <c r="J6" s="64"/>
    </row>
    <row r="7" spans="1:11">
      <c r="E7" s="4" t="s">
        <v>17</v>
      </c>
      <c r="F7" s="29"/>
      <c r="G7" s="4" t="s">
        <v>19</v>
      </c>
      <c r="H7" s="29"/>
      <c r="I7" s="4" t="s">
        <v>21</v>
      </c>
    </row>
    <row r="8" spans="1:11">
      <c r="A8" t="s">
        <v>79</v>
      </c>
    </row>
    <row r="9" spans="1:11">
      <c r="C9" t="s">
        <v>34</v>
      </c>
      <c r="E9" s="15">
        <v>6964949</v>
      </c>
      <c r="F9" s="15" t="s">
        <v>80</v>
      </c>
      <c r="G9" s="15">
        <v>2493637</v>
      </c>
      <c r="H9" s="15"/>
      <c r="I9" s="15">
        <v>1848284</v>
      </c>
    </row>
    <row r="10" spans="1:11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1">
      <c r="C11" s="48"/>
      <c r="D11" s="48"/>
      <c r="E11" s="48"/>
      <c r="F11" s="48"/>
      <c r="G11" s="48"/>
      <c r="H11" s="48"/>
      <c r="I11" s="48"/>
      <c r="J11" s="48"/>
      <c r="K11" s="48"/>
    </row>
    <row r="12" spans="1:11">
      <c r="A12" t="s">
        <v>420</v>
      </c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>
      <c r="C15" s="124"/>
      <c r="D15" s="124"/>
      <c r="E15" s="124"/>
      <c r="F15" s="124"/>
      <c r="G15" s="124"/>
      <c r="H15" s="124"/>
      <c r="I15" s="124"/>
      <c r="J15" s="124"/>
      <c r="K15" s="124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57"/>
  <sheetViews>
    <sheetView showGridLines="0" workbookViewId="0"/>
  </sheetViews>
  <sheetFormatPr defaultRowHeight="12.75"/>
  <cols>
    <col min="1" max="2" width="2.7109375" customWidth="1"/>
    <col min="3" max="3" width="22.28515625" customWidth="1"/>
    <col min="4" max="4" width="2.7109375" customWidth="1"/>
    <col min="5" max="5" width="10.7109375" bestFit="1" customWidth="1"/>
    <col min="6" max="6" width="2.7109375" customWidth="1"/>
    <col min="7" max="7" width="9.85546875" bestFit="1" customWidth="1"/>
    <col min="8" max="8" width="2.7109375" customWidth="1"/>
    <col min="9" max="9" width="9.7109375" bestFit="1" customWidth="1"/>
    <col min="10" max="10" width="2.7109375" customWidth="1"/>
    <col min="11" max="11" width="9.85546875" bestFit="1" customWidth="1"/>
  </cols>
  <sheetData>
    <row r="1" spans="1:11">
      <c r="A1" s="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3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>
      <c r="A3" s="3" t="s">
        <v>52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 s="3" t="s">
        <v>262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>
      <c r="A5" s="3"/>
      <c r="B5" s="11"/>
      <c r="C5" s="11"/>
      <c r="D5" s="11"/>
      <c r="E5" s="11"/>
      <c r="J5" s="11" t="s">
        <v>117</v>
      </c>
    </row>
    <row r="6" spans="1:11">
      <c r="A6" s="3"/>
      <c r="B6" s="11"/>
      <c r="C6" s="11"/>
      <c r="D6" s="11"/>
    </row>
    <row r="7" spans="1:11">
      <c r="A7" s="21"/>
      <c r="E7" s="9" t="s">
        <v>23</v>
      </c>
    </row>
    <row r="8" spans="1:11">
      <c r="E8" s="4" t="s">
        <v>32</v>
      </c>
    </row>
    <row r="9" spans="1:11">
      <c r="A9" t="s">
        <v>53</v>
      </c>
      <c r="E9" s="1"/>
    </row>
    <row r="10" spans="1:11">
      <c r="B10" t="s">
        <v>55</v>
      </c>
      <c r="E10" s="10">
        <f>I20</f>
        <v>2376602</v>
      </c>
    </row>
    <row r="11" spans="1:11">
      <c r="B11" t="s">
        <v>160</v>
      </c>
      <c r="E11" s="1">
        <f>I21</f>
        <v>4620</v>
      </c>
    </row>
    <row r="12" spans="1:11">
      <c r="B12" t="s">
        <v>104</v>
      </c>
      <c r="E12" s="1">
        <f>I26</f>
        <v>239493</v>
      </c>
    </row>
    <row r="13" spans="1:11">
      <c r="B13" t="s">
        <v>54</v>
      </c>
      <c r="E13" s="53">
        <v>10562833</v>
      </c>
      <c r="F13" s="23"/>
      <c r="G13" s="23"/>
      <c r="H13" s="23"/>
      <c r="I13" s="23"/>
    </row>
    <row r="14" spans="1:11">
      <c r="B14" t="s">
        <v>56</v>
      </c>
      <c r="E14" s="53">
        <v>1143344</v>
      </c>
      <c r="F14" s="23"/>
      <c r="G14" s="23"/>
      <c r="H14" s="23"/>
      <c r="I14" s="23"/>
    </row>
    <row r="15" spans="1:11">
      <c r="B15" t="s">
        <v>105</v>
      </c>
      <c r="E15" s="53">
        <f>I27</f>
        <v>113107</v>
      </c>
      <c r="F15" s="23"/>
      <c r="G15" s="23"/>
      <c r="H15" s="23"/>
      <c r="I15" s="23"/>
    </row>
    <row r="16" spans="1:11" ht="13.5" thickBot="1">
      <c r="A16" t="s">
        <v>57</v>
      </c>
      <c r="E16" s="210">
        <f>SUM(E10:E15)</f>
        <v>14439999</v>
      </c>
      <c r="F16" s="23"/>
      <c r="G16" s="23"/>
      <c r="H16" s="23"/>
      <c r="I16" s="23"/>
    </row>
    <row r="17" spans="1:9" ht="13.5" thickTop="1">
      <c r="E17" s="23"/>
      <c r="F17" s="23"/>
      <c r="G17" s="23"/>
      <c r="H17" s="23"/>
      <c r="I17" s="23"/>
    </row>
    <row r="18" spans="1:9">
      <c r="E18" s="51"/>
      <c r="F18" s="23"/>
      <c r="G18" s="208" t="s">
        <v>109</v>
      </c>
      <c r="H18" s="23"/>
      <c r="I18" s="208" t="s">
        <v>27</v>
      </c>
    </row>
    <row r="19" spans="1:9">
      <c r="A19" t="s">
        <v>161</v>
      </c>
      <c r="E19" s="222" t="s">
        <v>284</v>
      </c>
      <c r="F19" s="23"/>
      <c r="G19" s="209" t="s">
        <v>162</v>
      </c>
      <c r="H19" s="23"/>
      <c r="I19" s="209">
        <v>2019</v>
      </c>
    </row>
    <row r="20" spans="1:9">
      <c r="B20" s="64" t="s">
        <v>55</v>
      </c>
      <c r="E20" s="53">
        <v>2556980</v>
      </c>
      <c r="F20" s="23"/>
      <c r="G20" s="223">
        <f>ROUND(E20/$E$22,5)</f>
        <v>0.99805999999999995</v>
      </c>
      <c r="H20" s="23"/>
      <c r="I20" s="224">
        <f>ROUND(G20*$I$22,0)</f>
        <v>2376602</v>
      </c>
    </row>
    <row r="21" spans="1:9">
      <c r="B21" s="64" t="s">
        <v>160</v>
      </c>
      <c r="E21" s="53">
        <v>4974</v>
      </c>
      <c r="F21" s="23"/>
      <c r="G21" s="223">
        <f>ROUND(E21/$E$22,5)</f>
        <v>1.9400000000000001E-3</v>
      </c>
      <c r="H21" s="23"/>
      <c r="I21" s="130">
        <f>ROUND(G21*$I$22,0)</f>
        <v>4620</v>
      </c>
    </row>
    <row r="22" spans="1:9" ht="13.5" thickBot="1">
      <c r="E22" s="210">
        <f>SUM(E20:E21)</f>
        <v>2561954</v>
      </c>
      <c r="F22" s="23"/>
      <c r="G22" s="225">
        <f>SUM(G20:G21)</f>
        <v>1</v>
      </c>
      <c r="H22" s="23"/>
      <c r="I22" s="74">
        <v>2381222</v>
      </c>
    </row>
    <row r="23" spans="1:9" ht="13.5" thickTop="1">
      <c r="E23" s="23"/>
      <c r="F23" s="23"/>
      <c r="G23" s="23"/>
      <c r="H23" s="23"/>
      <c r="I23" s="23"/>
    </row>
    <row r="24" spans="1:9">
      <c r="E24" s="51"/>
      <c r="F24" s="23"/>
      <c r="G24" s="208" t="s">
        <v>109</v>
      </c>
      <c r="H24" s="23"/>
      <c r="I24" s="208" t="s">
        <v>27</v>
      </c>
    </row>
    <row r="25" spans="1:9">
      <c r="A25" t="s">
        <v>110</v>
      </c>
      <c r="E25" s="226"/>
      <c r="F25" s="23"/>
      <c r="G25" s="209" t="s">
        <v>111</v>
      </c>
      <c r="H25" s="23"/>
      <c r="I25" s="209">
        <f>I19</f>
        <v>2019</v>
      </c>
    </row>
    <row r="26" spans="1:9">
      <c r="C26" t="s">
        <v>106</v>
      </c>
      <c r="E26" s="51"/>
      <c r="F26" s="23"/>
      <c r="G26" s="223">
        <f>ROUND(AVERAGE(E37,G37,I37),5)</f>
        <v>0.67922000000000005</v>
      </c>
      <c r="H26" s="23"/>
      <c r="I26" s="224">
        <f>ROUND(G26*$I$28,0)</f>
        <v>239493</v>
      </c>
    </row>
    <row r="27" spans="1:9">
      <c r="C27" t="s">
        <v>107</v>
      </c>
      <c r="E27" s="51"/>
      <c r="F27" s="23"/>
      <c r="G27" s="223">
        <f>ROUND(AVERAGE(E38,G38,I38),5)</f>
        <v>0.32078000000000001</v>
      </c>
      <c r="H27" s="23"/>
      <c r="I27" s="130">
        <f>ROUND(G27*$I$28,0)</f>
        <v>113107</v>
      </c>
    </row>
    <row r="28" spans="1:9" ht="13.5" thickBot="1">
      <c r="E28" s="51"/>
      <c r="F28" s="23"/>
      <c r="G28" s="225">
        <f>SUM(G26:G27)</f>
        <v>1</v>
      </c>
      <c r="H28" s="23"/>
      <c r="I28" s="74">
        <v>352600</v>
      </c>
    </row>
    <row r="29" spans="1:9" ht="13.5" thickTop="1">
      <c r="E29" s="23"/>
      <c r="F29" s="23"/>
      <c r="G29" s="23"/>
      <c r="H29" s="23"/>
      <c r="I29" s="23"/>
    </row>
    <row r="31" spans="1:9">
      <c r="A31" t="s">
        <v>110</v>
      </c>
      <c r="E31" s="45" t="s">
        <v>255</v>
      </c>
      <c r="G31" s="45" t="s">
        <v>232</v>
      </c>
      <c r="I31" s="45" t="s">
        <v>194</v>
      </c>
    </row>
    <row r="32" spans="1:9">
      <c r="C32" t="s">
        <v>106</v>
      </c>
      <c r="E32" s="1">
        <v>341318</v>
      </c>
      <c r="G32" s="1">
        <v>261778</v>
      </c>
      <c r="I32" s="1">
        <v>142731</v>
      </c>
    </row>
    <row r="33" spans="1:11" s="64" customFormat="1">
      <c r="A33"/>
      <c r="B33"/>
      <c r="C33" t="s">
        <v>107</v>
      </c>
      <c r="D33"/>
      <c r="E33" s="1">
        <v>140829</v>
      </c>
      <c r="F33"/>
      <c r="G33" s="1">
        <v>97460</v>
      </c>
      <c r="H33"/>
      <c r="I33" s="1">
        <v>94736</v>
      </c>
      <c r="J33"/>
    </row>
    <row r="34" spans="1:11" ht="13.5" thickBot="1">
      <c r="E34" s="2">
        <f>SUM(E32:E33)</f>
        <v>482147</v>
      </c>
      <c r="G34" s="2">
        <v>359238</v>
      </c>
      <c r="I34" s="2">
        <v>237467</v>
      </c>
    </row>
    <row r="35" spans="1:11" ht="13.5" thickTop="1">
      <c r="G35" s="64"/>
    </row>
    <row r="36" spans="1:11">
      <c r="B36" t="s">
        <v>58</v>
      </c>
      <c r="G36" s="64"/>
      <c r="K36" s="4" t="s">
        <v>29</v>
      </c>
    </row>
    <row r="37" spans="1:11">
      <c r="C37" t="s">
        <v>106</v>
      </c>
      <c r="E37" s="19">
        <f>ROUND(E32/$E$34,5)</f>
        <v>0.70791000000000004</v>
      </c>
      <c r="F37" s="19"/>
      <c r="G37" s="19">
        <v>0.72870000000000001</v>
      </c>
      <c r="I37" s="19">
        <v>0.60106000000000004</v>
      </c>
      <c r="K37" s="19">
        <f>ROUND(AVERAGE(E37,G37,I37),5)</f>
        <v>0.67922000000000005</v>
      </c>
    </row>
    <row r="38" spans="1:11">
      <c r="C38" t="s">
        <v>107</v>
      </c>
      <c r="E38" s="19">
        <f>ROUND(E33/$E$34,5)</f>
        <v>0.29209000000000002</v>
      </c>
      <c r="F38" s="19"/>
      <c r="G38" s="19">
        <v>0.27129999999999999</v>
      </c>
      <c r="I38" s="19">
        <v>0.39894000000000002</v>
      </c>
      <c r="K38" s="19">
        <f>ROUND(AVERAGE(E38,G38,I38),5)</f>
        <v>0.32078000000000001</v>
      </c>
    </row>
    <row r="39" spans="1:11" ht="13.5" thickBot="1">
      <c r="E39" s="46">
        <f>SUM(E37:E38)</f>
        <v>1</v>
      </c>
      <c r="G39" s="46">
        <v>1</v>
      </c>
      <c r="I39" s="46">
        <v>1</v>
      </c>
      <c r="K39" s="46">
        <f>SUM(K37:K38)</f>
        <v>1</v>
      </c>
    </row>
    <row r="40" spans="1:11" ht="13.5" thickTop="1">
      <c r="A40" t="s">
        <v>108</v>
      </c>
    </row>
    <row r="41" spans="1:11">
      <c r="A41" t="s">
        <v>247</v>
      </c>
    </row>
    <row r="46" spans="1:1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</row>
    <row r="47" spans="1:1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1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1">
      <c r="A57" s="64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26"/>
  <sheetViews>
    <sheetView showGridLines="0" workbookViewId="0"/>
  </sheetViews>
  <sheetFormatPr defaultRowHeight="12.75"/>
  <cols>
    <col min="1" max="2" width="2.7109375" style="23" customWidth="1"/>
    <col min="3" max="3" width="22.28515625" style="23" customWidth="1"/>
    <col min="4" max="4" width="2.7109375" style="23" customWidth="1"/>
    <col min="5" max="5" width="11.7109375" style="23" bestFit="1" customWidth="1"/>
    <col min="6" max="6" width="2.7109375" style="23" customWidth="1"/>
    <col min="7" max="7" width="11.5703125" style="23" bestFit="1" customWidth="1"/>
    <col min="8" max="8" width="2.7109375" style="23" customWidth="1"/>
    <col min="9" max="9" width="13.5703125" style="23" bestFit="1" customWidth="1"/>
    <col min="10" max="10" width="2.7109375" style="23" customWidth="1"/>
    <col min="11" max="11" width="10.7109375" style="23" bestFit="1" customWidth="1"/>
    <col min="12" max="12" width="2.7109375" style="23" customWidth="1"/>
    <col min="13" max="13" width="10.7109375" style="23" bestFit="1" customWidth="1"/>
    <col min="14" max="14" width="2.7109375" style="23" customWidth="1"/>
    <col min="15" max="15" width="10.7109375" style="23" bestFit="1" customWidth="1"/>
    <col min="16" max="16384" width="9.140625" style="23"/>
  </cols>
  <sheetData>
    <row r="1" spans="1:9">
      <c r="A1" s="22" t="s">
        <v>0</v>
      </c>
      <c r="B1" s="206"/>
      <c r="C1" s="206"/>
      <c r="D1" s="206"/>
      <c r="E1" s="206"/>
      <c r="F1" s="206"/>
      <c r="G1" s="206"/>
      <c r="H1" s="206"/>
      <c r="I1" s="206"/>
    </row>
    <row r="2" spans="1:9">
      <c r="A2" s="22" t="s">
        <v>2</v>
      </c>
      <c r="B2" s="206"/>
      <c r="C2" s="206"/>
      <c r="D2" s="206"/>
      <c r="E2" s="206"/>
      <c r="F2" s="206"/>
      <c r="G2" s="206"/>
      <c r="H2" s="206"/>
      <c r="I2" s="206"/>
    </row>
    <row r="3" spans="1:9">
      <c r="A3" s="22" t="s">
        <v>64</v>
      </c>
      <c r="B3" s="206"/>
      <c r="C3" s="206"/>
      <c r="D3" s="206"/>
      <c r="E3" s="206"/>
      <c r="F3" s="206"/>
      <c r="G3" s="206"/>
      <c r="H3" s="206"/>
      <c r="I3" s="206"/>
    </row>
    <row r="4" spans="1:9">
      <c r="A4" s="22" t="s">
        <v>262</v>
      </c>
      <c r="B4" s="206"/>
      <c r="C4" s="206"/>
      <c r="D4" s="206"/>
      <c r="E4" s="206"/>
      <c r="F4" s="206"/>
      <c r="G4" s="206"/>
      <c r="H4" s="206"/>
      <c r="I4" s="206"/>
    </row>
    <row r="5" spans="1:9">
      <c r="A5" s="22"/>
      <c r="B5" s="206"/>
      <c r="C5" s="206"/>
      <c r="D5" s="206"/>
      <c r="E5" s="206"/>
      <c r="F5" s="206"/>
      <c r="G5" s="206"/>
      <c r="H5" s="206"/>
      <c r="I5" s="206"/>
    </row>
    <row r="6" spans="1:9">
      <c r="A6" s="22"/>
      <c r="B6" s="206"/>
      <c r="C6" s="206"/>
      <c r="D6" s="206"/>
      <c r="E6" s="206"/>
    </row>
    <row r="7" spans="1:9">
      <c r="A7" s="207"/>
      <c r="E7" s="208" t="s">
        <v>23</v>
      </c>
      <c r="G7" s="208"/>
    </row>
    <row r="8" spans="1:9">
      <c r="E8" s="209" t="s">
        <v>32</v>
      </c>
      <c r="G8" s="208"/>
    </row>
    <row r="9" spans="1:9">
      <c r="A9" s="23" t="s">
        <v>59</v>
      </c>
      <c r="E9" s="53"/>
      <c r="G9" s="51"/>
    </row>
    <row r="10" spans="1:9">
      <c r="B10" s="23" t="s">
        <v>16</v>
      </c>
      <c r="E10" s="69">
        <v>10953186</v>
      </c>
      <c r="G10" s="202"/>
    </row>
    <row r="11" spans="1:9">
      <c r="B11" s="23" t="s">
        <v>17</v>
      </c>
      <c r="E11" s="53">
        <v>3947043</v>
      </c>
      <c r="G11" s="51"/>
    </row>
    <row r="12" spans="1:9">
      <c r="B12" s="23" t="s">
        <v>18</v>
      </c>
      <c r="E12" s="53">
        <v>9361618</v>
      </c>
      <c r="G12" s="51"/>
    </row>
    <row r="13" spans="1:9">
      <c r="B13" s="23" t="s">
        <v>113</v>
      </c>
      <c r="E13" s="53">
        <f>SUM(I21:I23)</f>
        <v>2301733</v>
      </c>
      <c r="G13" s="51"/>
    </row>
    <row r="14" spans="1:9" ht="13.5" thickBot="1">
      <c r="A14" s="23" t="s">
        <v>57</v>
      </c>
      <c r="E14" s="210">
        <f>SUM(E10:E13)</f>
        <v>26563580</v>
      </c>
      <c r="G14" s="51"/>
    </row>
    <row r="15" spans="1:9" ht="13.5" thickTop="1">
      <c r="E15" s="51"/>
      <c r="G15" s="51"/>
    </row>
    <row r="16" spans="1:9">
      <c r="E16" s="51"/>
      <c r="G16" s="51"/>
    </row>
    <row r="17" spans="1:11">
      <c r="A17" s="23" t="s">
        <v>114</v>
      </c>
      <c r="E17" s="51"/>
      <c r="G17" s="51"/>
    </row>
    <row r="18" spans="1:11">
      <c r="E18" s="51"/>
      <c r="G18" s="51"/>
    </row>
    <row r="19" spans="1:11" s="214" customFormat="1">
      <c r="A19" s="211"/>
      <c r="B19" s="211"/>
      <c r="C19" s="211"/>
      <c r="D19" s="211"/>
      <c r="E19" s="212"/>
      <c r="F19" s="75"/>
      <c r="G19" s="212"/>
      <c r="H19" s="75"/>
      <c r="I19" s="213" t="s">
        <v>262</v>
      </c>
    </row>
    <row r="20" spans="1:11" s="214" customFormat="1">
      <c r="B20" s="214" t="s">
        <v>179</v>
      </c>
      <c r="E20" s="215">
        <v>2017</v>
      </c>
      <c r="G20" s="215" t="s">
        <v>112</v>
      </c>
      <c r="I20" s="215" t="s">
        <v>60</v>
      </c>
    </row>
    <row r="21" spans="1:11" s="214" customFormat="1">
      <c r="C21" s="214" t="s">
        <v>61</v>
      </c>
      <c r="E21" s="216">
        <v>1961976</v>
      </c>
      <c r="G21" s="217">
        <f>ROUND(E21/$E$25,5)</f>
        <v>0.25206000000000001</v>
      </c>
      <c r="I21" s="216">
        <f>ROUND(G21*$I$25,0)</f>
        <v>2126740</v>
      </c>
    </row>
    <row r="22" spans="1:11" s="214" customFormat="1">
      <c r="C22" s="214" t="s">
        <v>62</v>
      </c>
      <c r="E22" s="216">
        <v>90722</v>
      </c>
      <c r="G22" s="217">
        <f>ROUND(E22/$E$25,5)</f>
        <v>1.166E-2</v>
      </c>
      <c r="I22" s="216">
        <f>ROUND(G22*$I$25,0)</f>
        <v>98381</v>
      </c>
    </row>
    <row r="23" spans="1:11" s="214" customFormat="1">
      <c r="C23" s="214" t="s">
        <v>63</v>
      </c>
      <c r="E23" s="216">
        <v>70644</v>
      </c>
      <c r="G23" s="217">
        <f>ROUND(E23/$E$25,5)</f>
        <v>9.0799999999999995E-3</v>
      </c>
      <c r="I23" s="216">
        <f>ROUND(G23*$I$25,0)</f>
        <v>76612</v>
      </c>
    </row>
    <row r="24" spans="1:11" s="214" customFormat="1">
      <c r="C24" s="214" t="s">
        <v>40</v>
      </c>
      <c r="E24" s="216">
        <v>5660340</v>
      </c>
      <c r="G24" s="217">
        <f>ROUND(E24/$E$25,5)-0.00001</f>
        <v>0.72720000000000007</v>
      </c>
      <c r="I24" s="216">
        <f>ROUND(G24*$I$25,0)</f>
        <v>6135703</v>
      </c>
    </row>
    <row r="25" spans="1:11" s="214" customFormat="1" ht="13.5" thickBot="1">
      <c r="E25" s="218">
        <f>SUM(E21:E24)</f>
        <v>7783682</v>
      </c>
      <c r="G25" s="219">
        <f>SUM(G21:G24)</f>
        <v>1</v>
      </c>
      <c r="I25" s="218">
        <v>8437436</v>
      </c>
      <c r="K25" s="216">
        <f>SUM(I21:I24)</f>
        <v>8437436</v>
      </c>
    </row>
    <row r="26" spans="1:11" ht="13.5" thickTop="1">
      <c r="A26" s="214"/>
      <c r="B26" s="214"/>
      <c r="C26" s="214"/>
      <c r="D26" s="214"/>
      <c r="E26" s="214"/>
      <c r="F26" s="214"/>
      <c r="G26" s="214"/>
      <c r="H26" s="214"/>
      <c r="I26" s="214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showGridLines="0" zoomScaleNormal="100" workbookViewId="0"/>
  </sheetViews>
  <sheetFormatPr defaultRowHeight="12.75"/>
  <cols>
    <col min="1" max="1" width="20.7109375" customWidth="1"/>
    <col min="2" max="2" width="2.7109375" customWidth="1"/>
    <col min="3" max="3" width="12.7109375" bestFit="1" customWidth="1"/>
    <col min="4" max="4" width="2.7109375" customWidth="1"/>
    <col min="5" max="5" width="12.7109375" style="64" customWidth="1"/>
    <col min="6" max="6" width="2.7109375" style="64" customWidth="1"/>
    <col min="7" max="7" width="9.7109375" style="64" bestFit="1" customWidth="1"/>
    <col min="9" max="9" width="13.28515625" bestFit="1" customWidth="1"/>
    <col min="10" max="10" width="2.7109375" customWidth="1"/>
    <col min="12" max="12" width="13.42578125" bestFit="1" customWidth="1"/>
  </cols>
  <sheetData>
    <row r="1" spans="1:11">
      <c r="A1" s="3" t="s">
        <v>0</v>
      </c>
      <c r="B1" s="3"/>
      <c r="C1" s="3"/>
      <c r="D1" s="3"/>
      <c r="E1" s="3"/>
      <c r="F1" s="3"/>
      <c r="G1" s="3"/>
    </row>
    <row r="2" spans="1:11">
      <c r="A2" s="3" t="s">
        <v>2</v>
      </c>
      <c r="B2" s="3"/>
      <c r="C2" s="3"/>
      <c r="D2" s="3"/>
      <c r="E2" s="3"/>
      <c r="F2" s="3"/>
      <c r="G2" s="3"/>
    </row>
    <row r="3" spans="1:11">
      <c r="A3" s="3" t="s">
        <v>1</v>
      </c>
      <c r="B3" s="3"/>
      <c r="C3" s="3"/>
      <c r="D3" s="3"/>
      <c r="E3" s="3"/>
      <c r="F3" s="3"/>
      <c r="G3" s="3"/>
    </row>
    <row r="4" spans="1:11">
      <c r="A4" s="3" t="s">
        <v>262</v>
      </c>
      <c r="B4" s="3"/>
      <c r="C4" s="3"/>
      <c r="D4" s="3"/>
      <c r="E4" s="3"/>
      <c r="F4" s="3"/>
      <c r="G4" s="3"/>
      <c r="H4" s="80"/>
      <c r="I4" s="80"/>
    </row>
    <row r="5" spans="1:11" s="64" customFormat="1">
      <c r="A5" s="3"/>
      <c r="B5" s="3"/>
      <c r="C5" s="3"/>
      <c r="D5" s="3"/>
      <c r="E5" s="3"/>
      <c r="F5" s="3"/>
      <c r="G5" s="3"/>
      <c r="H5" s="80"/>
      <c r="I5" s="80"/>
    </row>
    <row r="6" spans="1:11">
      <c r="H6" s="80"/>
      <c r="I6" s="80"/>
      <c r="J6" s="64"/>
      <c r="K6" s="64"/>
    </row>
    <row r="7" spans="1:11">
      <c r="C7" s="9" t="s">
        <v>224</v>
      </c>
      <c r="D7" s="8"/>
      <c r="E7" s="9" t="s">
        <v>225</v>
      </c>
      <c r="H7" s="80"/>
    </row>
    <row r="8" spans="1:11">
      <c r="C8" s="4" t="s">
        <v>227</v>
      </c>
      <c r="E8" s="4" t="s">
        <v>228</v>
      </c>
      <c r="G8" s="4" t="s">
        <v>22</v>
      </c>
      <c r="H8" s="80"/>
    </row>
    <row r="9" spans="1:11" ht="15" customHeight="1">
      <c r="A9" s="7" t="s">
        <v>264</v>
      </c>
      <c r="C9" s="53">
        <v>561455</v>
      </c>
      <c r="E9" s="53">
        <v>149282</v>
      </c>
      <c r="F9" s="1"/>
      <c r="G9" s="1">
        <f>SUM(C9:E9)</f>
        <v>710737</v>
      </c>
      <c r="H9" s="80"/>
    </row>
    <row r="10" spans="1:11">
      <c r="A10" t="s">
        <v>4</v>
      </c>
      <c r="C10" s="53">
        <v>533142</v>
      </c>
      <c r="E10" s="53">
        <v>142019</v>
      </c>
      <c r="F10" s="1"/>
      <c r="G10" s="1">
        <f t="shared" ref="G10:G20" si="0">SUM(C10:E10)</f>
        <v>675161</v>
      </c>
      <c r="H10" s="80"/>
    </row>
    <row r="11" spans="1:11">
      <c r="A11" t="s">
        <v>5</v>
      </c>
      <c r="C11" s="53">
        <v>490134</v>
      </c>
      <c r="E11" s="53">
        <v>134393</v>
      </c>
      <c r="F11" s="1"/>
      <c r="G11" s="1">
        <f t="shared" si="0"/>
        <v>624527</v>
      </c>
      <c r="H11" s="80"/>
    </row>
    <row r="12" spans="1:11">
      <c r="A12" t="s">
        <v>6</v>
      </c>
      <c r="C12" s="53">
        <v>397204</v>
      </c>
      <c r="E12" s="53">
        <v>97943</v>
      </c>
      <c r="F12" s="1"/>
      <c r="G12" s="1">
        <f t="shared" si="0"/>
        <v>495147</v>
      </c>
      <c r="H12" s="80"/>
    </row>
    <row r="13" spans="1:11">
      <c r="A13" t="s">
        <v>7</v>
      </c>
      <c r="C13" s="53">
        <v>398342</v>
      </c>
      <c r="E13" s="53">
        <v>80013</v>
      </c>
      <c r="F13" s="1"/>
      <c r="G13" s="1">
        <f t="shared" si="0"/>
        <v>478355</v>
      </c>
      <c r="H13" s="80"/>
    </row>
    <row r="14" spans="1:11">
      <c r="A14" t="s">
        <v>8</v>
      </c>
      <c r="C14" s="53">
        <v>510463</v>
      </c>
      <c r="E14" s="53">
        <v>107054</v>
      </c>
      <c r="F14" s="1"/>
      <c r="G14" s="1">
        <f t="shared" si="0"/>
        <v>617517</v>
      </c>
      <c r="H14" s="75"/>
    </row>
    <row r="15" spans="1:11">
      <c r="A15" t="s">
        <v>9</v>
      </c>
      <c r="C15" s="53">
        <v>579090</v>
      </c>
      <c r="E15" s="53">
        <v>116756</v>
      </c>
      <c r="F15" s="1"/>
      <c r="G15" s="1">
        <f t="shared" si="0"/>
        <v>695846</v>
      </c>
      <c r="H15" s="75"/>
    </row>
    <row r="16" spans="1:11">
      <c r="A16" t="s">
        <v>10</v>
      </c>
      <c r="C16" s="53">
        <v>538453</v>
      </c>
      <c r="E16" s="53">
        <v>102896</v>
      </c>
      <c r="F16" s="1"/>
      <c r="G16" s="1">
        <f t="shared" si="0"/>
        <v>641349</v>
      </c>
      <c r="H16" s="75"/>
    </row>
    <row r="17" spans="1:8">
      <c r="A17" t="s">
        <v>11</v>
      </c>
      <c r="C17" s="53">
        <v>505868</v>
      </c>
      <c r="E17" s="53">
        <v>104292</v>
      </c>
      <c r="F17" s="1"/>
      <c r="G17" s="1">
        <f t="shared" si="0"/>
        <v>610160</v>
      </c>
      <c r="H17" s="75"/>
    </row>
    <row r="18" spans="1:8">
      <c r="A18" t="s">
        <v>12</v>
      </c>
      <c r="C18" s="53">
        <v>432784</v>
      </c>
      <c r="E18" s="53">
        <v>107536</v>
      </c>
      <c r="F18" s="1"/>
      <c r="G18" s="1">
        <f t="shared" si="0"/>
        <v>540320</v>
      </c>
      <c r="H18" s="75"/>
    </row>
    <row r="19" spans="1:8">
      <c r="A19" t="s">
        <v>13</v>
      </c>
      <c r="C19" s="53">
        <v>477212</v>
      </c>
      <c r="E19" s="53">
        <v>131870</v>
      </c>
      <c r="F19" s="1"/>
      <c r="G19" s="1">
        <f t="shared" si="0"/>
        <v>609082</v>
      </c>
      <c r="H19" s="75"/>
    </row>
    <row r="20" spans="1:8">
      <c r="A20" t="s">
        <v>14</v>
      </c>
      <c r="C20" s="53">
        <v>556166</v>
      </c>
      <c r="E20" s="53">
        <v>149935</v>
      </c>
      <c r="F20" s="1"/>
      <c r="G20" s="1">
        <f t="shared" si="0"/>
        <v>706101</v>
      </c>
      <c r="H20" s="75"/>
    </row>
    <row r="21" spans="1:8" ht="13.5" thickBot="1">
      <c r="A21" t="s">
        <v>226</v>
      </c>
      <c r="C21" s="2">
        <f>ROUND(AVERAGE(C9:C20),0)</f>
        <v>498359</v>
      </c>
      <c r="E21" s="2">
        <f>ROUND(AVERAGE(E9:E20),0)</f>
        <v>118666</v>
      </c>
      <c r="G21" s="2">
        <f>ROUND(AVERAGE(G9:G20),0)</f>
        <v>617025</v>
      </c>
      <c r="H21" s="52"/>
    </row>
    <row r="22" spans="1:8" ht="13.5" thickTop="1">
      <c r="C22" s="1"/>
      <c r="E22" s="1"/>
      <c r="H22" s="64"/>
    </row>
    <row r="23" spans="1:8">
      <c r="C23" s="1"/>
      <c r="E23" s="1"/>
      <c r="H23" s="64"/>
    </row>
    <row r="24" spans="1:8">
      <c r="A24" s="127"/>
      <c r="C24" s="88"/>
      <c r="D24" s="64"/>
      <c r="E24" s="1"/>
    </row>
    <row r="25" spans="1:8">
      <c r="B25" s="64"/>
      <c r="C25" s="125"/>
      <c r="D25" s="64"/>
      <c r="E25" s="1"/>
    </row>
    <row r="26" spans="1:8" s="64" customFormat="1">
      <c r="C26" s="125"/>
      <c r="E26" s="1"/>
    </row>
    <row r="27" spans="1:8">
      <c r="A27" s="64"/>
      <c r="B27" s="64"/>
      <c r="C27" s="125"/>
    </row>
    <row r="28" spans="1:8">
      <c r="A28" s="64"/>
      <c r="B28" s="64"/>
      <c r="C28" s="125"/>
    </row>
    <row r="29" spans="1:8">
      <c r="A29" s="64"/>
      <c r="B29" s="64"/>
      <c r="C29" s="125"/>
    </row>
    <row r="30" spans="1:8">
      <c r="A30" s="64"/>
      <c r="B30" s="64"/>
      <c r="C30" s="125"/>
    </row>
    <row r="31" spans="1:8">
      <c r="A31" s="64"/>
      <c r="B31" s="64"/>
      <c r="C31" s="125"/>
    </row>
    <row r="32" spans="1:8">
      <c r="A32" s="64"/>
      <c r="B32" s="64"/>
      <c r="C32" s="125"/>
    </row>
    <row r="33" spans="1:5">
      <c r="A33" s="64"/>
      <c r="B33" s="64"/>
      <c r="C33" s="125"/>
    </row>
    <row r="34" spans="1:5">
      <c r="A34" s="64"/>
      <c r="B34" s="64"/>
      <c r="C34" s="125"/>
      <c r="E34" s="1"/>
    </row>
    <row r="35" spans="1:5">
      <c r="A35" s="64"/>
      <c r="B35" s="64"/>
      <c r="C35" s="125"/>
      <c r="E35" s="1"/>
    </row>
    <row r="36" spans="1:5">
      <c r="A36" s="64"/>
      <c r="B36" s="64"/>
      <c r="C36" s="125"/>
      <c r="E36" s="1"/>
    </row>
    <row r="37" spans="1:5">
      <c r="A37" s="64"/>
      <c r="B37" s="64"/>
      <c r="C37" s="125"/>
      <c r="E37" s="1"/>
    </row>
    <row r="38" spans="1:5">
      <c r="C38" s="125"/>
      <c r="E38" s="1"/>
    </row>
    <row r="39" spans="1:5">
      <c r="C39" s="125"/>
      <c r="E39" s="1"/>
    </row>
    <row r="40" spans="1:5">
      <c r="C40" s="125"/>
      <c r="E40" s="1"/>
    </row>
    <row r="41" spans="1:5">
      <c r="E41" s="1"/>
    </row>
    <row r="42" spans="1:5">
      <c r="E42" s="1"/>
    </row>
    <row r="43" spans="1:5">
      <c r="E43" s="1"/>
    </row>
    <row r="44" spans="1:5">
      <c r="E44" s="1"/>
    </row>
    <row r="45" spans="1:5">
      <c r="E45" s="1"/>
    </row>
    <row r="46" spans="1:5">
      <c r="E46" s="1"/>
    </row>
    <row r="47" spans="1:5">
      <c r="E47" s="1"/>
    </row>
    <row r="48" spans="1:5">
      <c r="E48" s="1"/>
    </row>
    <row r="49" spans="5:5">
      <c r="E49" s="1"/>
    </row>
    <row r="50" spans="5:5">
      <c r="E50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69"/>
  <sheetViews>
    <sheetView showGridLines="0" workbookViewId="0"/>
  </sheetViews>
  <sheetFormatPr defaultColWidth="9.140625" defaultRowHeight="12.75"/>
  <cols>
    <col min="1" max="1" width="43.7109375" style="5" customWidth="1"/>
    <col min="2" max="2" width="9.140625" style="5"/>
    <col min="3" max="3" width="14.42578125" style="5" bestFit="1" customWidth="1"/>
    <col min="4" max="4" width="2.7109375" style="54" customWidth="1"/>
    <col min="5" max="16384" width="9.140625" style="5"/>
  </cols>
  <sheetData>
    <row r="1" spans="1:5">
      <c r="A1" s="6" t="s">
        <v>0</v>
      </c>
      <c r="B1" s="6"/>
      <c r="C1" s="6"/>
      <c r="D1" s="6"/>
      <c r="E1" s="6"/>
    </row>
    <row r="2" spans="1:5">
      <c r="A2" s="6" t="s">
        <v>2</v>
      </c>
      <c r="B2" s="6"/>
      <c r="C2" s="6"/>
      <c r="D2" s="6"/>
      <c r="E2" s="6"/>
    </row>
    <row r="3" spans="1:5">
      <c r="A3" s="6" t="s">
        <v>151</v>
      </c>
      <c r="B3" s="6"/>
      <c r="C3" s="6"/>
      <c r="D3" s="6"/>
      <c r="E3" s="6"/>
    </row>
    <row r="4" spans="1:5">
      <c r="A4" s="6" t="s">
        <v>262</v>
      </c>
      <c r="B4" s="6"/>
      <c r="C4" s="6"/>
      <c r="D4" s="6"/>
      <c r="E4" s="6"/>
    </row>
    <row r="5" spans="1:5">
      <c r="A5" s="6"/>
      <c r="B5" s="6"/>
      <c r="C5" s="6"/>
      <c r="D5" s="6"/>
      <c r="E5" s="6"/>
    </row>
    <row r="6" spans="1:5">
      <c r="C6" s="54"/>
    </row>
    <row r="7" spans="1:5">
      <c r="A7" s="59" t="s">
        <v>150</v>
      </c>
      <c r="B7" s="55"/>
      <c r="C7" s="100"/>
    </row>
    <row r="8" spans="1:5">
      <c r="C8" s="54"/>
    </row>
    <row r="9" spans="1:5">
      <c r="A9" s="58" t="s">
        <v>149</v>
      </c>
      <c r="B9" s="55"/>
      <c r="C9" s="101"/>
    </row>
    <row r="10" spans="1:5">
      <c r="A10" s="57" t="s">
        <v>131</v>
      </c>
      <c r="B10" s="55"/>
      <c r="C10" s="102">
        <v>958676</v>
      </c>
      <c r="E10" s="5" t="s">
        <v>148</v>
      </c>
    </row>
    <row r="11" spans="1:5">
      <c r="C11" s="103"/>
    </row>
    <row r="12" spans="1:5">
      <c r="A12" s="57" t="s">
        <v>147</v>
      </c>
      <c r="B12" s="55"/>
      <c r="C12" s="104"/>
    </row>
    <row r="13" spans="1:5">
      <c r="A13" s="57" t="s">
        <v>131</v>
      </c>
      <c r="B13" s="55"/>
      <c r="C13" s="105">
        <v>2250152.81</v>
      </c>
      <c r="E13" s="5" t="s">
        <v>146</v>
      </c>
    </row>
    <row r="14" spans="1:5">
      <c r="C14" s="103"/>
    </row>
    <row r="15" spans="1:5">
      <c r="A15" s="57" t="s">
        <v>145</v>
      </c>
      <c r="B15" s="55"/>
      <c r="C15" s="104"/>
    </row>
    <row r="16" spans="1:5">
      <c r="A16" s="57" t="s">
        <v>131</v>
      </c>
      <c r="B16" s="55"/>
      <c r="C16" s="105">
        <v>101988.58</v>
      </c>
      <c r="E16" s="5" t="s">
        <v>144</v>
      </c>
    </row>
    <row r="17" spans="1:5">
      <c r="A17" s="55"/>
      <c r="B17" s="55"/>
      <c r="C17" s="106"/>
    </row>
    <row r="18" spans="1:5">
      <c r="A18" s="57" t="s">
        <v>143</v>
      </c>
      <c r="B18" s="55"/>
      <c r="C18" s="106"/>
    </row>
    <row r="19" spans="1:5">
      <c r="A19" s="57" t="s">
        <v>131</v>
      </c>
      <c r="B19" s="55"/>
      <c r="C19" s="105">
        <v>752461.19</v>
      </c>
      <c r="E19" s="5" t="s">
        <v>142</v>
      </c>
    </row>
    <row r="20" spans="1:5">
      <c r="A20" s="55"/>
      <c r="B20" s="55"/>
      <c r="C20" s="106"/>
    </row>
    <row r="21" spans="1:5">
      <c r="A21" s="57" t="s">
        <v>141</v>
      </c>
      <c r="B21" s="55"/>
      <c r="C21" s="106"/>
    </row>
    <row r="22" spans="1:5">
      <c r="A22" s="57" t="s">
        <v>140</v>
      </c>
      <c r="B22" s="55"/>
      <c r="C22" s="106">
        <v>2122.09</v>
      </c>
      <c r="E22" s="5" t="s">
        <v>139</v>
      </c>
    </row>
    <row r="23" spans="1:5">
      <c r="A23" s="57" t="s">
        <v>126</v>
      </c>
      <c r="B23" s="55"/>
      <c r="C23" s="106">
        <v>3284.29</v>
      </c>
      <c r="E23" s="5" t="s">
        <v>139</v>
      </c>
    </row>
    <row r="24" spans="1:5">
      <c r="A24" s="57" t="s">
        <v>125</v>
      </c>
      <c r="B24" s="55"/>
      <c r="C24" s="107">
        <v>6874.08</v>
      </c>
      <c r="E24" s="5" t="s">
        <v>139</v>
      </c>
    </row>
    <row r="25" spans="1:5" ht="13.5" thickBot="1">
      <c r="A25" s="57" t="s">
        <v>57</v>
      </c>
      <c r="B25" s="55"/>
      <c r="C25" s="108">
        <f>SUM(C22:C24)</f>
        <v>12280.46</v>
      </c>
    </row>
    <row r="26" spans="1:5" ht="13.5" thickTop="1">
      <c r="A26" s="55"/>
      <c r="B26" s="55"/>
      <c r="C26" s="104"/>
    </row>
    <row r="27" spans="1:5">
      <c r="A27" s="57" t="s">
        <v>138</v>
      </c>
      <c r="B27" s="55"/>
      <c r="C27" s="104"/>
    </row>
    <row r="28" spans="1:5">
      <c r="A28" s="57" t="s">
        <v>126</v>
      </c>
      <c r="B28" s="55"/>
      <c r="C28" s="106">
        <v>9512.84</v>
      </c>
      <c r="E28" s="5" t="s">
        <v>137</v>
      </c>
    </row>
    <row r="29" spans="1:5">
      <c r="A29" s="57" t="s">
        <v>125</v>
      </c>
      <c r="B29" s="55"/>
      <c r="C29" s="106">
        <v>247</v>
      </c>
      <c r="E29" s="5" t="s">
        <v>137</v>
      </c>
    </row>
    <row r="30" spans="1:5" ht="13.5" thickBot="1">
      <c r="A30" s="57" t="s">
        <v>57</v>
      </c>
      <c r="B30" s="55"/>
      <c r="C30" s="108">
        <f>SUM(C28:C29)</f>
        <v>9759.84</v>
      </c>
    </row>
    <row r="31" spans="1:5" ht="13.5" thickTop="1">
      <c r="A31" s="55"/>
      <c r="B31" s="55"/>
      <c r="C31" s="106"/>
    </row>
    <row r="32" spans="1:5">
      <c r="A32" s="57" t="s">
        <v>136</v>
      </c>
      <c r="B32" s="55"/>
      <c r="C32" s="106"/>
    </row>
    <row r="33" spans="1:6">
      <c r="A33" s="57" t="s">
        <v>124</v>
      </c>
      <c r="B33" s="55"/>
      <c r="C33" s="106">
        <v>138</v>
      </c>
      <c r="E33" s="5" t="s">
        <v>135</v>
      </c>
    </row>
    <row r="34" spans="1:6">
      <c r="A34" s="57" t="s">
        <v>126</v>
      </c>
      <c r="B34" s="55"/>
      <c r="C34" s="106">
        <v>4258.8599999999997</v>
      </c>
      <c r="E34" s="5" t="s">
        <v>135</v>
      </c>
    </row>
    <row r="35" spans="1:6">
      <c r="A35" s="57" t="s">
        <v>125</v>
      </c>
      <c r="B35" s="55"/>
      <c r="C35" s="106">
        <v>2591.44</v>
      </c>
      <c r="E35" s="5" t="s">
        <v>135</v>
      </c>
      <c r="F35" s="5" t="s">
        <v>134</v>
      </c>
    </row>
    <row r="36" spans="1:6" ht="13.5" thickBot="1">
      <c r="A36" s="57" t="s">
        <v>57</v>
      </c>
      <c r="B36" s="55"/>
      <c r="C36" s="108">
        <f>SUM(C33:C35)</f>
        <v>6988.2999999999993</v>
      </c>
    </row>
    <row r="37" spans="1:6" ht="13.5" thickTop="1">
      <c r="A37" s="55"/>
      <c r="B37" s="55"/>
      <c r="C37" s="106"/>
    </row>
    <row r="38" spans="1:6">
      <c r="A38" s="57" t="s">
        <v>133</v>
      </c>
      <c r="B38" s="55"/>
      <c r="C38" s="106"/>
    </row>
    <row r="39" spans="1:6">
      <c r="A39" s="57" t="s">
        <v>131</v>
      </c>
      <c r="B39" s="55"/>
      <c r="C39" s="105">
        <v>3290014</v>
      </c>
      <c r="E39" s="5" t="s">
        <v>120</v>
      </c>
    </row>
    <row r="40" spans="1:6">
      <c r="A40" s="56" t="s">
        <v>130</v>
      </c>
      <c r="B40" s="55"/>
      <c r="C40" s="105">
        <v>1618.18</v>
      </c>
      <c r="E40" s="5" t="s">
        <v>120</v>
      </c>
    </row>
    <row r="41" spans="1:6" ht="13.5" thickBot="1">
      <c r="A41" s="56"/>
      <c r="B41" s="55"/>
      <c r="C41" s="109">
        <f>SUM(C39:C40)</f>
        <v>3291632.18</v>
      </c>
    </row>
    <row r="42" spans="1:6" ht="13.5" thickTop="1">
      <c r="A42" s="55"/>
      <c r="B42" s="55"/>
      <c r="C42" s="105"/>
    </row>
    <row r="43" spans="1:6">
      <c r="A43" s="57" t="s">
        <v>132</v>
      </c>
      <c r="B43" s="55"/>
      <c r="C43" s="105"/>
    </row>
    <row r="44" spans="1:6">
      <c r="A44" s="57" t="s">
        <v>131</v>
      </c>
      <c r="B44" s="55"/>
      <c r="C44" s="105">
        <v>2053197.93</v>
      </c>
      <c r="E44" s="5" t="s">
        <v>119</v>
      </c>
    </row>
    <row r="45" spans="1:6">
      <c r="A45" s="56" t="s">
        <v>130</v>
      </c>
      <c r="B45" s="55"/>
      <c r="C45" s="105">
        <v>4675.4399999999996</v>
      </c>
      <c r="E45" s="5" t="s">
        <v>119</v>
      </c>
    </row>
    <row r="46" spans="1:6">
      <c r="A46" s="56" t="s">
        <v>129</v>
      </c>
      <c r="C46" s="110">
        <v>1052.6300000000001</v>
      </c>
      <c r="E46" s="5" t="s">
        <v>119</v>
      </c>
    </row>
    <row r="47" spans="1:6" ht="13.5" thickBot="1">
      <c r="A47" s="56"/>
      <c r="B47" s="55"/>
      <c r="C47" s="109">
        <f>SUM(C44:C46)</f>
        <v>2058925.9999999998</v>
      </c>
    </row>
    <row r="48" spans="1:6" ht="13.5" thickTop="1">
      <c r="A48" s="55"/>
      <c r="B48" s="55"/>
      <c r="C48" s="105"/>
    </row>
    <row r="49" spans="1:5">
      <c r="A49" s="57" t="s">
        <v>128</v>
      </c>
      <c r="B49" s="55"/>
      <c r="C49" s="105"/>
    </row>
    <row r="50" spans="1:5">
      <c r="A50" s="57" t="s">
        <v>127</v>
      </c>
      <c r="B50" s="55"/>
      <c r="C50" s="105">
        <v>212858.98</v>
      </c>
      <c r="E50" s="5" t="s">
        <v>121</v>
      </c>
    </row>
    <row r="51" spans="1:5">
      <c r="A51" s="57" t="s">
        <v>126</v>
      </c>
      <c r="B51" s="55"/>
      <c r="C51" s="105">
        <v>235953.37</v>
      </c>
      <c r="E51" s="5" t="s">
        <v>123</v>
      </c>
    </row>
    <row r="52" spans="1:5">
      <c r="A52" s="57" t="s">
        <v>125</v>
      </c>
      <c r="B52" s="55"/>
      <c r="C52" s="105">
        <v>163705.36000000002</v>
      </c>
      <c r="E52" s="5" t="s">
        <v>123</v>
      </c>
    </row>
    <row r="53" spans="1:5">
      <c r="A53" s="57" t="s">
        <v>124</v>
      </c>
      <c r="B53" s="55"/>
      <c r="C53" s="105">
        <v>574.9</v>
      </c>
      <c r="E53" s="5" t="s">
        <v>123</v>
      </c>
    </row>
    <row r="54" spans="1:5" ht="13.5" thickBot="1">
      <c r="A54" s="55"/>
      <c r="B54" s="55"/>
      <c r="C54" s="111">
        <f>SUM(C50:C53)</f>
        <v>613092.61</v>
      </c>
    </row>
    <row r="55" spans="1:5" ht="13.5" thickTop="1">
      <c r="A55" s="55"/>
      <c r="B55" s="55"/>
      <c r="C55" s="106"/>
    </row>
    <row r="56" spans="1:5">
      <c r="A56" s="61" t="s">
        <v>185</v>
      </c>
      <c r="B56" s="55"/>
      <c r="C56" s="106"/>
      <c r="D56" s="78"/>
      <c r="E56" s="79"/>
    </row>
    <row r="57" spans="1:5">
      <c r="A57" s="79" t="s">
        <v>126</v>
      </c>
      <c r="B57" s="79"/>
      <c r="C57" s="112">
        <v>87037.93</v>
      </c>
      <c r="D57" s="78"/>
      <c r="E57" s="79" t="s">
        <v>186</v>
      </c>
    </row>
    <row r="58" spans="1:5">
      <c r="A58" s="79" t="s">
        <v>187</v>
      </c>
      <c r="B58" s="79"/>
      <c r="C58" s="112">
        <v>27880.32</v>
      </c>
      <c r="D58" s="78"/>
      <c r="E58" s="79" t="s">
        <v>186</v>
      </c>
    </row>
    <row r="59" spans="1:5" ht="13.5" thickBot="1">
      <c r="A59" s="79"/>
      <c r="B59" s="79"/>
      <c r="C59" s="113">
        <f>SUM(C57:C58)</f>
        <v>114918.25</v>
      </c>
      <c r="D59" s="78"/>
      <c r="E59" s="79"/>
    </row>
    <row r="60" spans="1:5" ht="13.5" thickTop="1">
      <c r="C60" s="54"/>
    </row>
    <row r="61" spans="1:5">
      <c r="A61" s="61" t="s">
        <v>192</v>
      </c>
      <c r="B61" s="55"/>
      <c r="C61" s="106"/>
      <c r="D61" s="78"/>
      <c r="E61" s="79"/>
    </row>
    <row r="62" spans="1:5">
      <c r="A62" s="82" t="s">
        <v>131</v>
      </c>
      <c r="B62" s="79"/>
      <c r="C62" s="112">
        <v>7244272.9000000004</v>
      </c>
      <c r="D62" s="78"/>
      <c r="E62" s="82" t="s">
        <v>193</v>
      </c>
    </row>
    <row r="63" spans="1:5">
      <c r="A63" s="56" t="s">
        <v>234</v>
      </c>
      <c r="B63" s="55"/>
      <c r="C63" s="114">
        <v>424706.38</v>
      </c>
      <c r="D63" s="78"/>
      <c r="E63" s="79" t="s">
        <v>235</v>
      </c>
    </row>
    <row r="64" spans="1:5">
      <c r="A64" s="56" t="s">
        <v>236</v>
      </c>
      <c r="B64" s="79"/>
      <c r="C64" s="112">
        <v>222970.86</v>
      </c>
      <c r="D64" s="78"/>
      <c r="E64" s="79" t="s">
        <v>235</v>
      </c>
    </row>
    <row r="65" spans="1:5" ht="13.5" thickBot="1">
      <c r="A65" s="56"/>
      <c r="B65" s="55"/>
      <c r="C65" s="111">
        <f>SUM(C62:C64)</f>
        <v>7891950.1400000006</v>
      </c>
      <c r="D65" s="78"/>
      <c r="E65" s="79"/>
    </row>
    <row r="66" spans="1:5" ht="13.5" thickTop="1">
      <c r="C66" s="54"/>
    </row>
    <row r="67" spans="1:5" ht="13.5" thickBot="1">
      <c r="A67" s="56" t="s">
        <v>22</v>
      </c>
      <c r="B67" s="55"/>
      <c r="C67" s="115">
        <f>C10+C13+C16+C19+C25+C30+C36+C41+C47+C54+C59+C65</f>
        <v>18062826.359999999</v>
      </c>
    </row>
    <row r="68" spans="1:5" ht="13.5" thickTop="1">
      <c r="C68" s="54"/>
    </row>
    <row r="69" spans="1:5">
      <c r="A69" s="5" t="s">
        <v>122</v>
      </c>
      <c r="C69" s="60"/>
    </row>
  </sheetData>
  <printOptions horizontalCentered="1"/>
  <pageMargins left="0.17" right="0.17" top="0.76" bottom="0.17" header="0.3" footer="0.17"/>
  <pageSetup scale="90" orientation="portrait" r:id="rId1"/>
  <rowBreaks count="1" manualBreakCount="1">
    <brk id="60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40"/>
  <sheetViews>
    <sheetView showGridLines="0" workbookViewId="0"/>
  </sheetViews>
  <sheetFormatPr defaultRowHeight="12.75"/>
  <cols>
    <col min="1" max="1" width="17.140625" customWidth="1"/>
    <col min="2" max="2" width="2.28515625" customWidth="1"/>
    <col min="3" max="3" width="11.7109375" bestFit="1" customWidth="1"/>
    <col min="4" max="4" width="2.28515625" customWidth="1"/>
    <col min="5" max="5" width="14.42578125" bestFit="1" customWidth="1"/>
    <col min="6" max="6" width="2.28515625" customWidth="1"/>
    <col min="7" max="7" width="14.42578125" bestFit="1" customWidth="1"/>
    <col min="8" max="8" width="2.28515625" customWidth="1"/>
    <col min="9" max="9" width="12.7109375" bestFit="1" customWidth="1"/>
    <col min="10" max="10" width="2.28515625" customWidth="1"/>
    <col min="11" max="11" width="12.7109375" bestFit="1" customWidth="1"/>
  </cols>
  <sheetData>
    <row r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5">
      <c r="A3" s="3" t="s">
        <v>94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5">
      <c r="A4" s="3" t="str">
        <f>'Transmission Exp incl in OATT'!A4</f>
        <v>Projected 2019</v>
      </c>
      <c r="B4" s="3"/>
      <c r="C4" s="3"/>
      <c r="D4" s="3"/>
      <c r="E4" s="3"/>
      <c r="F4" s="3"/>
      <c r="G4" s="3"/>
      <c r="H4" s="3"/>
      <c r="I4" s="3"/>
      <c r="J4" s="3"/>
      <c r="K4" s="3"/>
    </row>
    <row r="7" spans="1:15" s="29" customFormat="1">
      <c r="C7" s="29" t="s">
        <v>95</v>
      </c>
      <c r="E7" s="29" t="s">
        <v>98</v>
      </c>
      <c r="G7" s="29" t="s">
        <v>100</v>
      </c>
      <c r="I7" s="29" t="s">
        <v>22</v>
      </c>
      <c r="K7" s="29" t="s">
        <v>97</v>
      </c>
    </row>
    <row r="8" spans="1:15" s="29" customFormat="1">
      <c r="C8" s="4" t="s">
        <v>96</v>
      </c>
      <c r="E8" s="4" t="s">
        <v>99</v>
      </c>
      <c r="G8" s="4">
        <v>123.1</v>
      </c>
      <c r="I8" s="4" t="s">
        <v>101</v>
      </c>
      <c r="K8" s="4" t="s">
        <v>102</v>
      </c>
    </row>
    <row r="9" spans="1:15">
      <c r="A9" s="7" t="s">
        <v>265</v>
      </c>
      <c r="C9" s="69"/>
      <c r="D9" s="69"/>
      <c r="E9" s="69">
        <v>2533544468</v>
      </c>
      <c r="F9" s="69"/>
      <c r="G9" s="69">
        <v>1718018375</v>
      </c>
      <c r="H9" s="69"/>
      <c r="I9" s="69">
        <f t="shared" ref="I9:I21" si="0">K28</f>
        <v>795507099</v>
      </c>
      <c r="J9" s="69"/>
      <c r="K9" s="69"/>
    </row>
    <row r="10" spans="1:15">
      <c r="A10" s="7" t="s">
        <v>266</v>
      </c>
      <c r="C10" s="69">
        <v>2776774</v>
      </c>
      <c r="D10" s="69"/>
      <c r="E10" s="53">
        <v>2543523913</v>
      </c>
      <c r="F10" s="53"/>
      <c r="G10" s="53">
        <v>1718018375</v>
      </c>
      <c r="H10" s="53"/>
      <c r="I10" s="53">
        <f t="shared" si="0"/>
        <v>791513063</v>
      </c>
      <c r="J10" s="53"/>
      <c r="K10" s="53"/>
      <c r="M10" s="64"/>
      <c r="N10" s="64"/>
      <c r="O10" s="64"/>
    </row>
    <row r="11" spans="1:15">
      <c r="A11" s="7" t="s">
        <v>4</v>
      </c>
      <c r="C11" s="53">
        <v>2765532</v>
      </c>
      <c r="D11" s="53"/>
      <c r="E11" s="53">
        <v>2537240400</v>
      </c>
      <c r="F11" s="53"/>
      <c r="G11" s="53">
        <v>1718018375</v>
      </c>
      <c r="H11" s="53"/>
      <c r="I11" s="53">
        <f t="shared" si="0"/>
        <v>786773867</v>
      </c>
      <c r="J11" s="53"/>
      <c r="K11" s="53"/>
      <c r="M11" s="64"/>
      <c r="N11" s="64"/>
      <c r="O11" s="64"/>
    </row>
    <row r="12" spans="1:15">
      <c r="A12" s="7" t="s">
        <v>5</v>
      </c>
      <c r="C12" s="53">
        <v>2737427</v>
      </c>
      <c r="D12" s="53"/>
      <c r="E12" s="53">
        <v>2542825826</v>
      </c>
      <c r="F12" s="53"/>
      <c r="G12" s="53">
        <v>1718018375</v>
      </c>
      <c r="H12" s="53"/>
      <c r="I12" s="53">
        <f t="shared" si="0"/>
        <v>769681955</v>
      </c>
      <c r="J12" s="53"/>
      <c r="K12" s="53"/>
      <c r="M12" s="64"/>
      <c r="N12" s="64"/>
      <c r="O12" s="64"/>
    </row>
    <row r="13" spans="1:15">
      <c r="A13" s="7" t="s">
        <v>6</v>
      </c>
      <c r="C13" s="53">
        <v>2716862</v>
      </c>
      <c r="D13" s="53"/>
      <c r="E13" s="53">
        <v>2547486707</v>
      </c>
      <c r="F13" s="53"/>
      <c r="G13" s="53">
        <v>1718018375</v>
      </c>
      <c r="H13" s="53"/>
      <c r="I13" s="53">
        <f t="shared" si="0"/>
        <v>768077635</v>
      </c>
      <c r="J13" s="53"/>
      <c r="K13" s="53"/>
      <c r="M13" s="64"/>
      <c r="N13" s="64"/>
      <c r="O13" s="64"/>
    </row>
    <row r="14" spans="1:15">
      <c r="A14" s="7" t="s">
        <v>7</v>
      </c>
      <c r="C14" s="53">
        <v>2718450</v>
      </c>
      <c r="D14" s="53"/>
      <c r="E14" s="53">
        <v>2533961901</v>
      </c>
      <c r="F14" s="53"/>
      <c r="G14" s="53">
        <v>1718018375</v>
      </c>
      <c r="H14" s="53"/>
      <c r="I14" s="53">
        <f t="shared" si="0"/>
        <v>770859869</v>
      </c>
      <c r="J14" s="53"/>
      <c r="K14" s="53"/>
      <c r="M14" s="64"/>
      <c r="N14" s="64"/>
      <c r="O14" s="64"/>
    </row>
    <row r="15" spans="1:15">
      <c r="A15" s="7" t="s">
        <v>8</v>
      </c>
      <c r="C15" s="53">
        <v>2734363</v>
      </c>
      <c r="D15" s="53"/>
      <c r="E15" s="53">
        <v>2537894041</v>
      </c>
      <c r="F15" s="53"/>
      <c r="G15" s="53">
        <v>1718018375</v>
      </c>
      <c r="H15" s="53"/>
      <c r="I15" s="53">
        <f t="shared" si="0"/>
        <v>779900274</v>
      </c>
      <c r="J15" s="53"/>
      <c r="K15" s="53"/>
      <c r="M15" s="64"/>
      <c r="N15" s="64"/>
      <c r="O15" s="64"/>
    </row>
    <row r="16" spans="1:15">
      <c r="A16" s="7" t="s">
        <v>9</v>
      </c>
      <c r="C16" s="53">
        <v>2805097</v>
      </c>
      <c r="D16" s="53"/>
      <c r="E16" s="53">
        <v>2544184757</v>
      </c>
      <c r="F16" s="53"/>
      <c r="G16" s="53">
        <v>1718018375</v>
      </c>
      <c r="H16" s="53"/>
      <c r="I16" s="53">
        <f t="shared" si="0"/>
        <v>818196564</v>
      </c>
      <c r="J16" s="53"/>
      <c r="K16" s="53"/>
      <c r="M16" s="64"/>
      <c r="N16" s="64"/>
      <c r="O16" s="64"/>
    </row>
    <row r="17" spans="1:15">
      <c r="A17" s="7" t="s">
        <v>10</v>
      </c>
      <c r="C17" s="53">
        <v>2902736</v>
      </c>
      <c r="D17" s="53"/>
      <c r="E17" s="53">
        <v>2533864916</v>
      </c>
      <c r="F17" s="53"/>
      <c r="G17" s="53">
        <v>1718018375</v>
      </c>
      <c r="H17" s="53"/>
      <c r="I17" s="53">
        <f t="shared" si="0"/>
        <v>848270968</v>
      </c>
      <c r="J17" s="53"/>
      <c r="K17" s="53"/>
      <c r="M17" s="64"/>
      <c r="N17" s="64"/>
      <c r="O17" s="64"/>
    </row>
    <row r="18" spans="1:15">
      <c r="A18" s="7" t="s">
        <v>11</v>
      </c>
      <c r="C18" s="53">
        <v>3125144</v>
      </c>
      <c r="D18" s="53"/>
      <c r="E18" s="53">
        <v>2548869848</v>
      </c>
      <c r="F18" s="53"/>
      <c r="G18" s="53">
        <v>1718018375</v>
      </c>
      <c r="H18" s="53"/>
      <c r="I18" s="53">
        <f t="shared" si="0"/>
        <v>840805047</v>
      </c>
      <c r="J18" s="53"/>
      <c r="K18" s="53"/>
      <c r="M18" s="64"/>
      <c r="N18" s="64"/>
      <c r="O18" s="64"/>
    </row>
    <row r="19" spans="1:15">
      <c r="A19" s="7" t="s">
        <v>12</v>
      </c>
      <c r="C19" s="53">
        <v>3296535</v>
      </c>
      <c r="D19" s="53"/>
      <c r="E19" s="53">
        <v>2551876358</v>
      </c>
      <c r="F19" s="53"/>
      <c r="G19" s="53">
        <v>1718018375</v>
      </c>
      <c r="H19" s="53"/>
      <c r="I19" s="53">
        <f t="shared" si="0"/>
        <v>870328428</v>
      </c>
      <c r="J19" s="53"/>
      <c r="K19" s="53"/>
      <c r="M19" s="64"/>
      <c r="N19" s="64"/>
      <c r="O19" s="64"/>
    </row>
    <row r="20" spans="1:15">
      <c r="A20" s="7" t="s">
        <v>13</v>
      </c>
      <c r="C20" s="53">
        <v>3346946</v>
      </c>
      <c r="D20" s="53"/>
      <c r="E20" s="53">
        <v>2543415380</v>
      </c>
      <c r="F20" s="53"/>
      <c r="G20" s="53">
        <v>1718018375</v>
      </c>
      <c r="H20" s="53"/>
      <c r="I20" s="53">
        <f t="shared" si="0"/>
        <v>876703651</v>
      </c>
      <c r="J20" s="53"/>
      <c r="K20" s="53"/>
      <c r="M20" s="64"/>
      <c r="N20" s="64"/>
      <c r="O20" s="64"/>
    </row>
    <row r="21" spans="1:15">
      <c r="A21" s="7" t="s">
        <v>14</v>
      </c>
      <c r="C21" s="53">
        <v>3337289</v>
      </c>
      <c r="D21" s="53"/>
      <c r="E21" s="53">
        <v>2553575410</v>
      </c>
      <c r="F21" s="53"/>
      <c r="G21" s="53">
        <v>1718018375</v>
      </c>
      <c r="H21" s="53"/>
      <c r="I21" s="53">
        <f t="shared" si="0"/>
        <v>863449099</v>
      </c>
      <c r="J21" s="53"/>
      <c r="K21" s="53"/>
      <c r="M21" s="64"/>
      <c r="N21" s="64"/>
      <c r="O21" s="64"/>
    </row>
    <row r="22" spans="1:15">
      <c r="A22" s="7"/>
      <c r="C22" s="1"/>
      <c r="D22" s="1"/>
      <c r="E22" s="1"/>
      <c r="F22" s="1"/>
      <c r="G22" s="1"/>
      <c r="H22" s="1"/>
      <c r="I22" s="1"/>
      <c r="J22" s="1"/>
      <c r="K22" s="1"/>
      <c r="M22" s="64"/>
      <c r="N22" s="64"/>
      <c r="O22" s="64"/>
    </row>
    <row r="23" spans="1:15" ht="13.5" thickBot="1">
      <c r="A23" t="s">
        <v>290</v>
      </c>
      <c r="C23" s="2">
        <f>SUM(C10:C21)</f>
        <v>35263155</v>
      </c>
      <c r="D23" s="13"/>
      <c r="E23" s="1"/>
      <c r="F23" s="1"/>
      <c r="G23" s="1"/>
      <c r="H23" s="1"/>
      <c r="I23" s="1"/>
      <c r="J23" s="1"/>
      <c r="K23" s="1"/>
    </row>
    <row r="24" spans="1:15" ht="14.25" thickTop="1" thickBot="1">
      <c r="A24" t="s">
        <v>103</v>
      </c>
      <c r="C24" s="1"/>
      <c r="D24" s="1"/>
      <c r="E24" s="2">
        <f>ROUND(AVERAGE(E9:E21),0)</f>
        <v>2542481840</v>
      </c>
      <c r="F24" s="1"/>
      <c r="G24" s="2">
        <f>ROUND(AVERAGE(G9:G21),0)</f>
        <v>1718018375</v>
      </c>
      <c r="H24" s="1"/>
      <c r="I24" s="2">
        <f>ROUND(AVERAGE(I9:I21),0)</f>
        <v>813851348</v>
      </c>
      <c r="J24" s="1"/>
      <c r="K24" s="2"/>
    </row>
    <row r="25" spans="1:15" ht="13.5" thickTop="1">
      <c r="C25" s="1"/>
      <c r="D25" s="1"/>
      <c r="E25" s="1"/>
      <c r="F25" s="1"/>
      <c r="G25" s="1"/>
      <c r="H25" s="1"/>
      <c r="I25" s="1"/>
      <c r="J25" s="1"/>
      <c r="K25" s="1"/>
    </row>
    <row r="26" spans="1:15">
      <c r="G26" s="29" t="s">
        <v>95</v>
      </c>
      <c r="I26" s="29" t="s">
        <v>176</v>
      </c>
      <c r="K26" s="29" t="s">
        <v>22</v>
      </c>
    </row>
    <row r="27" spans="1:15">
      <c r="G27" s="4" t="s">
        <v>101</v>
      </c>
      <c r="I27" s="4" t="s">
        <v>101</v>
      </c>
      <c r="K27" s="4" t="s">
        <v>101</v>
      </c>
    </row>
    <row r="28" spans="1:15">
      <c r="E28" s="7" t="str">
        <f>A9</f>
        <v>December 2018</v>
      </c>
      <c r="G28" s="69">
        <v>738852360</v>
      </c>
      <c r="I28" s="69">
        <v>56654739</v>
      </c>
      <c r="K28" s="69">
        <f>SUM(G28:I28)</f>
        <v>795507099</v>
      </c>
      <c r="L28" s="84"/>
    </row>
    <row r="29" spans="1:15">
      <c r="E29" s="7" t="str">
        <f>A10</f>
        <v>January 2019</v>
      </c>
      <c r="G29" s="53">
        <v>738851475</v>
      </c>
      <c r="I29" s="53">
        <v>52661588</v>
      </c>
      <c r="K29" s="53">
        <f t="shared" ref="K29:K40" si="1">SUM(G29:I29)</f>
        <v>791513063</v>
      </c>
    </row>
    <row r="30" spans="1:15">
      <c r="E30" s="7" t="s">
        <v>4</v>
      </c>
      <c r="G30" s="53">
        <v>738850586</v>
      </c>
      <c r="I30" s="53">
        <v>47923281</v>
      </c>
      <c r="K30" s="53">
        <f t="shared" si="1"/>
        <v>786773867</v>
      </c>
    </row>
    <row r="31" spans="1:15">
      <c r="E31" s="7" t="s">
        <v>5</v>
      </c>
      <c r="G31" s="53">
        <v>738849483</v>
      </c>
      <c r="I31" s="53">
        <v>30832472</v>
      </c>
      <c r="K31" s="53">
        <f t="shared" si="1"/>
        <v>769681955</v>
      </c>
    </row>
    <row r="32" spans="1:15">
      <c r="E32" s="7" t="s">
        <v>6</v>
      </c>
      <c r="G32" s="53">
        <v>738848584</v>
      </c>
      <c r="I32" s="53">
        <v>29229051</v>
      </c>
      <c r="K32" s="53">
        <f t="shared" si="1"/>
        <v>768077635</v>
      </c>
    </row>
    <row r="33" spans="5:11">
      <c r="E33" s="7" t="s">
        <v>7</v>
      </c>
      <c r="G33" s="53">
        <v>738847611</v>
      </c>
      <c r="I33" s="53">
        <v>32012258</v>
      </c>
      <c r="K33" s="53">
        <f t="shared" si="1"/>
        <v>770859869</v>
      </c>
    </row>
    <row r="34" spans="5:11">
      <c r="E34" s="7" t="s">
        <v>8</v>
      </c>
      <c r="G34" s="53">
        <v>738846702</v>
      </c>
      <c r="I34" s="53">
        <v>41053572</v>
      </c>
      <c r="K34" s="53">
        <f t="shared" si="1"/>
        <v>779900274</v>
      </c>
    </row>
    <row r="35" spans="5:11">
      <c r="E35" s="7" t="s">
        <v>9</v>
      </c>
      <c r="G35" s="53">
        <v>738845719</v>
      </c>
      <c r="I35" s="53">
        <v>79350845</v>
      </c>
      <c r="K35" s="53">
        <f t="shared" si="1"/>
        <v>818196564</v>
      </c>
    </row>
    <row r="36" spans="5:11">
      <c r="E36" s="7" t="s">
        <v>10</v>
      </c>
      <c r="G36" s="53">
        <v>813844800</v>
      </c>
      <c r="I36" s="53">
        <v>34426168</v>
      </c>
      <c r="K36" s="53">
        <f t="shared" si="1"/>
        <v>848270968</v>
      </c>
    </row>
    <row r="37" spans="5:11">
      <c r="E37" s="7" t="s">
        <v>11</v>
      </c>
      <c r="G37" s="53">
        <v>713843877</v>
      </c>
      <c r="I37" s="53">
        <v>126961170</v>
      </c>
      <c r="K37" s="53">
        <f t="shared" si="1"/>
        <v>840805047</v>
      </c>
    </row>
    <row r="38" spans="5:11">
      <c r="E38" s="7" t="s">
        <v>12</v>
      </c>
      <c r="G38" s="53">
        <v>713842881</v>
      </c>
      <c r="I38" s="53">
        <v>156485547</v>
      </c>
      <c r="K38" s="53">
        <f t="shared" si="1"/>
        <v>870328428</v>
      </c>
    </row>
    <row r="39" spans="5:11">
      <c r="E39" s="7" t="s">
        <v>13</v>
      </c>
      <c r="G39" s="53">
        <v>713841948</v>
      </c>
      <c r="I39" s="53">
        <v>162861703</v>
      </c>
      <c r="K39" s="53">
        <f t="shared" si="1"/>
        <v>876703651</v>
      </c>
    </row>
    <row r="40" spans="5:11">
      <c r="E40" s="7" t="s">
        <v>14</v>
      </c>
      <c r="G40" s="53">
        <v>713840942</v>
      </c>
      <c r="I40" s="53">
        <v>149608157</v>
      </c>
      <c r="K40" s="53">
        <f t="shared" si="1"/>
        <v>863449099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24"/>
  <sheetViews>
    <sheetView showGridLines="0" workbookViewId="0"/>
  </sheetViews>
  <sheetFormatPr defaultRowHeight="12.75"/>
  <cols>
    <col min="1" max="2" width="2.7109375" customWidth="1"/>
    <col min="3" max="3" width="20.7109375" style="64" customWidth="1"/>
    <col min="4" max="4" width="3.7109375" style="64" customWidth="1"/>
    <col min="5" max="5" width="14.42578125" bestFit="1" customWidth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2</v>
      </c>
      <c r="B2" s="3"/>
      <c r="C2" s="3"/>
      <c r="D2" s="3"/>
      <c r="E2" s="3"/>
    </row>
    <row r="3" spans="1:5">
      <c r="A3" s="3" t="s">
        <v>167</v>
      </c>
      <c r="B3" s="3"/>
      <c r="C3" s="3"/>
      <c r="D3" s="3"/>
      <c r="E3" s="3"/>
    </row>
    <row r="4" spans="1:5">
      <c r="A4" s="3" t="str">
        <f>'MISO Schedule Revenue'!A4</f>
        <v>Projected 2019</v>
      </c>
      <c r="B4" s="3"/>
      <c r="C4" s="3"/>
      <c r="D4" s="3"/>
      <c r="E4" s="3"/>
    </row>
    <row r="7" spans="1:5">
      <c r="A7" t="s">
        <v>168</v>
      </c>
    </row>
    <row r="8" spans="1:5">
      <c r="B8" t="s">
        <v>88</v>
      </c>
    </row>
    <row r="9" spans="1:5">
      <c r="C9" s="64" t="s">
        <v>16</v>
      </c>
      <c r="E9" s="10">
        <v>1079150352</v>
      </c>
    </row>
    <row r="10" spans="1:5">
      <c r="C10" s="64" t="s">
        <v>17</v>
      </c>
      <c r="E10" s="1">
        <v>487662689</v>
      </c>
    </row>
    <row r="11" spans="1:5">
      <c r="C11" s="64" t="s">
        <v>18</v>
      </c>
      <c r="E11" s="1">
        <v>413041532</v>
      </c>
    </row>
    <row r="12" spans="1:5">
      <c r="C12" s="64" t="s">
        <v>19</v>
      </c>
      <c r="E12" s="1">
        <v>47744394</v>
      </c>
    </row>
    <row r="13" spans="1:5">
      <c r="C13" s="64" t="s">
        <v>21</v>
      </c>
      <c r="E13" s="1">
        <v>85788449</v>
      </c>
    </row>
    <row r="14" spans="1:5">
      <c r="B14" t="s">
        <v>169</v>
      </c>
      <c r="E14" s="28">
        <f>SUM(E9:E13)</f>
        <v>2113387416</v>
      </c>
    </row>
    <row r="16" spans="1:5">
      <c r="B16" t="s">
        <v>163</v>
      </c>
      <c r="E16" s="1"/>
    </row>
    <row r="17" spans="1:5">
      <c r="C17" s="64" t="s">
        <v>173</v>
      </c>
      <c r="E17" s="53">
        <v>595389833</v>
      </c>
    </row>
    <row r="18" spans="1:5">
      <c r="C18" s="64" t="s">
        <v>174</v>
      </c>
      <c r="E18" s="53">
        <v>69059035</v>
      </c>
    </row>
    <row r="19" spans="1:5">
      <c r="A19" s="64"/>
      <c r="B19" s="64" t="s">
        <v>175</v>
      </c>
      <c r="E19" s="28">
        <f>SUM(E17:E18)</f>
        <v>664448868</v>
      </c>
    </row>
    <row r="21" spans="1:5" ht="13.5" thickBot="1">
      <c r="A21" t="s">
        <v>57</v>
      </c>
      <c r="E21" s="2">
        <f>E14+E19</f>
        <v>2777836284</v>
      </c>
    </row>
    <row r="22" spans="1:5" ht="13.5" thickTop="1"/>
    <row r="24" spans="1:5">
      <c r="E24" s="1"/>
    </row>
  </sheetData>
  <printOptions horizontalCentered="1"/>
  <pageMargins left="0.21" right="0.17" top="1" bottom="0.75" header="0.3" footer="0.3"/>
  <pageSetup orientation="portrait" r:id="rId1"/>
  <headerFooter>
    <oddFooter>&amp;C&amp;F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30"/>
  <sheetViews>
    <sheetView showGridLines="0" workbookViewId="0">
      <selection activeCell="E19" sqref="E19"/>
    </sheetView>
  </sheetViews>
  <sheetFormatPr defaultRowHeight="12.75"/>
  <cols>
    <col min="1" max="2" width="2.7109375" customWidth="1"/>
    <col min="3" max="3" width="57.140625" bestFit="1" customWidth="1"/>
    <col min="5" max="5" width="10.7109375" style="1" bestFit="1" customWidth="1"/>
  </cols>
  <sheetData>
    <row r="1" spans="1:5">
      <c r="A1" s="65" t="s">
        <v>0</v>
      </c>
      <c r="B1" s="65"/>
      <c r="C1" s="65"/>
      <c r="D1" s="65"/>
      <c r="E1" s="66"/>
    </row>
    <row r="2" spans="1:5">
      <c r="A2" s="65" t="s">
        <v>2</v>
      </c>
      <c r="B2" s="65"/>
      <c r="C2" s="65"/>
      <c r="D2" s="65"/>
      <c r="E2" s="66"/>
    </row>
    <row r="3" spans="1:5">
      <c r="A3" s="65" t="s">
        <v>237</v>
      </c>
      <c r="B3" s="65"/>
      <c r="C3" s="65"/>
      <c r="D3" s="65"/>
      <c r="E3" s="66"/>
    </row>
    <row r="4" spans="1:5">
      <c r="A4" s="65" t="str">
        <f>'Common Plant Allocator'!A4</f>
        <v>Projected 2019</v>
      </c>
      <c r="B4" s="65"/>
      <c r="C4" s="65"/>
      <c r="D4" s="65"/>
      <c r="E4" s="66"/>
    </row>
    <row r="8" spans="1:5">
      <c r="A8" t="s">
        <v>171</v>
      </c>
      <c r="E8" s="69">
        <v>22926</v>
      </c>
    </row>
    <row r="10" spans="1:5">
      <c r="A10" t="s">
        <v>170</v>
      </c>
    </row>
    <row r="11" spans="1:5">
      <c r="B11" t="s">
        <v>172</v>
      </c>
    </row>
    <row r="12" spans="1:5">
      <c r="C12" t="s">
        <v>321</v>
      </c>
      <c r="E12" s="69">
        <f>ROUND('MISO Schedule Revenue'!G21,0)</f>
        <v>1441677</v>
      </c>
    </row>
    <row r="13" spans="1:5">
      <c r="C13" s="64" t="s">
        <v>322</v>
      </c>
      <c r="E13" s="1">
        <f>ROUND('MISO Schedule Revenue'!I21,0)</f>
        <v>26917</v>
      </c>
    </row>
    <row r="14" spans="1:5">
      <c r="C14" s="64" t="s">
        <v>323</v>
      </c>
      <c r="E14" s="1">
        <f>ROUND('MISO Schedule Revenue'!K21,0)</f>
        <v>4370857</v>
      </c>
    </row>
    <row r="15" spans="1:5">
      <c r="C15" t="s">
        <v>245</v>
      </c>
      <c r="E15" s="53">
        <f>ROUND('MISO Schedule Revenue'!M21,0)</f>
        <v>703626</v>
      </c>
    </row>
    <row r="16" spans="1:5">
      <c r="C16" t="s">
        <v>324</v>
      </c>
      <c r="E16" s="53">
        <v>1170531</v>
      </c>
    </row>
    <row r="17" spans="2:5">
      <c r="C17" s="64" t="s">
        <v>325</v>
      </c>
      <c r="E17" s="51">
        <v>14792954</v>
      </c>
    </row>
    <row r="18" spans="2:5">
      <c r="C18" t="s">
        <v>246</v>
      </c>
      <c r="E18" s="51">
        <v>244000</v>
      </c>
    </row>
    <row r="19" spans="2:5">
      <c r="C19" t="s">
        <v>238</v>
      </c>
      <c r="E19" s="216">
        <v>10319958</v>
      </c>
    </row>
    <row r="20" spans="2:5">
      <c r="E20" s="28">
        <f>SUM(E12:E19)</f>
        <v>33070520</v>
      </c>
    </row>
    <row r="22" spans="2:5">
      <c r="B22" t="s">
        <v>212</v>
      </c>
    </row>
    <row r="23" spans="2:5">
      <c r="C23" s="82" t="s">
        <v>285</v>
      </c>
      <c r="D23" s="82"/>
      <c r="E23" s="91">
        <f>E14+E15</f>
        <v>5074483</v>
      </c>
    </row>
    <row r="24" spans="2:5">
      <c r="B24" s="64" t="s">
        <v>214</v>
      </c>
      <c r="C24" s="64"/>
    </row>
    <row r="25" spans="2:5">
      <c r="B25" s="64"/>
      <c r="C25" s="64" t="str">
        <f>C16</f>
        <v>Schedule 26 (Attachment GG Revenue Requirement)</v>
      </c>
      <c r="E25" s="1">
        <f>E16</f>
        <v>1170531</v>
      </c>
    </row>
    <row r="26" spans="2:5">
      <c r="B26" s="64" t="s">
        <v>215</v>
      </c>
      <c r="C26" s="64"/>
    </row>
    <row r="27" spans="2:5">
      <c r="B27" s="64"/>
      <c r="C27" s="64" t="str">
        <f>C17</f>
        <v>Schedule 26A (Attachment MM Revenue Requirement)</v>
      </c>
      <c r="E27" s="1">
        <f>E17</f>
        <v>14792954</v>
      </c>
    </row>
    <row r="29" spans="2:5" ht="13.5" thickBot="1">
      <c r="B29" t="s">
        <v>213</v>
      </c>
      <c r="E29" s="47">
        <f>E20-E23-E25-E27</f>
        <v>12032552</v>
      </c>
    </row>
    <row r="30" spans="2:5" s="23" customFormat="1" ht="13.5" thickTop="1"/>
  </sheetData>
  <printOptions horizontalCentered="1"/>
  <pageMargins left="0.17" right="0.17" top="1" bottom="0.4" header="0.3" footer="0.17"/>
  <pageSetup orientation="portrait" r:id="rId1"/>
  <headerFooter>
    <oddFooter>&amp;C&amp;F -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10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5.7109375" customWidth="1"/>
    <col min="4" max="4" width="2.7109375" customWidth="1"/>
    <col min="5" max="5" width="10.7109375" style="16" bestFit="1" customWidth="1"/>
    <col min="6" max="6" width="2.7109375" style="64" customWidth="1"/>
    <col min="7" max="7" width="13.7109375" style="16" bestFit="1" customWidth="1"/>
    <col min="8" max="8" width="2.7109375" customWidth="1"/>
    <col min="9" max="9" width="13.7109375" bestFit="1" customWidth="1"/>
    <col min="10" max="10" width="2.7109375" customWidth="1"/>
    <col min="11" max="11" width="12.28515625" bestFit="1" customWidth="1"/>
    <col min="12" max="12" width="2.7109375" customWidth="1"/>
    <col min="13" max="13" width="12.28515625" bestFit="1" customWidth="1"/>
  </cols>
  <sheetData>
    <row r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 t="s">
        <v>244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 t="str">
        <f>'Capital Structure'!A4</f>
        <v>Projected 2019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H5" s="3" t="s">
        <v>117</v>
      </c>
    </row>
    <row r="6" spans="1:13" s="64" customFormat="1">
      <c r="E6" s="16"/>
      <c r="G6" s="16"/>
    </row>
    <row r="7" spans="1:13">
      <c r="C7" s="9" t="s">
        <v>233</v>
      </c>
      <c r="E7" s="9" t="s">
        <v>233</v>
      </c>
      <c r="G7" s="9" t="s">
        <v>233</v>
      </c>
      <c r="I7" s="9" t="s">
        <v>233</v>
      </c>
      <c r="K7" s="9" t="s">
        <v>233</v>
      </c>
      <c r="M7" s="9" t="s">
        <v>233</v>
      </c>
    </row>
    <row r="8" spans="1:13">
      <c r="C8" s="4" t="s">
        <v>216</v>
      </c>
      <c r="E8" s="4" t="s">
        <v>217</v>
      </c>
      <c r="G8" s="4" t="s">
        <v>218</v>
      </c>
      <c r="I8" s="4" t="s">
        <v>219</v>
      </c>
      <c r="K8" s="4" t="s">
        <v>220</v>
      </c>
      <c r="M8" s="4" t="s">
        <v>222</v>
      </c>
    </row>
    <row r="9" spans="1:13">
      <c r="A9" s="7" t="s">
        <v>286</v>
      </c>
      <c r="C9" s="69">
        <v>26983</v>
      </c>
      <c r="D9" s="10"/>
      <c r="E9" s="69">
        <v>28797</v>
      </c>
      <c r="F9" s="10"/>
      <c r="G9" s="69">
        <v>131248</v>
      </c>
      <c r="H9" s="10"/>
      <c r="I9" s="69">
        <v>2329</v>
      </c>
      <c r="J9" s="10"/>
      <c r="K9" s="69">
        <v>390974</v>
      </c>
      <c r="L9" s="10"/>
      <c r="M9" s="69">
        <v>53309</v>
      </c>
    </row>
    <row r="10" spans="1:13">
      <c r="A10" s="7" t="s">
        <v>10</v>
      </c>
      <c r="B10" s="64"/>
      <c r="C10" s="53">
        <v>26361</v>
      </c>
      <c r="D10" s="1"/>
      <c r="E10" s="53">
        <v>28029</v>
      </c>
      <c r="F10" s="1"/>
      <c r="G10" s="53">
        <v>131257</v>
      </c>
      <c r="H10" s="1"/>
      <c r="I10" s="53">
        <v>454</v>
      </c>
      <c r="J10" s="1"/>
      <c r="K10" s="53">
        <v>374239</v>
      </c>
      <c r="L10" s="1"/>
      <c r="M10" s="53">
        <v>62904</v>
      </c>
    </row>
    <row r="11" spans="1:13">
      <c r="A11" s="64" t="s">
        <v>11</v>
      </c>
      <c r="B11" s="64"/>
      <c r="C11" s="53">
        <v>24165</v>
      </c>
      <c r="D11" s="64"/>
      <c r="E11" s="53">
        <v>25881</v>
      </c>
      <c r="G11" s="53">
        <v>127036</v>
      </c>
      <c r="H11" s="64"/>
      <c r="I11" s="53">
        <v>876</v>
      </c>
      <c r="J11" s="64"/>
      <c r="K11" s="53">
        <v>307958</v>
      </c>
      <c r="L11" s="64"/>
      <c r="M11" s="53">
        <v>47644</v>
      </c>
    </row>
    <row r="12" spans="1:13">
      <c r="A12" s="64" t="s">
        <v>12</v>
      </c>
      <c r="B12" s="64"/>
      <c r="C12" s="53">
        <v>25468</v>
      </c>
      <c r="D12" s="64"/>
      <c r="E12" s="53">
        <v>26660</v>
      </c>
      <c r="G12" s="53">
        <v>130985</v>
      </c>
      <c r="H12" s="64"/>
      <c r="I12" s="53">
        <v>930</v>
      </c>
      <c r="J12" s="64"/>
      <c r="K12" s="53">
        <v>314923</v>
      </c>
      <c r="L12" s="1"/>
      <c r="M12" s="53">
        <v>50124</v>
      </c>
    </row>
    <row r="13" spans="1:13">
      <c r="A13" s="64" t="s">
        <v>13</v>
      </c>
      <c r="B13" s="64"/>
      <c r="C13" s="53">
        <v>25385</v>
      </c>
      <c r="D13" s="64"/>
      <c r="E13" s="53">
        <v>26541</v>
      </c>
      <c r="G13" s="53">
        <v>118086</v>
      </c>
      <c r="H13" s="64"/>
      <c r="I13" s="53">
        <v>1649</v>
      </c>
      <c r="J13" s="64"/>
      <c r="K13" s="53">
        <v>332870</v>
      </c>
      <c r="L13" s="1"/>
      <c r="M13" s="53">
        <v>65038</v>
      </c>
    </row>
    <row r="14" spans="1:13">
      <c r="A14" s="64" t="s">
        <v>14</v>
      </c>
      <c r="B14" s="64"/>
      <c r="C14" s="53">
        <v>30635</v>
      </c>
      <c r="D14" s="64"/>
      <c r="E14" s="53">
        <v>32512</v>
      </c>
      <c r="G14" s="53">
        <v>121932</v>
      </c>
      <c r="H14" s="64"/>
      <c r="I14" s="53">
        <v>2904</v>
      </c>
      <c r="J14" s="64"/>
      <c r="K14" s="53">
        <v>523411</v>
      </c>
      <c r="L14" s="64"/>
      <c r="M14" s="53">
        <v>55344</v>
      </c>
    </row>
    <row r="15" spans="1:13">
      <c r="A15" s="7" t="s">
        <v>229</v>
      </c>
      <c r="B15" s="64"/>
      <c r="C15" s="53">
        <v>5941</v>
      </c>
      <c r="D15" s="64"/>
      <c r="E15" s="53">
        <v>33743</v>
      </c>
      <c r="G15" s="53">
        <v>122959</v>
      </c>
      <c r="H15" s="64"/>
      <c r="I15" s="53">
        <v>7328</v>
      </c>
      <c r="J15" s="64"/>
      <c r="K15" s="53">
        <v>517703</v>
      </c>
      <c r="L15" s="64"/>
      <c r="M15" s="53">
        <v>60167</v>
      </c>
    </row>
    <row r="16" spans="1:13">
      <c r="A16" s="64" t="s">
        <v>4</v>
      </c>
      <c r="B16" s="64"/>
      <c r="C16" s="53">
        <v>3105</v>
      </c>
      <c r="D16" s="64"/>
      <c r="E16" s="53">
        <v>26144</v>
      </c>
      <c r="G16" s="53">
        <v>112601</v>
      </c>
      <c r="H16" s="64"/>
      <c r="I16" s="53">
        <v>2630</v>
      </c>
      <c r="J16" s="64"/>
      <c r="K16" s="53">
        <v>327573</v>
      </c>
      <c r="L16" s="1"/>
      <c r="M16" s="53">
        <v>56042</v>
      </c>
    </row>
    <row r="17" spans="1:13">
      <c r="A17" s="64" t="s">
        <v>5</v>
      </c>
      <c r="B17" s="64"/>
      <c r="C17" s="53">
        <v>3568</v>
      </c>
      <c r="D17" s="64"/>
      <c r="E17" s="53">
        <v>31312</v>
      </c>
      <c r="G17" s="53">
        <v>115831</v>
      </c>
      <c r="H17" s="64"/>
      <c r="I17" s="53">
        <v>2469</v>
      </c>
      <c r="J17" s="64"/>
      <c r="K17" s="53">
        <v>414639</v>
      </c>
      <c r="L17" s="1"/>
      <c r="M17" s="53">
        <v>63880</v>
      </c>
    </row>
    <row r="18" spans="1:13">
      <c r="A18" s="64" t="s">
        <v>6</v>
      </c>
      <c r="B18" s="64"/>
      <c r="C18" s="53">
        <v>3379</v>
      </c>
      <c r="D18" s="64"/>
      <c r="E18" s="53">
        <v>28636</v>
      </c>
      <c r="G18" s="53">
        <v>96009</v>
      </c>
      <c r="H18" s="64"/>
      <c r="I18" s="53">
        <v>2225</v>
      </c>
      <c r="J18" s="64"/>
      <c r="K18" s="53">
        <v>264753</v>
      </c>
      <c r="L18" s="64"/>
      <c r="M18" s="53">
        <v>54951</v>
      </c>
    </row>
    <row r="19" spans="1:13">
      <c r="A19" s="64" t="s">
        <v>7</v>
      </c>
      <c r="B19" s="64"/>
      <c r="C19" s="53">
        <v>3170</v>
      </c>
      <c r="D19" s="64"/>
      <c r="E19" s="1">
        <v>27389</v>
      </c>
      <c r="F19" s="1"/>
      <c r="G19" s="53">
        <v>118743</v>
      </c>
      <c r="H19" s="1"/>
      <c r="I19" s="53">
        <v>1896</v>
      </c>
      <c r="J19" s="1"/>
      <c r="K19" s="53">
        <v>296678</v>
      </c>
      <c r="L19" s="1"/>
      <c r="M19" s="53">
        <v>71474</v>
      </c>
    </row>
    <row r="20" spans="1:13">
      <c r="A20" s="64" t="s">
        <v>8</v>
      </c>
      <c r="B20" s="64"/>
      <c r="C20" s="53">
        <v>2913</v>
      </c>
      <c r="D20" s="64"/>
      <c r="E20" s="1">
        <v>26823</v>
      </c>
      <c r="F20" s="1"/>
      <c r="G20" s="53">
        <v>114990</v>
      </c>
      <c r="H20" s="1"/>
      <c r="I20" s="53">
        <v>1227</v>
      </c>
      <c r="J20" s="1"/>
      <c r="K20" s="53">
        <v>305136</v>
      </c>
      <c r="L20" s="1"/>
      <c r="M20" s="53">
        <v>62749</v>
      </c>
    </row>
    <row r="21" spans="1:13" ht="13.5" thickBot="1">
      <c r="C21" s="2">
        <f>SUM(C9:C20)</f>
        <v>181073</v>
      </c>
      <c r="E21" s="2">
        <f>SUM(E9:E20)</f>
        <v>342467</v>
      </c>
      <c r="G21" s="2">
        <f>SUM(G9:G20)</f>
        <v>1441677</v>
      </c>
      <c r="I21" s="2">
        <f>SUM(I9:I20)</f>
        <v>26917</v>
      </c>
      <c r="K21" s="2">
        <f>SUM(K9:K20)</f>
        <v>4370857</v>
      </c>
      <c r="M21" s="2">
        <f>SUM(M9:M20)</f>
        <v>703626</v>
      </c>
    </row>
    <row r="22" spans="1:13" ht="13.5" thickTop="1">
      <c r="K22" s="64"/>
      <c r="L22" s="64"/>
      <c r="M22" s="64"/>
    </row>
    <row r="23" spans="1:13">
      <c r="C23" s="1"/>
      <c r="M23" s="1"/>
    </row>
    <row r="24" spans="1:13">
      <c r="A24" s="64"/>
      <c r="B24" s="64"/>
      <c r="D24" s="64"/>
      <c r="H24" s="64"/>
      <c r="I24" s="64"/>
      <c r="M24" s="1"/>
    </row>
    <row r="25" spans="1:13">
      <c r="A25" s="64"/>
      <c r="B25" s="64"/>
      <c r="D25" s="64"/>
      <c r="H25" s="64"/>
      <c r="I25" s="64"/>
      <c r="M25" s="1"/>
    </row>
    <row r="26" spans="1:13">
      <c r="A26" s="7"/>
      <c r="B26" s="64"/>
      <c r="D26" s="64"/>
      <c r="H26" s="64"/>
      <c r="I26" s="64"/>
      <c r="M26" s="1"/>
    </row>
    <row r="27" spans="1:13">
      <c r="A27" s="64"/>
      <c r="B27" s="64"/>
      <c r="D27" s="64"/>
      <c r="H27" s="64"/>
      <c r="I27" s="64"/>
      <c r="K27" s="38"/>
      <c r="M27" s="1"/>
    </row>
    <row r="28" spans="1:13">
      <c r="A28" s="64"/>
      <c r="B28" s="64"/>
      <c r="D28" s="64"/>
      <c r="G28" s="29"/>
      <c r="H28" s="64"/>
      <c r="I28" s="64"/>
    </row>
    <row r="29" spans="1:13">
      <c r="A29" s="64"/>
      <c r="B29" s="64"/>
      <c r="D29" s="64"/>
      <c r="H29" s="64"/>
      <c r="I29" s="64"/>
    </row>
    <row r="30" spans="1:13">
      <c r="A30" s="64"/>
      <c r="B30" s="64"/>
      <c r="D30" s="64"/>
      <c r="H30" s="64"/>
      <c r="I30" s="64"/>
    </row>
    <row r="31" spans="1:13">
      <c r="A31" s="7"/>
      <c r="B31" s="64"/>
      <c r="D31" s="64"/>
      <c r="H31" s="64"/>
      <c r="I31" s="64"/>
    </row>
    <row r="32" spans="1:13">
      <c r="A32" s="64"/>
      <c r="B32" s="64"/>
      <c r="D32" s="64"/>
      <c r="H32" s="64"/>
      <c r="I32" s="64"/>
    </row>
    <row r="33" spans="1:10">
      <c r="A33" s="64"/>
      <c r="B33" s="64"/>
      <c r="D33" s="64"/>
      <c r="H33" s="64"/>
      <c r="I33" s="64"/>
    </row>
    <row r="34" spans="1:10">
      <c r="A34" s="64"/>
      <c r="B34" s="64"/>
      <c r="D34" s="64"/>
      <c r="H34" s="64"/>
      <c r="I34" s="64"/>
    </row>
    <row r="35" spans="1:10">
      <c r="A35" s="64"/>
      <c r="B35" s="64"/>
      <c r="C35" s="53"/>
      <c r="D35" s="64"/>
      <c r="H35" s="64"/>
      <c r="I35" s="64"/>
    </row>
    <row r="36" spans="1:10">
      <c r="A36" s="64"/>
      <c r="B36" s="64"/>
      <c r="C36" s="53"/>
      <c r="D36" s="64"/>
      <c r="H36" s="64"/>
      <c r="I36" s="64"/>
    </row>
    <row r="37" spans="1:10">
      <c r="A37" s="64"/>
      <c r="C37" s="53"/>
    </row>
    <row r="38" spans="1:10">
      <c r="A38" s="64"/>
      <c r="B38" s="64"/>
      <c r="D38" s="64"/>
      <c r="H38" s="64"/>
      <c r="I38" s="64"/>
    </row>
    <row r="39" spans="1:10" s="64" customFormat="1">
      <c r="A39"/>
      <c r="B39"/>
      <c r="C39"/>
      <c r="D39"/>
      <c r="E39" s="16"/>
      <c r="G39" s="16"/>
      <c r="H39"/>
      <c r="I39"/>
      <c r="J39"/>
    </row>
    <row r="40" spans="1:10" s="64" customFormat="1"/>
    <row r="41" spans="1:10" s="64" customFormat="1">
      <c r="E41" s="16"/>
      <c r="G41" s="16"/>
    </row>
    <row r="42" spans="1:10" s="64" customFormat="1">
      <c r="E42" s="16"/>
      <c r="G42" s="16"/>
    </row>
    <row r="43" spans="1:10" s="64" customFormat="1">
      <c r="A43" s="7"/>
      <c r="E43" s="16"/>
      <c r="G43" s="16"/>
    </row>
    <row r="44" spans="1:10" s="64" customFormat="1">
      <c r="E44" s="16"/>
      <c r="G44" s="16"/>
    </row>
    <row r="45" spans="1:10" s="64" customFormat="1">
      <c r="E45" s="16"/>
      <c r="G45" s="29"/>
    </row>
    <row r="46" spans="1:10" s="64" customFormat="1">
      <c r="E46" s="16"/>
      <c r="G46" s="29"/>
    </row>
    <row r="47" spans="1:10" s="64" customFormat="1">
      <c r="E47" s="16"/>
      <c r="G47" s="16"/>
    </row>
    <row r="48" spans="1:10" s="64" customFormat="1">
      <c r="A48" s="7"/>
      <c r="E48" s="16"/>
      <c r="G48" s="16"/>
    </row>
    <row r="49" spans="1:10" s="64" customFormat="1">
      <c r="E49" s="16"/>
      <c r="G49" s="16"/>
    </row>
    <row r="50" spans="1:10" s="64" customFormat="1">
      <c r="E50" s="16"/>
      <c r="G50" s="16"/>
    </row>
    <row r="51" spans="1:10" s="64" customFormat="1">
      <c r="E51" s="16"/>
      <c r="G51" s="16"/>
    </row>
    <row r="52" spans="1:10" s="64" customFormat="1">
      <c r="E52" s="16"/>
      <c r="G52" s="16"/>
    </row>
    <row r="53" spans="1:10" s="64" customFormat="1">
      <c r="E53" s="16"/>
      <c r="G53" s="16"/>
    </row>
    <row r="54" spans="1:10">
      <c r="A54" s="64"/>
      <c r="B54" s="64"/>
      <c r="D54" s="64"/>
      <c r="H54" s="64"/>
      <c r="I54" s="64"/>
      <c r="J54" s="64"/>
    </row>
    <row r="55" spans="1:10" s="64" customFormat="1">
      <c r="E55" s="16"/>
      <c r="G55" s="16"/>
      <c r="J55"/>
    </row>
    <row r="56" spans="1:10" s="64" customFormat="1">
      <c r="A56" s="92"/>
    </row>
    <row r="57" spans="1:10" s="64" customFormat="1"/>
    <row r="58" spans="1:10" s="64" customFormat="1">
      <c r="E58" s="16"/>
      <c r="G58" s="16"/>
    </row>
    <row r="59" spans="1:10" s="64" customFormat="1">
      <c r="E59" s="16"/>
      <c r="G59" s="16"/>
    </row>
    <row r="60" spans="1:10" s="64" customFormat="1">
      <c r="A60" s="7"/>
      <c r="E60" s="16"/>
      <c r="G60" s="16"/>
    </row>
    <row r="61" spans="1:10" s="64" customFormat="1">
      <c r="E61" s="16"/>
      <c r="G61" s="29"/>
    </row>
    <row r="62" spans="1:10" s="64" customFormat="1">
      <c r="E62" s="16"/>
      <c r="G62" s="29"/>
    </row>
    <row r="63" spans="1:10" s="64" customFormat="1">
      <c r="E63" s="16"/>
    </row>
    <row r="64" spans="1:10" s="64" customFormat="1">
      <c r="E64" s="16"/>
      <c r="G64" s="16"/>
    </row>
    <row r="65" spans="1:13" s="64" customFormat="1">
      <c r="A65" s="7"/>
      <c r="E65" s="16"/>
      <c r="G65" s="16"/>
    </row>
    <row r="66" spans="1:13" s="64" customFormat="1">
      <c r="E66" s="16"/>
      <c r="G66" s="16"/>
    </row>
    <row r="67" spans="1:13" s="64" customFormat="1">
      <c r="E67" s="16"/>
      <c r="G67" s="16"/>
    </row>
    <row r="68" spans="1:13" s="64" customFormat="1">
      <c r="E68" s="16"/>
      <c r="G68" s="16"/>
    </row>
    <row r="69" spans="1:13" s="64" customFormat="1">
      <c r="E69" s="16"/>
      <c r="G69" s="16"/>
    </row>
    <row r="70" spans="1:13">
      <c r="A70" s="64"/>
      <c r="B70" s="64"/>
      <c r="D70" s="64"/>
      <c r="H70" s="64"/>
      <c r="I70" s="64"/>
      <c r="J70" s="64"/>
      <c r="K70" s="64"/>
      <c r="L70" s="64"/>
      <c r="M70" s="64"/>
    </row>
    <row r="71" spans="1:13" s="64" customFormat="1">
      <c r="E71" s="16"/>
      <c r="G71" s="16"/>
    </row>
    <row r="72" spans="1:13" s="64" customFormat="1">
      <c r="E72" s="16"/>
      <c r="G72" s="16"/>
      <c r="K72"/>
      <c r="L72"/>
      <c r="M72"/>
    </row>
    <row r="73" spans="1:13" s="64" customFormat="1">
      <c r="A73" s="92"/>
      <c r="B73"/>
      <c r="C73"/>
      <c r="D73"/>
      <c r="E73" s="16"/>
      <c r="G73" s="16"/>
      <c r="H73"/>
      <c r="I73"/>
      <c r="J73"/>
    </row>
    <row r="74" spans="1:13" s="64" customFormat="1">
      <c r="A74" s="92"/>
    </row>
    <row r="75" spans="1:13" s="64" customFormat="1"/>
    <row r="76" spans="1:13" s="64" customFormat="1">
      <c r="E76" s="16"/>
      <c r="G76" s="16"/>
    </row>
    <row r="77" spans="1:13" s="64" customFormat="1">
      <c r="E77" s="16"/>
      <c r="G77" s="16"/>
    </row>
    <row r="78" spans="1:13" s="64" customFormat="1">
      <c r="A78" s="7"/>
      <c r="E78" s="16"/>
      <c r="G78" s="16"/>
    </row>
    <row r="79" spans="1:13" s="64" customFormat="1">
      <c r="E79" s="16"/>
      <c r="G79" s="29"/>
    </row>
    <row r="80" spans="1:13" s="64" customFormat="1">
      <c r="E80" s="16"/>
      <c r="G80" s="29"/>
    </row>
    <row r="81" spans="1:13" s="64" customFormat="1">
      <c r="E81" s="16"/>
    </row>
    <row r="82" spans="1:13" s="64" customFormat="1">
      <c r="E82" s="16"/>
      <c r="G82" s="16"/>
    </row>
    <row r="83" spans="1:13" s="64" customFormat="1">
      <c r="A83" s="7"/>
      <c r="E83" s="16"/>
      <c r="G83" s="16"/>
    </row>
    <row r="84" spans="1:13" s="64" customFormat="1">
      <c r="E84" s="16"/>
      <c r="G84" s="16"/>
    </row>
    <row r="85" spans="1:13" s="64" customFormat="1">
      <c r="E85" s="16"/>
      <c r="G85" s="16"/>
    </row>
    <row r="86" spans="1:13">
      <c r="A86" s="64"/>
      <c r="B86" s="64"/>
      <c r="D86" s="64"/>
      <c r="H86" s="64"/>
      <c r="I86" s="64"/>
      <c r="J86" s="64"/>
      <c r="K86" s="64"/>
      <c r="L86" s="64"/>
      <c r="M86" s="64"/>
    </row>
    <row r="87" spans="1:13" s="64" customFormat="1">
      <c r="E87" s="16"/>
      <c r="G87" s="16"/>
    </row>
    <row r="88" spans="1:13" s="64" customFormat="1">
      <c r="E88" s="16"/>
      <c r="G88" s="16"/>
      <c r="M88"/>
    </row>
    <row r="89" spans="1:13" s="64" customFormat="1">
      <c r="E89" s="16"/>
      <c r="G89" s="16"/>
    </row>
    <row r="90" spans="1:13" s="64" customFormat="1">
      <c r="E90" s="16"/>
      <c r="G90" s="16"/>
      <c r="K90"/>
      <c r="L90"/>
    </row>
    <row r="91" spans="1:13" s="64" customFormat="1">
      <c r="A91"/>
      <c r="B91"/>
      <c r="C91"/>
      <c r="D91"/>
      <c r="E91" s="16"/>
      <c r="G91" s="16"/>
      <c r="H91"/>
      <c r="I91"/>
      <c r="J91"/>
    </row>
    <row r="92" spans="1:13" s="64" customFormat="1">
      <c r="A92" s="92"/>
    </row>
    <row r="93" spans="1:13" s="64" customFormat="1">
      <c r="E93" s="16"/>
      <c r="G93" s="16"/>
    </row>
    <row r="94" spans="1:13" s="64" customFormat="1">
      <c r="E94" s="16"/>
      <c r="G94" s="16"/>
    </row>
    <row r="95" spans="1:13" s="64" customFormat="1">
      <c r="A95" s="7"/>
      <c r="E95" s="16"/>
      <c r="G95" s="16"/>
    </row>
    <row r="96" spans="1:13" s="64" customFormat="1">
      <c r="E96" s="16"/>
      <c r="G96" s="29"/>
    </row>
    <row r="97" spans="1:13" s="64" customFormat="1">
      <c r="E97" s="16"/>
      <c r="G97" s="29"/>
    </row>
    <row r="98" spans="1:13" s="64" customFormat="1">
      <c r="E98" s="16"/>
    </row>
    <row r="99" spans="1:13" s="64" customFormat="1">
      <c r="E99" s="16"/>
      <c r="G99" s="16"/>
    </row>
    <row r="100" spans="1:13" s="64" customFormat="1">
      <c r="A100" s="7"/>
      <c r="E100" s="16"/>
      <c r="G100" s="16"/>
    </row>
    <row r="101" spans="1:13" s="64" customFormat="1">
      <c r="E101" s="16"/>
      <c r="G101" s="16"/>
    </row>
    <row r="102" spans="1:13">
      <c r="A102" s="64"/>
      <c r="B102" s="64"/>
      <c r="D102" s="64"/>
      <c r="H102" s="64"/>
      <c r="I102" s="64"/>
      <c r="J102" s="64"/>
      <c r="K102" s="64"/>
      <c r="L102" s="64"/>
      <c r="M102" s="64"/>
    </row>
    <row r="103" spans="1:13">
      <c r="A103" s="64"/>
      <c r="B103" s="64"/>
      <c r="D103" s="64"/>
      <c r="H103" s="64"/>
      <c r="I103" s="64"/>
      <c r="J103" s="64"/>
      <c r="K103" s="64"/>
      <c r="L103" s="64"/>
      <c r="M103" s="64"/>
    </row>
    <row r="104" spans="1:13">
      <c r="A104" s="64"/>
      <c r="B104" s="64"/>
      <c r="D104" s="64"/>
      <c r="H104" s="64"/>
      <c r="I104" s="64"/>
      <c r="J104" s="64"/>
      <c r="K104" s="64"/>
      <c r="L104" s="64"/>
    </row>
    <row r="105" spans="1:13">
      <c r="A105" s="64"/>
      <c r="B105" s="64"/>
      <c r="D105" s="64"/>
      <c r="H105" s="64"/>
      <c r="I105" s="64"/>
      <c r="J105" s="64"/>
      <c r="K105" s="64"/>
      <c r="L105" s="64"/>
    </row>
    <row r="106" spans="1:13">
      <c r="A106" s="64"/>
      <c r="B106" s="64"/>
      <c r="D106" s="64"/>
      <c r="H106" s="64"/>
      <c r="I106" s="64"/>
      <c r="J106" s="64"/>
    </row>
    <row r="107" spans="1:13">
      <c r="A107" s="64"/>
      <c r="B107" s="64"/>
      <c r="D107" s="64"/>
      <c r="H107" s="64"/>
      <c r="I107" s="64"/>
    </row>
    <row r="108" spans="1:13">
      <c r="I108" s="64"/>
    </row>
    <row r="109" spans="1:13">
      <c r="I109" s="64"/>
    </row>
    <row r="110" spans="1:13">
      <c r="I110" s="64"/>
    </row>
  </sheetData>
  <printOptions horizontalCentered="1"/>
  <pageMargins left="0.17" right="0.17" top="0.75" bottom="0.75" header="0.3" footer="0.3"/>
  <pageSetup orientation="landscape" r:id="rId1"/>
  <headerFooter>
    <oddFooter>&amp;C&amp;F - &amp;A</oddFooter>
  </headerFooter>
  <rowBreaks count="2" manualBreakCount="2">
    <brk id="40" max="6" man="1"/>
    <brk id="75" max="6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B107C-DBF6-4AD9-BBDA-BDEFF93B6447}">
  <sheetPr>
    <pageSetUpPr fitToPage="1"/>
  </sheetPr>
  <dimension ref="A1:BN30"/>
  <sheetViews>
    <sheetView showGridLines="0" zoomScale="85" zoomScaleNormal="85" workbookViewId="0"/>
  </sheetViews>
  <sheetFormatPr defaultRowHeight="15"/>
  <cols>
    <col min="1" max="1" width="26.140625" style="131" customWidth="1"/>
    <col min="2" max="2" width="17.140625" style="131" customWidth="1"/>
    <col min="3" max="7" width="16" style="131" customWidth="1"/>
    <col min="8" max="8" width="10.7109375" style="131" bestFit="1" customWidth="1"/>
    <col min="9" max="9" width="18.5703125" style="131" bestFit="1" customWidth="1"/>
    <col min="10" max="10" width="12.85546875" style="131" bestFit="1" customWidth="1"/>
    <col min="11" max="11" width="2" style="131" customWidth="1"/>
    <col min="12" max="12" width="14.140625" style="131" bestFit="1" customWidth="1"/>
    <col min="13" max="13" width="12.85546875" style="131" bestFit="1" customWidth="1"/>
    <col min="14" max="14" width="1.5703125" style="131" customWidth="1"/>
    <col min="15" max="15" width="16.85546875" style="131" bestFit="1" customWidth="1"/>
    <col min="16" max="16" width="15.42578125" style="131" bestFit="1" customWidth="1"/>
    <col min="17" max="17" width="9.140625" style="131"/>
    <col min="18" max="18" width="14.140625" style="131" bestFit="1" customWidth="1"/>
    <col min="19" max="19" width="12.85546875" style="131" bestFit="1" customWidth="1"/>
    <col min="20" max="16384" width="9.140625" style="131"/>
  </cols>
  <sheetData>
    <row r="1" spans="1:24" ht="15.75">
      <c r="B1" s="155" t="s">
        <v>0</v>
      </c>
      <c r="C1" s="155"/>
      <c r="D1" s="155"/>
      <c r="E1" s="155"/>
      <c r="F1" s="154"/>
      <c r="G1" s="154"/>
      <c r="H1" s="152"/>
      <c r="I1" s="152"/>
      <c r="J1" s="152"/>
    </row>
    <row r="2" spans="1:24" ht="15.75">
      <c r="B2" s="155" t="s">
        <v>320</v>
      </c>
      <c r="C2" s="155"/>
      <c r="D2" s="155"/>
      <c r="E2" s="155"/>
      <c r="F2" s="154"/>
      <c r="G2" s="154"/>
      <c r="H2" s="152"/>
      <c r="I2" s="152"/>
      <c r="J2" s="152"/>
    </row>
    <row r="3" spans="1:24" ht="15.75">
      <c r="B3" s="157" t="s">
        <v>319</v>
      </c>
      <c r="C3" s="156"/>
      <c r="D3" s="156"/>
      <c r="E3" s="156"/>
      <c r="F3" s="154"/>
      <c r="G3" s="154"/>
      <c r="H3" s="152"/>
      <c r="I3" s="152"/>
      <c r="J3" s="152"/>
    </row>
    <row r="4" spans="1:24" ht="15.75">
      <c r="B4" s="155" t="s">
        <v>318</v>
      </c>
      <c r="C4" s="155"/>
      <c r="D4" s="155"/>
      <c r="E4" s="155"/>
      <c r="F4" s="154"/>
      <c r="G4" s="154"/>
      <c r="H4" s="152"/>
      <c r="I4" s="152"/>
      <c r="J4" s="152"/>
    </row>
    <row r="5" spans="1:24" ht="15.75">
      <c r="B5" s="155" t="s">
        <v>317</v>
      </c>
      <c r="C5" s="155"/>
      <c r="D5" s="155"/>
      <c r="E5" s="155"/>
      <c r="F5" s="154"/>
      <c r="G5" s="154"/>
      <c r="H5" s="152"/>
      <c r="I5" s="152"/>
      <c r="J5" s="152"/>
    </row>
    <row r="6" spans="1:24" ht="15.75">
      <c r="A6" s="153"/>
      <c r="B6" s="153"/>
      <c r="C6" s="153"/>
      <c r="D6" s="153"/>
      <c r="E6" s="153"/>
      <c r="F6" s="153"/>
      <c r="G6" s="153"/>
      <c r="H6" s="152"/>
      <c r="I6" s="152"/>
      <c r="J6" s="152"/>
    </row>
    <row r="7" spans="1:24" ht="15.75">
      <c r="A7" s="152"/>
      <c r="B7" s="152"/>
      <c r="C7" s="152"/>
      <c r="D7" s="152"/>
      <c r="E7" s="152"/>
      <c r="F7" s="152"/>
      <c r="G7" s="152"/>
      <c r="H7" s="152"/>
      <c r="I7" s="152"/>
      <c r="J7" s="152"/>
    </row>
    <row r="9" spans="1:24">
      <c r="A9" s="131" t="s">
        <v>316</v>
      </c>
    </row>
    <row r="10" spans="1:24"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</row>
    <row r="11" spans="1:24">
      <c r="A11" s="131" t="s">
        <v>315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</row>
    <row r="12" spans="1:24" ht="15.75">
      <c r="C12" s="151" t="s">
        <v>262</v>
      </c>
      <c r="F12" s="150"/>
      <c r="G12" s="142"/>
      <c r="H12" s="142"/>
      <c r="I12" s="150"/>
      <c r="J12" s="142"/>
      <c r="K12" s="142"/>
      <c r="L12" s="149"/>
      <c r="M12" s="142"/>
      <c r="N12" s="142"/>
      <c r="O12" s="149"/>
      <c r="P12" s="142"/>
      <c r="Q12" s="142"/>
      <c r="R12" s="149"/>
      <c r="S12" s="142"/>
      <c r="T12" s="142"/>
      <c r="U12" s="142"/>
      <c r="V12" s="142"/>
      <c r="W12" s="142"/>
      <c r="X12" s="142"/>
    </row>
    <row r="13" spans="1:24">
      <c r="B13" s="131" t="s">
        <v>314</v>
      </c>
      <c r="C13" s="131" t="s">
        <v>313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</row>
    <row r="14" spans="1:24">
      <c r="A14" s="131" t="s">
        <v>312</v>
      </c>
      <c r="B14" s="145">
        <v>0</v>
      </c>
      <c r="C14" s="148">
        <v>5.1995439999999997E-2</v>
      </c>
      <c r="D14" s="141">
        <f>$B14*C14</f>
        <v>0</v>
      </c>
      <c r="E14" s="145"/>
      <c r="F14" s="144"/>
      <c r="G14" s="143"/>
      <c r="H14" s="143"/>
      <c r="I14" s="144"/>
      <c r="J14" s="143"/>
      <c r="K14" s="142"/>
      <c r="L14" s="144"/>
      <c r="M14" s="143"/>
      <c r="N14" s="143"/>
      <c r="O14" s="144"/>
      <c r="P14" s="143"/>
      <c r="Q14" s="142"/>
      <c r="R14" s="144"/>
      <c r="S14" s="143"/>
      <c r="T14" s="142"/>
      <c r="U14" s="142"/>
      <c r="V14" s="142"/>
      <c r="W14" s="142"/>
      <c r="X14" s="142"/>
    </row>
    <row r="15" spans="1:24">
      <c r="A15" s="131" t="s">
        <v>311</v>
      </c>
      <c r="B15" s="145">
        <v>4.3099999999999999E-2</v>
      </c>
      <c r="C15" s="148">
        <v>0.71042017000000002</v>
      </c>
      <c r="D15" s="141">
        <f>$B15*C15</f>
        <v>3.0619109327000002E-2</v>
      </c>
      <c r="E15" s="145"/>
      <c r="F15" s="144"/>
      <c r="G15" s="143"/>
      <c r="H15" s="143"/>
      <c r="I15" s="144"/>
      <c r="J15" s="143"/>
      <c r="K15" s="142"/>
      <c r="L15" s="144"/>
      <c r="M15" s="143"/>
      <c r="N15" s="143"/>
      <c r="O15" s="144"/>
      <c r="P15" s="143"/>
      <c r="Q15" s="142"/>
      <c r="R15" s="144"/>
      <c r="S15" s="143"/>
      <c r="T15" s="142"/>
      <c r="U15" s="142"/>
      <c r="V15" s="142"/>
      <c r="W15" s="142"/>
      <c r="X15" s="142"/>
    </row>
    <row r="16" spans="1:24">
      <c r="A16" s="131" t="s">
        <v>310</v>
      </c>
      <c r="B16" s="145">
        <v>6.7500000000000004E-2</v>
      </c>
      <c r="C16" s="147">
        <v>0.23758439000000001</v>
      </c>
      <c r="D16" s="146">
        <f>$B16*C16</f>
        <v>1.6036946325000002E-2</v>
      </c>
      <c r="E16" s="145"/>
      <c r="F16" s="144"/>
      <c r="G16" s="143"/>
      <c r="H16" s="143"/>
      <c r="I16" s="144"/>
      <c r="J16" s="143"/>
      <c r="K16" s="142"/>
      <c r="L16" s="144"/>
      <c r="M16" s="143"/>
      <c r="N16" s="143"/>
      <c r="O16" s="144"/>
      <c r="P16" s="143"/>
      <c r="Q16" s="142"/>
      <c r="R16" s="144"/>
      <c r="S16" s="143"/>
      <c r="T16" s="142"/>
      <c r="U16" s="142"/>
      <c r="V16" s="142"/>
      <c r="W16" s="142"/>
      <c r="X16" s="142"/>
    </row>
    <row r="17" spans="1:66">
      <c r="C17" s="141">
        <f>SUM(C14:C16)</f>
        <v>1</v>
      </c>
      <c r="D17" s="141">
        <f>SUM(D14:D16)</f>
        <v>4.6656055652000004E-2</v>
      </c>
      <c r="F17" s="143"/>
      <c r="G17" s="143"/>
      <c r="H17" s="143"/>
      <c r="I17" s="143"/>
      <c r="J17" s="143"/>
      <c r="K17" s="142"/>
      <c r="L17" s="143"/>
      <c r="M17" s="143"/>
      <c r="N17" s="143"/>
      <c r="O17" s="143"/>
      <c r="P17" s="143"/>
      <c r="Q17" s="142"/>
      <c r="R17" s="142"/>
      <c r="S17" s="143"/>
      <c r="T17" s="142"/>
      <c r="U17" s="142"/>
      <c r="V17" s="142"/>
      <c r="W17" s="142"/>
      <c r="X17" s="142"/>
    </row>
    <row r="18" spans="1:66">
      <c r="I18" s="141"/>
      <c r="J18" s="141"/>
      <c r="K18" s="141"/>
      <c r="L18" s="141"/>
      <c r="M18" s="141"/>
    </row>
    <row r="19" spans="1:66">
      <c r="I19" s="141"/>
      <c r="J19" s="141"/>
      <c r="K19" s="141"/>
      <c r="L19" s="141"/>
      <c r="M19" s="141"/>
    </row>
    <row r="22" spans="1:66" ht="20.25">
      <c r="A22" s="138" t="s">
        <v>309</v>
      </c>
      <c r="B22" s="137" t="s">
        <v>308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6"/>
      <c r="N22" s="136"/>
      <c r="O22" s="136"/>
      <c r="Q22" s="135"/>
      <c r="R22" s="134"/>
      <c r="S22" s="133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</row>
    <row r="23" spans="1:66" ht="20.25">
      <c r="A23" s="138"/>
      <c r="B23" s="137" t="s">
        <v>307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6"/>
      <c r="N23" s="136"/>
      <c r="O23" s="136"/>
      <c r="Q23" s="135"/>
      <c r="R23" s="134"/>
      <c r="S23" s="133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</row>
    <row r="24" spans="1:66" ht="20.25">
      <c r="A24" s="138"/>
      <c r="B24" s="137" t="s">
        <v>306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6"/>
      <c r="N24" s="136"/>
      <c r="O24" s="136"/>
      <c r="Q24" s="135"/>
      <c r="R24" s="134"/>
      <c r="S24" s="133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</row>
    <row r="25" spans="1:66" ht="20.25">
      <c r="A25" s="138"/>
      <c r="B25" s="137" t="s">
        <v>305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6"/>
      <c r="N25" s="136"/>
      <c r="O25" s="136"/>
      <c r="Q25" s="135"/>
      <c r="R25" s="134"/>
      <c r="S25" s="133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</row>
    <row r="26" spans="1:66" ht="20.25">
      <c r="A26" s="138"/>
      <c r="B26" s="137" t="s">
        <v>304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6"/>
      <c r="N26" s="136"/>
      <c r="O26" s="136"/>
      <c r="Q26" s="135"/>
      <c r="R26" s="134"/>
      <c r="S26" s="133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</row>
    <row r="27" spans="1:66" ht="20.25">
      <c r="A27" s="138"/>
      <c r="B27" s="137" t="s">
        <v>303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6"/>
      <c r="N27" s="136"/>
      <c r="O27" s="136"/>
      <c r="Q27" s="135"/>
      <c r="R27" s="134"/>
      <c r="S27" s="133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</row>
    <row r="28" spans="1:66" ht="20.25">
      <c r="A28" s="138"/>
      <c r="F28" s="140" t="s">
        <v>302</v>
      </c>
      <c r="G28" s="137" t="s">
        <v>301</v>
      </c>
      <c r="H28" s="220">
        <v>0.21</v>
      </c>
      <c r="I28" s="137"/>
      <c r="J28" s="137"/>
      <c r="K28" s="137"/>
      <c r="L28" s="137"/>
      <c r="M28" s="136"/>
      <c r="N28" s="136"/>
      <c r="O28" s="136"/>
      <c r="Q28" s="135"/>
      <c r="R28" s="134"/>
      <c r="S28" s="133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</row>
    <row r="29" spans="1:66" ht="20.25">
      <c r="A29" s="138"/>
      <c r="F29" s="137"/>
      <c r="G29" s="137" t="s">
        <v>300</v>
      </c>
      <c r="H29" s="221">
        <f>ROUND(D17,4)</f>
        <v>4.6699999999999998E-2</v>
      </c>
      <c r="I29" s="137" t="s">
        <v>299</v>
      </c>
      <c r="J29" s="137"/>
      <c r="K29" s="137"/>
      <c r="L29" s="137"/>
      <c r="M29" s="136"/>
      <c r="N29" s="136"/>
      <c r="O29" s="136"/>
      <c r="Q29" s="135"/>
      <c r="R29" s="134"/>
      <c r="S29" s="139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</row>
    <row r="30" spans="1:66" ht="20.25">
      <c r="A30" s="138"/>
      <c r="F30" s="137"/>
      <c r="G30" s="137" t="s">
        <v>298</v>
      </c>
      <c r="H30" s="220">
        <v>0</v>
      </c>
      <c r="I30" s="137" t="s">
        <v>297</v>
      </c>
      <c r="J30" s="137"/>
      <c r="K30" s="137"/>
      <c r="L30" s="137"/>
      <c r="M30" s="136"/>
      <c r="N30" s="136"/>
      <c r="O30" s="136"/>
      <c r="Q30" s="135"/>
      <c r="R30" s="134"/>
      <c r="S30" s="133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</row>
  </sheetData>
  <pageMargins left="0.7" right="0.7" top="0.75" bottom="0.75" header="0.3" footer="0.3"/>
  <pageSetup scale="58" orientation="landscape" r:id="rId1"/>
  <headerFooter>
    <oddFooter>&amp;C&amp;F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9"/>
  <sheetViews>
    <sheetView showGridLines="0" topLeftCell="A2" workbookViewId="0">
      <selection activeCell="T28" sqref="T28"/>
    </sheetView>
  </sheetViews>
  <sheetFormatPr defaultRowHeight="12.75"/>
  <cols>
    <col min="1" max="1" width="15.7109375" style="23" customWidth="1"/>
    <col min="2" max="2" width="2.7109375" customWidth="1"/>
    <col min="3" max="3" width="14.42578125" bestFit="1" customWidth="1"/>
    <col min="4" max="4" width="2.7109375" style="8" customWidth="1"/>
    <col min="5" max="5" width="15.42578125" bestFit="1" customWidth="1"/>
    <col min="6" max="6" width="2.7109375" style="8" customWidth="1"/>
    <col min="7" max="7" width="15.42578125" bestFit="1" customWidth="1"/>
    <col min="8" max="8" width="2.7109375" style="8" customWidth="1"/>
    <col min="9" max="9" width="13.42578125" bestFit="1" customWidth="1"/>
    <col min="10" max="10" width="2.7109375" style="8" customWidth="1"/>
    <col min="11" max="11" width="13.42578125" bestFit="1" customWidth="1"/>
    <col min="12" max="12" width="2.7109375" style="8" customWidth="1"/>
    <col min="13" max="13" width="14.42578125" bestFit="1" customWidth="1"/>
    <col min="14" max="14" width="2.7109375" customWidth="1"/>
    <col min="15" max="15" width="14.140625" bestFit="1" customWidth="1"/>
    <col min="16" max="16" width="15.42578125" bestFit="1" customWidth="1"/>
    <col min="17" max="18" width="11.7109375" bestFit="1" customWidth="1"/>
    <col min="19" max="19" width="10.7109375" bestFit="1" customWidth="1"/>
    <col min="20" max="20" width="11.7109375" bestFit="1" customWidth="1"/>
    <col min="21" max="22" width="12.7109375" bestFit="1" customWidth="1"/>
  </cols>
  <sheetData>
    <row r="1" spans="1:21">
      <c r="A1" s="22" t="s">
        <v>0</v>
      </c>
      <c r="B1" s="11"/>
      <c r="C1" s="11"/>
      <c r="D1" s="14"/>
      <c r="E1" s="11"/>
      <c r="F1" s="14"/>
      <c r="G1" s="11"/>
      <c r="H1" s="14"/>
      <c r="I1" s="11"/>
      <c r="J1" s="14"/>
      <c r="K1" s="11"/>
      <c r="L1" s="14"/>
      <c r="M1" s="11"/>
      <c r="O1" s="3" t="s">
        <v>0</v>
      </c>
      <c r="P1" s="3"/>
      <c r="Q1" s="3"/>
      <c r="R1" s="3"/>
      <c r="S1" s="3"/>
      <c r="T1" s="3"/>
      <c r="U1" s="3"/>
    </row>
    <row r="2" spans="1:21">
      <c r="A2" s="22" t="s">
        <v>2</v>
      </c>
      <c r="B2" s="11"/>
      <c r="C2" s="11"/>
      <c r="D2" s="14"/>
      <c r="E2" s="11"/>
      <c r="F2" s="14"/>
      <c r="G2" s="11"/>
      <c r="H2" s="14"/>
      <c r="I2" s="11"/>
      <c r="J2" s="14"/>
      <c r="K2" s="11"/>
      <c r="L2" s="14"/>
      <c r="M2" s="11"/>
      <c r="O2" s="3" t="s">
        <v>2</v>
      </c>
      <c r="P2" s="3"/>
      <c r="Q2" s="3"/>
      <c r="R2" s="3"/>
      <c r="S2" s="3"/>
      <c r="T2" s="3"/>
      <c r="U2" s="3"/>
    </row>
    <row r="3" spans="1:21">
      <c r="A3" s="22" t="s">
        <v>180</v>
      </c>
      <c r="B3" s="11"/>
      <c r="C3" s="11"/>
      <c r="D3" s="14"/>
      <c r="E3" s="11"/>
      <c r="F3" s="14"/>
      <c r="G3" s="11"/>
      <c r="H3" s="14"/>
      <c r="I3" s="11"/>
      <c r="J3" s="14"/>
      <c r="K3" s="11"/>
      <c r="L3" s="14"/>
      <c r="M3" s="11"/>
      <c r="O3" s="3" t="s">
        <v>402</v>
      </c>
      <c r="P3" s="3"/>
      <c r="Q3" s="3"/>
      <c r="R3" s="3"/>
      <c r="S3" s="3"/>
      <c r="T3" s="3"/>
      <c r="U3" s="3"/>
    </row>
    <row r="4" spans="1:21">
      <c r="A4" s="22" t="s">
        <v>262</v>
      </c>
      <c r="B4" s="11"/>
      <c r="C4" s="11"/>
      <c r="D4" s="14"/>
      <c r="E4" s="11"/>
      <c r="F4" s="14"/>
      <c r="G4" s="11"/>
      <c r="H4" s="14"/>
      <c r="I4" s="11"/>
      <c r="J4" s="14"/>
      <c r="K4" s="11"/>
      <c r="L4" s="14"/>
      <c r="M4" s="11"/>
      <c r="O4" s="3" t="s">
        <v>262</v>
      </c>
      <c r="P4" s="3"/>
      <c r="Q4" s="3"/>
      <c r="R4" s="3"/>
      <c r="S4" s="3"/>
      <c r="T4" s="3"/>
      <c r="U4" s="3"/>
    </row>
    <row r="5" spans="1:21">
      <c r="Q5" s="64"/>
      <c r="R5" s="64"/>
      <c r="S5" s="64"/>
      <c r="T5" s="64"/>
      <c r="U5" s="64"/>
    </row>
    <row r="7" spans="1:21">
      <c r="A7" s="25" t="s">
        <v>23</v>
      </c>
      <c r="C7" s="9"/>
      <c r="D7" s="9"/>
      <c r="E7" s="9"/>
      <c r="F7" s="9"/>
      <c r="G7" s="9"/>
      <c r="H7" s="9"/>
      <c r="I7" s="9" t="s">
        <v>77</v>
      </c>
      <c r="J7" s="9"/>
      <c r="K7" s="9" t="s">
        <v>78</v>
      </c>
      <c r="L7" s="9"/>
      <c r="M7" s="9"/>
      <c r="P7" s="9" t="s">
        <v>17</v>
      </c>
      <c r="Q7" s="41" t="s">
        <v>413</v>
      </c>
      <c r="R7" s="41"/>
      <c r="S7" s="41"/>
      <c r="T7" s="41"/>
      <c r="U7" s="9" t="s">
        <v>22</v>
      </c>
    </row>
    <row r="8" spans="1:21">
      <c r="A8" s="24" t="s">
        <v>32</v>
      </c>
      <c r="C8" s="4" t="s">
        <v>16</v>
      </c>
      <c r="D8" s="9"/>
      <c r="E8" s="4" t="s">
        <v>17</v>
      </c>
      <c r="F8" s="9"/>
      <c r="G8" s="4" t="s">
        <v>18</v>
      </c>
      <c r="H8" s="9"/>
      <c r="I8" s="4" t="s">
        <v>20</v>
      </c>
      <c r="J8" s="9"/>
      <c r="K8" s="4" t="s">
        <v>20</v>
      </c>
      <c r="L8" s="9"/>
      <c r="M8" s="4" t="s">
        <v>22</v>
      </c>
      <c r="P8" s="4" t="s">
        <v>403</v>
      </c>
      <c r="Q8" s="4" t="s">
        <v>203</v>
      </c>
      <c r="R8" s="4" t="s">
        <v>412</v>
      </c>
      <c r="S8" s="4" t="s">
        <v>251</v>
      </c>
      <c r="T8" s="4" t="s">
        <v>22</v>
      </c>
      <c r="U8" s="4" t="s">
        <v>17</v>
      </c>
    </row>
    <row r="9" spans="1:21" ht="15" customHeight="1">
      <c r="A9" s="26" t="s">
        <v>265</v>
      </c>
      <c r="C9" s="69">
        <v>1052973848</v>
      </c>
      <c r="D9" s="15"/>
      <c r="E9" s="69">
        <v>321751057</v>
      </c>
      <c r="F9" s="99"/>
      <c r="G9" s="128">
        <v>382488003.51999998</v>
      </c>
      <c r="H9" s="15"/>
      <c r="I9" s="69">
        <v>37522036</v>
      </c>
      <c r="J9" s="15"/>
      <c r="K9" s="69">
        <v>130945290</v>
      </c>
      <c r="L9" s="15"/>
      <c r="M9" s="10">
        <f>C9+ROUND(E9,0)+ROUND(G9,0)+I9+K9</f>
        <v>1925680235</v>
      </c>
      <c r="O9" t="str">
        <f t="shared" ref="O9:O21" si="0">A9</f>
        <v>December 2018</v>
      </c>
      <c r="P9" s="81">
        <v>299537369.64999992</v>
      </c>
      <c r="Q9" s="69"/>
      <c r="R9" s="10">
        <f>ROUND(BSSE!E10,0)</f>
        <v>20493598</v>
      </c>
      <c r="S9" s="10">
        <f>ROUND(BSSE!G10,0)</f>
        <v>1720089</v>
      </c>
      <c r="T9" s="10">
        <f>SUM(Q9:S9)</f>
        <v>22213687</v>
      </c>
      <c r="U9" s="10">
        <f>ROUND(P9+T9,0)</f>
        <v>321751057</v>
      </c>
    </row>
    <row r="10" spans="1:21">
      <c r="A10" s="26" t="s">
        <v>266</v>
      </c>
      <c r="C10" s="53">
        <v>1053311226</v>
      </c>
      <c r="D10" s="13"/>
      <c r="E10" s="53">
        <v>430223391</v>
      </c>
      <c r="F10" s="98"/>
      <c r="G10" s="97">
        <v>383017898.04999995</v>
      </c>
      <c r="H10" s="13"/>
      <c r="I10" s="53">
        <v>37811499</v>
      </c>
      <c r="J10" s="13"/>
      <c r="K10" s="53">
        <v>131319513</v>
      </c>
      <c r="L10" s="13"/>
      <c r="M10" s="1">
        <f t="shared" ref="M10:M21" si="1">C10+ROUND(E10,0)+ROUND(G10,0)+I10+K10</f>
        <v>2035683527</v>
      </c>
      <c r="O10" s="64" t="str">
        <f t="shared" si="0"/>
        <v>January 2019</v>
      </c>
      <c r="P10" s="16">
        <v>299156880.6099999</v>
      </c>
      <c r="Q10" s="53">
        <f>ROUND(BSSE!C11,0)</f>
        <v>108852823</v>
      </c>
      <c r="R10" s="1">
        <f>ROUND(BSSE!E11,0)</f>
        <v>20493598</v>
      </c>
      <c r="S10" s="1">
        <f>ROUND(BSSE!G11,0)</f>
        <v>1720089</v>
      </c>
      <c r="T10" s="1">
        <f t="shared" ref="T10:T21" si="2">SUM(Q10:S10)</f>
        <v>131066510</v>
      </c>
      <c r="U10" s="1">
        <f t="shared" ref="U10:U21" si="3">ROUND(P10+T10,0)</f>
        <v>430223391</v>
      </c>
    </row>
    <row r="11" spans="1:21">
      <c r="A11" s="26" t="s">
        <v>4</v>
      </c>
      <c r="C11" s="53">
        <v>1053426686</v>
      </c>
      <c r="D11" s="13"/>
      <c r="E11" s="53">
        <v>429970050</v>
      </c>
      <c r="F11" s="98"/>
      <c r="G11" s="97">
        <v>383537648.62999994</v>
      </c>
      <c r="H11" s="13"/>
      <c r="I11" s="53">
        <v>38064734</v>
      </c>
      <c r="J11" s="13"/>
      <c r="K11" s="53">
        <v>131705215</v>
      </c>
      <c r="L11" s="13"/>
      <c r="M11" s="1">
        <f t="shared" si="1"/>
        <v>2036704334</v>
      </c>
      <c r="O11" s="64" t="str">
        <f t="shared" si="0"/>
        <v>February</v>
      </c>
      <c r="P11" s="16">
        <v>298776391.62999988</v>
      </c>
      <c r="Q11" s="53">
        <f>ROUND(BSSE!C12,0)</f>
        <v>108979971</v>
      </c>
      <c r="R11" s="1">
        <f>ROUND(BSSE!E12,0)</f>
        <v>20493598</v>
      </c>
      <c r="S11" s="1">
        <f>ROUND(BSSE!G12,0)</f>
        <v>1720089</v>
      </c>
      <c r="T11" s="1">
        <f t="shared" si="2"/>
        <v>131193658</v>
      </c>
      <c r="U11" s="1">
        <f t="shared" si="3"/>
        <v>429970050</v>
      </c>
    </row>
    <row r="12" spans="1:21">
      <c r="A12" s="26" t="s">
        <v>5</v>
      </c>
      <c r="C12" s="53">
        <v>1053747256</v>
      </c>
      <c r="D12" s="13"/>
      <c r="E12" s="53">
        <v>429662208</v>
      </c>
      <c r="F12" s="98"/>
      <c r="G12" s="97">
        <v>384112828.02999991</v>
      </c>
      <c r="H12" s="13"/>
      <c r="I12" s="53">
        <v>39432264</v>
      </c>
      <c r="J12" s="13"/>
      <c r="K12" s="53">
        <v>132336801</v>
      </c>
      <c r="L12" s="13"/>
      <c r="M12" s="1">
        <f t="shared" si="1"/>
        <v>2039291357</v>
      </c>
      <c r="O12" s="64" t="str">
        <f t="shared" si="0"/>
        <v>March</v>
      </c>
      <c r="P12" s="16">
        <v>298395902.64999986</v>
      </c>
      <c r="Q12" s="53">
        <f>ROUND(BSSE!C13,0)</f>
        <v>109052618</v>
      </c>
      <c r="R12" s="1">
        <f>ROUND(BSSE!E13,0)</f>
        <v>20493598</v>
      </c>
      <c r="S12" s="1">
        <f>ROUND(BSSE!G13,0)</f>
        <v>1720089</v>
      </c>
      <c r="T12" s="1">
        <f t="shared" si="2"/>
        <v>131266305</v>
      </c>
      <c r="U12" s="1">
        <f t="shared" si="3"/>
        <v>429662208</v>
      </c>
    </row>
    <row r="13" spans="1:21">
      <c r="A13" s="26" t="s">
        <v>6</v>
      </c>
      <c r="C13" s="53">
        <v>1054134776</v>
      </c>
      <c r="D13" s="13"/>
      <c r="E13" s="53">
        <v>429508814</v>
      </c>
      <c r="F13" s="98"/>
      <c r="G13" s="97">
        <v>384890580.3599999</v>
      </c>
      <c r="H13" s="13"/>
      <c r="I13" s="53">
        <v>39703169</v>
      </c>
      <c r="J13" s="13"/>
      <c r="K13" s="53">
        <v>132843729</v>
      </c>
      <c r="L13" s="13"/>
      <c r="M13" s="1">
        <f t="shared" si="1"/>
        <v>2041081068</v>
      </c>
      <c r="O13" s="64" t="str">
        <f t="shared" si="0"/>
        <v>April</v>
      </c>
      <c r="P13" s="16">
        <v>298015413.66999984</v>
      </c>
      <c r="Q13" s="53">
        <f>ROUND(BSSE!C14,0)</f>
        <v>109279713</v>
      </c>
      <c r="R13" s="1">
        <f>ROUND(BSSE!E14,0)</f>
        <v>20493598</v>
      </c>
      <c r="S13" s="1">
        <f>ROUND(BSSE!G14,0)</f>
        <v>1720089</v>
      </c>
      <c r="T13" s="1">
        <f t="shared" si="2"/>
        <v>131493400</v>
      </c>
      <c r="U13" s="1">
        <f t="shared" si="3"/>
        <v>429508814</v>
      </c>
    </row>
    <row r="14" spans="1:21">
      <c r="A14" s="26" t="s">
        <v>7</v>
      </c>
      <c r="C14" s="53">
        <v>1055586647</v>
      </c>
      <c r="D14" s="13"/>
      <c r="E14" s="53">
        <v>440553413</v>
      </c>
      <c r="F14" s="98"/>
      <c r="G14" s="97">
        <v>385686298.37999988</v>
      </c>
      <c r="H14" s="13"/>
      <c r="I14" s="53">
        <v>40052296</v>
      </c>
      <c r="J14" s="13"/>
      <c r="K14" s="53">
        <v>133469393</v>
      </c>
      <c r="L14" s="13"/>
      <c r="M14" s="1">
        <f t="shared" si="1"/>
        <v>2055348047</v>
      </c>
      <c r="O14" s="64" t="str">
        <f t="shared" si="0"/>
        <v>May</v>
      </c>
      <c r="P14" s="16">
        <v>308912284.76999986</v>
      </c>
      <c r="Q14" s="53">
        <f>ROUND(BSSE!C15,0)</f>
        <v>109427441</v>
      </c>
      <c r="R14" s="1">
        <f>ROUND(BSSE!E15,0)</f>
        <v>20493598</v>
      </c>
      <c r="S14" s="1">
        <f>ROUND(BSSE!G15,0)</f>
        <v>1720089</v>
      </c>
      <c r="T14" s="1">
        <f t="shared" si="2"/>
        <v>131641128</v>
      </c>
      <c r="U14" s="1">
        <f t="shared" si="3"/>
        <v>440553413</v>
      </c>
    </row>
    <row r="15" spans="1:21">
      <c r="A15" s="26" t="s">
        <v>8</v>
      </c>
      <c r="C15" s="53">
        <v>1056624934</v>
      </c>
      <c r="D15" s="13"/>
      <c r="E15" s="53">
        <v>441874697</v>
      </c>
      <c r="F15" s="98"/>
      <c r="G15" s="97">
        <v>388175074.86999989</v>
      </c>
      <c r="H15" s="13"/>
      <c r="I15" s="53">
        <v>42359575</v>
      </c>
      <c r="J15" s="13"/>
      <c r="K15" s="53">
        <v>134799549</v>
      </c>
      <c r="L15" s="13"/>
      <c r="M15" s="1">
        <f t="shared" si="1"/>
        <v>2063833830</v>
      </c>
      <c r="O15" s="64" t="str">
        <f t="shared" si="0"/>
        <v>June</v>
      </c>
      <c r="P15" s="16">
        <v>309968840.79999983</v>
      </c>
      <c r="Q15" s="53">
        <f>ROUND(BSSE!C16,0)</f>
        <v>109692169</v>
      </c>
      <c r="R15" s="1">
        <f>ROUND(BSSE!E16,0)</f>
        <v>20493598</v>
      </c>
      <c r="S15" s="1">
        <f>ROUND(BSSE!G16,0)</f>
        <v>1720089</v>
      </c>
      <c r="T15" s="1">
        <f t="shared" si="2"/>
        <v>131905856</v>
      </c>
      <c r="U15" s="1">
        <f t="shared" si="3"/>
        <v>441874697</v>
      </c>
    </row>
    <row r="16" spans="1:21">
      <c r="A16" s="26" t="s">
        <v>9</v>
      </c>
      <c r="C16" s="53">
        <v>1057537034</v>
      </c>
      <c r="D16" s="13"/>
      <c r="E16" s="53">
        <v>442410215</v>
      </c>
      <c r="F16" s="98"/>
      <c r="G16" s="97">
        <v>390056944.1699999</v>
      </c>
      <c r="H16" s="13"/>
      <c r="I16" s="53">
        <v>43282596</v>
      </c>
      <c r="J16" s="13"/>
      <c r="K16" s="53">
        <v>135444783</v>
      </c>
      <c r="L16" s="13"/>
      <c r="M16" s="1">
        <f t="shared" si="1"/>
        <v>2068731572</v>
      </c>
      <c r="O16" s="64" t="str">
        <f t="shared" si="0"/>
        <v>July</v>
      </c>
      <c r="P16" s="16">
        <v>310462327.65999985</v>
      </c>
      <c r="Q16" s="53">
        <f>ROUND(BSSE!C17,0)</f>
        <v>109734200</v>
      </c>
      <c r="R16" s="1">
        <f>ROUND(BSSE!E17,0)</f>
        <v>20493598</v>
      </c>
      <c r="S16" s="1">
        <f>ROUND(BSSE!G17,0)</f>
        <v>1720089</v>
      </c>
      <c r="T16" s="1">
        <f t="shared" si="2"/>
        <v>131947887</v>
      </c>
      <c r="U16" s="1">
        <f t="shared" si="3"/>
        <v>442410215</v>
      </c>
    </row>
    <row r="17" spans="1:22">
      <c r="A17" s="26" t="s">
        <v>10</v>
      </c>
      <c r="C17" s="53">
        <v>1058300674</v>
      </c>
      <c r="D17" s="13"/>
      <c r="E17" s="53">
        <v>443356592</v>
      </c>
      <c r="F17" s="98"/>
      <c r="G17" s="97">
        <v>391893077.13999993</v>
      </c>
      <c r="H17" s="13"/>
      <c r="I17" s="53">
        <v>43721338</v>
      </c>
      <c r="J17" s="13"/>
      <c r="K17" s="53">
        <v>136231137</v>
      </c>
      <c r="L17" s="13"/>
      <c r="M17" s="1">
        <f t="shared" si="1"/>
        <v>2073502818</v>
      </c>
      <c r="O17" s="64" t="str">
        <f t="shared" si="0"/>
        <v>August</v>
      </c>
      <c r="P17" s="16">
        <v>310782810.65999985</v>
      </c>
      <c r="Q17" s="53">
        <f>ROUND(BSSE!C18,0)</f>
        <v>110360094</v>
      </c>
      <c r="R17" s="1">
        <f>ROUND(BSSE!E18,0)</f>
        <v>20493598</v>
      </c>
      <c r="S17" s="1">
        <f>ROUND(BSSE!G18,0)</f>
        <v>1720089</v>
      </c>
      <c r="T17" s="1">
        <f t="shared" si="2"/>
        <v>132573781</v>
      </c>
      <c r="U17" s="1">
        <f t="shared" si="3"/>
        <v>443356592</v>
      </c>
    </row>
    <row r="18" spans="1:22">
      <c r="A18" s="26" t="s">
        <v>11</v>
      </c>
      <c r="C18" s="53">
        <v>1058782680</v>
      </c>
      <c r="D18" s="13"/>
      <c r="E18" s="53">
        <v>443049910</v>
      </c>
      <c r="F18" s="98"/>
      <c r="G18" s="97">
        <v>393969046.82999992</v>
      </c>
      <c r="H18" s="13"/>
      <c r="I18" s="53">
        <v>44019179</v>
      </c>
      <c r="J18" s="13"/>
      <c r="K18" s="53">
        <v>137756821</v>
      </c>
      <c r="L18" s="13"/>
      <c r="M18" s="1">
        <f t="shared" si="1"/>
        <v>2077577637</v>
      </c>
      <c r="N18" s="64"/>
      <c r="O18" s="64" t="str">
        <f t="shared" si="0"/>
        <v>September</v>
      </c>
      <c r="P18" s="16">
        <v>310462097.87999988</v>
      </c>
      <c r="Q18" s="53">
        <f>ROUND(BSSE!C19,0)</f>
        <v>110374125</v>
      </c>
      <c r="R18" s="1">
        <f>ROUND(BSSE!E19,0)</f>
        <v>20493598</v>
      </c>
      <c r="S18" s="1">
        <f>ROUND(BSSE!G19,0)</f>
        <v>1720089</v>
      </c>
      <c r="T18" s="1">
        <f t="shared" si="2"/>
        <v>132587812</v>
      </c>
      <c r="U18" s="1">
        <f t="shared" si="3"/>
        <v>443049910</v>
      </c>
    </row>
    <row r="19" spans="1:22">
      <c r="A19" s="26" t="s">
        <v>12</v>
      </c>
      <c r="C19" s="53">
        <v>1061602114</v>
      </c>
      <c r="D19" s="13"/>
      <c r="E19" s="53">
        <v>448426331</v>
      </c>
      <c r="F19" s="98"/>
      <c r="G19" s="97">
        <v>396993983.08999991</v>
      </c>
      <c r="H19" s="13"/>
      <c r="I19" s="53">
        <v>44473103</v>
      </c>
      <c r="J19" s="13"/>
      <c r="K19" s="53">
        <v>138884945</v>
      </c>
      <c r="L19" s="13"/>
      <c r="M19" s="1">
        <f t="shared" si="1"/>
        <v>2090380476</v>
      </c>
      <c r="N19" s="64"/>
      <c r="O19" s="64" t="str">
        <f t="shared" si="0"/>
        <v>October</v>
      </c>
      <c r="P19" s="16">
        <v>315824488.42999989</v>
      </c>
      <c r="Q19" s="53">
        <f>ROUND(BSSE!C20,0)</f>
        <v>110388156</v>
      </c>
      <c r="R19" s="1">
        <f>ROUND(BSSE!E20,0)</f>
        <v>20493598</v>
      </c>
      <c r="S19" s="1">
        <f>ROUND(BSSE!G20,0)</f>
        <v>1720089</v>
      </c>
      <c r="T19" s="1">
        <f t="shared" si="2"/>
        <v>132601843</v>
      </c>
      <c r="U19" s="1">
        <f t="shared" si="3"/>
        <v>448426331</v>
      </c>
    </row>
    <row r="20" spans="1:22">
      <c r="A20" s="26" t="s">
        <v>13</v>
      </c>
      <c r="C20" s="53">
        <v>1063262211</v>
      </c>
      <c r="D20" s="13"/>
      <c r="E20" s="53">
        <v>449306426</v>
      </c>
      <c r="F20" s="98"/>
      <c r="G20" s="97">
        <v>400812392.75999993</v>
      </c>
      <c r="H20" s="13"/>
      <c r="I20" s="53">
        <v>44889320</v>
      </c>
      <c r="J20" s="13"/>
      <c r="K20" s="53">
        <v>139477107</v>
      </c>
      <c r="L20" s="13"/>
      <c r="M20" s="1">
        <f t="shared" si="1"/>
        <v>2097747457</v>
      </c>
      <c r="N20" s="64"/>
      <c r="O20" s="64" t="str">
        <f t="shared" si="0"/>
        <v>November</v>
      </c>
      <c r="P20" s="16">
        <v>316690552.44999987</v>
      </c>
      <c r="Q20" s="53">
        <f>ROUND(BSSE!C21,0)</f>
        <v>110402187</v>
      </c>
      <c r="R20" s="1">
        <f>ROUND(BSSE!E21,0)</f>
        <v>20493598</v>
      </c>
      <c r="S20" s="1">
        <f>ROUND(BSSE!G21,0)</f>
        <v>1720089</v>
      </c>
      <c r="T20" s="1">
        <f t="shared" si="2"/>
        <v>132615874</v>
      </c>
      <c r="U20" s="1">
        <f t="shared" si="3"/>
        <v>449306426</v>
      </c>
    </row>
    <row r="21" spans="1:22">
      <c r="A21" s="26" t="s">
        <v>14</v>
      </c>
      <c r="C21" s="53">
        <v>1079150352</v>
      </c>
      <c r="D21" s="13"/>
      <c r="E21" s="53">
        <v>487662689</v>
      </c>
      <c r="F21" s="98"/>
      <c r="G21" s="97">
        <v>413041531.85999995</v>
      </c>
      <c r="H21" s="13"/>
      <c r="I21" s="53">
        <v>47744394</v>
      </c>
      <c r="J21" s="13"/>
      <c r="K21" s="53">
        <v>151165051</v>
      </c>
      <c r="L21" s="13"/>
      <c r="M21" s="1">
        <f t="shared" si="1"/>
        <v>2178764018</v>
      </c>
      <c r="N21" s="64"/>
      <c r="O21" s="64" t="str">
        <f t="shared" si="0"/>
        <v>December</v>
      </c>
      <c r="P21" s="16">
        <v>355032783.93999988</v>
      </c>
      <c r="Q21" s="53">
        <f>ROUND(BSSE!C22,0)</f>
        <v>110416218</v>
      </c>
      <c r="R21" s="1">
        <f>ROUND(BSSE!E22,0)</f>
        <v>20493598</v>
      </c>
      <c r="S21" s="1">
        <f>ROUND(BSSE!G22,0)</f>
        <v>1720089</v>
      </c>
      <c r="T21" s="1">
        <f t="shared" si="2"/>
        <v>132629905</v>
      </c>
      <c r="U21" s="1">
        <f t="shared" si="3"/>
        <v>487662689</v>
      </c>
    </row>
    <row r="22" spans="1:22" ht="13.5" thickBot="1">
      <c r="A22" s="27" t="s">
        <v>15</v>
      </c>
      <c r="C22" s="2">
        <f>ROUND(AVERAGE(C9:C21),0)</f>
        <v>1058341572</v>
      </c>
      <c r="D22" s="13"/>
      <c r="E22" s="2">
        <f>ROUND(AVERAGE(E9:E21),0)</f>
        <v>433673523</v>
      </c>
      <c r="F22" s="13"/>
      <c r="G22" s="2">
        <f>ROUND(AVERAGE(G9:G21),0)</f>
        <v>390667331</v>
      </c>
      <c r="H22" s="13"/>
      <c r="I22" s="2">
        <f>ROUND(AVERAGE(I9:I21),0)</f>
        <v>41775039</v>
      </c>
      <c r="J22" s="13"/>
      <c r="K22" s="2">
        <f>ROUND(AVERAGE(K9:K21),0)</f>
        <v>135875333</v>
      </c>
      <c r="L22" s="13"/>
      <c r="M22" s="2">
        <f t="shared" ref="M22" si="4">SUM(C22:L22)</f>
        <v>2060332798</v>
      </c>
      <c r="N22" s="64"/>
      <c r="O22" s="64"/>
      <c r="P22" s="1"/>
      <c r="Q22" s="1"/>
      <c r="R22" s="1"/>
      <c r="S22" s="1"/>
      <c r="T22" s="1"/>
      <c r="U22" s="1"/>
    </row>
    <row r="23" spans="1:22" ht="13.5" thickTop="1">
      <c r="A23" s="27"/>
      <c r="O23" s="64" t="s">
        <v>29</v>
      </c>
      <c r="P23" s="1"/>
      <c r="Q23" s="1"/>
      <c r="R23" s="1"/>
      <c r="U23" s="1">
        <f>ROUND(AVERAGE(U9:U21),0)</f>
        <v>433673523</v>
      </c>
    </row>
    <row r="24" spans="1:22">
      <c r="A24" s="258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64"/>
      <c r="Q24" s="1"/>
      <c r="S24" s="259" t="s">
        <v>438</v>
      </c>
      <c r="T24" s="1">
        <f>ROUND(AVERAGE(T9:T21),0)</f>
        <v>123518280</v>
      </c>
    </row>
    <row r="25" spans="1:22">
      <c r="I25" s="41" t="s">
        <v>166</v>
      </c>
      <c r="J25" s="41"/>
      <c r="K25" s="41"/>
      <c r="L25" s="41"/>
      <c r="M25" s="41"/>
      <c r="S25" s="38" t="s">
        <v>427</v>
      </c>
      <c r="T25" s="1">
        <v>8333966</v>
      </c>
    </row>
    <row r="26" spans="1:22" s="64" customFormat="1" ht="13.5" thickBot="1">
      <c r="A26" s="25" t="s">
        <v>23</v>
      </c>
      <c r="B26"/>
      <c r="C26"/>
      <c r="D26"/>
      <c r="E26" s="9" t="s">
        <v>19</v>
      </c>
      <c r="F26" s="8"/>
      <c r="G26" s="9" t="s">
        <v>22</v>
      </c>
      <c r="H26" s="8"/>
      <c r="I26" s="9" t="s">
        <v>21</v>
      </c>
      <c r="J26" s="8"/>
      <c r="K26" s="9" t="s">
        <v>21</v>
      </c>
      <c r="L26" s="8"/>
      <c r="M26" s="9" t="s">
        <v>22</v>
      </c>
      <c r="N26"/>
      <c r="O26"/>
      <c r="P26"/>
      <c r="Q26"/>
      <c r="R26"/>
      <c r="S26" s="38" t="s">
        <v>437</v>
      </c>
      <c r="T26" s="2">
        <f>T24+T25</f>
        <v>131852246</v>
      </c>
      <c r="U26"/>
      <c r="V26"/>
    </row>
    <row r="27" spans="1:22" ht="13.5" thickTop="1">
      <c r="A27" s="24" t="s">
        <v>32</v>
      </c>
      <c r="C27" s="4" t="s">
        <v>19</v>
      </c>
      <c r="D27"/>
      <c r="E27" s="4" t="s">
        <v>20</v>
      </c>
      <c r="G27" s="4" t="s">
        <v>19</v>
      </c>
      <c r="I27" s="4" t="s">
        <v>19</v>
      </c>
      <c r="K27" s="4" t="s">
        <v>20</v>
      </c>
      <c r="M27" s="4" t="s">
        <v>21</v>
      </c>
    </row>
    <row r="28" spans="1:22" s="64" customFormat="1">
      <c r="A28" s="26" t="str">
        <f>A9</f>
        <v>December 2018</v>
      </c>
      <c r="B28"/>
      <c r="C28" s="97">
        <v>31117890.530000001</v>
      </c>
      <c r="D28" s="97"/>
      <c r="E28" s="97">
        <v>6404145.6899999995</v>
      </c>
      <c r="F28" s="13"/>
      <c r="G28" s="1">
        <f>ROUND(SUM(C28:E28),0)</f>
        <v>37522036</v>
      </c>
      <c r="H28" s="8"/>
      <c r="I28" s="97">
        <v>46217126.560000002</v>
      </c>
      <c r="J28" s="98"/>
      <c r="K28" s="97">
        <v>27194213.050000001</v>
      </c>
      <c r="L28" s="13"/>
      <c r="M28" s="1">
        <f>ROUND(SUM(I28:K28),0)</f>
        <v>73411340</v>
      </c>
      <c r="N28"/>
      <c r="O28"/>
      <c r="P28"/>
      <c r="Q28"/>
      <c r="R28"/>
      <c r="U28"/>
      <c r="V28"/>
    </row>
    <row r="29" spans="1:22" s="64" customFormat="1">
      <c r="A29" s="26" t="str">
        <f>A10</f>
        <v>January 2019</v>
      </c>
      <c r="B29"/>
      <c r="C29" s="97">
        <v>31407353.290000003</v>
      </c>
      <c r="D29" s="97"/>
      <c r="E29" s="97">
        <v>6404145.6899999995</v>
      </c>
      <c r="F29" s="13"/>
      <c r="G29" s="1">
        <f t="shared" ref="G29:G40" si="5">ROUND(SUM(C29:E29),0)</f>
        <v>37811499</v>
      </c>
      <c r="H29" s="8"/>
      <c r="I29" s="97">
        <v>46282118.960000001</v>
      </c>
      <c r="J29" s="98"/>
      <c r="K29" s="97">
        <v>27351876.57</v>
      </c>
      <c r="L29" s="13"/>
      <c r="M29" s="1">
        <f t="shared" ref="M29:M40" si="6">ROUND(SUM(I29:K29),0)</f>
        <v>73633996</v>
      </c>
      <c r="N29"/>
      <c r="O29"/>
      <c r="P29"/>
      <c r="Q29"/>
      <c r="R29"/>
      <c r="S29"/>
      <c r="T29"/>
      <c r="U29"/>
      <c r="V29"/>
    </row>
    <row r="30" spans="1:22" s="64" customFormat="1">
      <c r="A30" s="26" t="str">
        <f>A11</f>
        <v>February</v>
      </c>
      <c r="B30"/>
      <c r="C30" s="97">
        <v>31660588.090000004</v>
      </c>
      <c r="D30" s="97"/>
      <c r="E30" s="97">
        <v>6404145.6899999995</v>
      </c>
      <c r="F30" s="13"/>
      <c r="G30" s="1">
        <f t="shared" si="5"/>
        <v>38064734</v>
      </c>
      <c r="H30" s="8"/>
      <c r="I30" s="97">
        <v>46353942.289999999</v>
      </c>
      <c r="J30" s="98"/>
      <c r="K30" s="97">
        <v>27509540.050000001</v>
      </c>
      <c r="L30" s="13"/>
      <c r="M30" s="1">
        <f t="shared" si="6"/>
        <v>73863482</v>
      </c>
      <c r="N30"/>
      <c r="O30"/>
      <c r="P30"/>
      <c r="Q30"/>
      <c r="R30"/>
      <c r="S30"/>
      <c r="T30"/>
      <c r="U30"/>
      <c r="V30"/>
    </row>
    <row r="31" spans="1:22">
      <c r="A31" s="26" t="str">
        <f>A12</f>
        <v>March</v>
      </c>
      <c r="C31" s="97">
        <v>33028117.940000005</v>
      </c>
      <c r="D31" s="97"/>
      <c r="E31" s="97">
        <v>6404145.6899999995</v>
      </c>
      <c r="F31" s="13"/>
      <c r="G31" s="1">
        <f t="shared" si="5"/>
        <v>39432264</v>
      </c>
      <c r="I31" s="97">
        <v>46569414.199999996</v>
      </c>
      <c r="J31" s="98"/>
      <c r="K31" s="97">
        <v>27667203.530000001</v>
      </c>
      <c r="L31" s="13"/>
      <c r="M31" s="1">
        <f t="shared" si="6"/>
        <v>74236618</v>
      </c>
    </row>
    <row r="32" spans="1:22">
      <c r="A32" s="26" t="str">
        <f>A13</f>
        <v>April</v>
      </c>
      <c r="C32" s="97">
        <v>33299023.770000003</v>
      </c>
      <c r="D32" s="97"/>
      <c r="E32" s="97">
        <v>6404145.6899999995</v>
      </c>
      <c r="F32" s="13"/>
      <c r="G32" s="1">
        <f t="shared" si="5"/>
        <v>39703169</v>
      </c>
      <c r="I32" s="97">
        <v>46725470.249999993</v>
      </c>
      <c r="J32" s="98"/>
      <c r="K32" s="97">
        <v>27824867.010000002</v>
      </c>
      <c r="L32" s="13"/>
      <c r="M32" s="1">
        <f t="shared" si="6"/>
        <v>74550337</v>
      </c>
    </row>
    <row r="33" spans="1:15">
      <c r="A33" s="26" t="str">
        <f>A14</f>
        <v>May</v>
      </c>
      <c r="C33" s="97">
        <v>33648149.810000002</v>
      </c>
      <c r="D33" s="97"/>
      <c r="E33" s="97">
        <v>6404145.6899999995</v>
      </c>
      <c r="F33" s="13"/>
      <c r="G33" s="1">
        <f t="shared" si="5"/>
        <v>40052296</v>
      </c>
      <c r="I33" s="97">
        <v>46958500.569999993</v>
      </c>
      <c r="J33" s="98"/>
      <c r="K33" s="97">
        <v>27982530.490000002</v>
      </c>
      <c r="L33" s="13"/>
      <c r="M33" s="1">
        <f t="shared" si="6"/>
        <v>74941031</v>
      </c>
    </row>
    <row r="34" spans="1:15">
      <c r="A34" s="26" t="str">
        <f>A15</f>
        <v>June</v>
      </c>
      <c r="C34" s="97">
        <v>34049196.440000005</v>
      </c>
      <c r="D34" s="97"/>
      <c r="E34" s="97">
        <v>8310378.1399999997</v>
      </c>
      <c r="F34" s="13"/>
      <c r="G34" s="1">
        <f t="shared" si="5"/>
        <v>42359575</v>
      </c>
      <c r="I34" s="97">
        <v>47602729.749999993</v>
      </c>
      <c r="J34" s="98"/>
      <c r="K34" s="97">
        <v>28140193.970000003</v>
      </c>
      <c r="L34" s="13"/>
      <c r="M34" s="1">
        <f t="shared" si="6"/>
        <v>75742924</v>
      </c>
    </row>
    <row r="35" spans="1:15">
      <c r="A35" s="26" t="str">
        <f>A16</f>
        <v>July</v>
      </c>
      <c r="C35" s="97">
        <v>34972217.710000008</v>
      </c>
      <c r="D35" s="97"/>
      <c r="E35" s="97">
        <v>8310378.1399999997</v>
      </c>
      <c r="F35" s="13"/>
      <c r="G35" s="1">
        <f t="shared" si="5"/>
        <v>43282596</v>
      </c>
      <c r="I35" s="97">
        <v>47832657.339999996</v>
      </c>
      <c r="J35" s="98"/>
      <c r="K35" s="97">
        <v>28297857.450000003</v>
      </c>
      <c r="L35" s="13"/>
      <c r="M35" s="1">
        <f t="shared" si="6"/>
        <v>76130515</v>
      </c>
    </row>
    <row r="36" spans="1:15">
      <c r="A36" s="26" t="str">
        <f>A17</f>
        <v>August</v>
      </c>
      <c r="C36" s="97">
        <v>35309079.760000005</v>
      </c>
      <c r="D36" s="97"/>
      <c r="E36" s="97">
        <v>8412258.1500000004</v>
      </c>
      <c r="F36" s="13"/>
      <c r="G36" s="1">
        <f t="shared" si="5"/>
        <v>43721338</v>
      </c>
      <c r="I36" s="97">
        <v>48176537.539999999</v>
      </c>
      <c r="J36" s="98"/>
      <c r="K36" s="97">
        <v>28455520.930000003</v>
      </c>
      <c r="L36" s="13"/>
      <c r="M36" s="1">
        <f t="shared" si="6"/>
        <v>76632058</v>
      </c>
    </row>
    <row r="37" spans="1:15">
      <c r="A37" s="26" t="str">
        <f>A18</f>
        <v>September</v>
      </c>
      <c r="C37" s="97">
        <v>35606921.010000005</v>
      </c>
      <c r="D37" s="97"/>
      <c r="E37" s="97">
        <v>8412258.1500000004</v>
      </c>
      <c r="F37" s="13"/>
      <c r="G37" s="1">
        <f t="shared" si="5"/>
        <v>44019179</v>
      </c>
      <c r="I37" s="97">
        <v>48541059.219999999</v>
      </c>
      <c r="J37" s="98"/>
      <c r="K37" s="97">
        <v>28993181.170000002</v>
      </c>
      <c r="L37" s="13"/>
      <c r="M37" s="1">
        <f t="shared" si="6"/>
        <v>77534240</v>
      </c>
    </row>
    <row r="38" spans="1:15">
      <c r="A38" s="26" t="str">
        <f>A19</f>
        <v>October</v>
      </c>
      <c r="C38" s="97">
        <v>35916810.290000007</v>
      </c>
      <c r="D38" s="97"/>
      <c r="E38" s="97">
        <v>8556292.5099999998</v>
      </c>
      <c r="F38" s="13"/>
      <c r="G38" s="1">
        <f t="shared" si="5"/>
        <v>44473103</v>
      </c>
      <c r="I38" s="97">
        <v>49010913.899999999</v>
      </c>
      <c r="J38" s="98"/>
      <c r="K38" s="97">
        <v>29240442.840000004</v>
      </c>
      <c r="L38" s="13"/>
      <c r="M38" s="1">
        <f t="shared" si="6"/>
        <v>78251357</v>
      </c>
    </row>
    <row r="39" spans="1:15">
      <c r="A39" s="26" t="str">
        <f>A20</f>
        <v>November</v>
      </c>
      <c r="C39" s="97">
        <v>36214425.340000004</v>
      </c>
      <c r="D39" s="97"/>
      <c r="E39" s="97">
        <v>8674894.4100000001</v>
      </c>
      <c r="F39" s="13"/>
      <c r="G39" s="1">
        <f t="shared" si="5"/>
        <v>44889320</v>
      </c>
      <c r="I39" s="97">
        <v>49208225.670000002</v>
      </c>
      <c r="J39" s="98"/>
      <c r="K39" s="97">
        <v>29406408.580000002</v>
      </c>
      <c r="L39" s="13"/>
      <c r="M39" s="1">
        <f t="shared" si="6"/>
        <v>78614634</v>
      </c>
    </row>
    <row r="40" spans="1:15">
      <c r="A40" s="26" t="str">
        <f>A21</f>
        <v>December</v>
      </c>
      <c r="C40" s="97">
        <v>38986791.450000003</v>
      </c>
      <c r="D40" s="97"/>
      <c r="E40" s="97">
        <v>8757602.9100000001</v>
      </c>
      <c r="F40" s="13"/>
      <c r="G40" s="1">
        <f t="shared" si="5"/>
        <v>47744394</v>
      </c>
      <c r="I40" s="97">
        <v>54644043.460000001</v>
      </c>
      <c r="J40" s="98"/>
      <c r="K40" s="97">
        <v>31144405.050000001</v>
      </c>
      <c r="L40" s="13"/>
      <c r="M40" s="1">
        <f t="shared" si="6"/>
        <v>85788449</v>
      </c>
    </row>
    <row r="41" spans="1:15" ht="13.5" thickBot="1">
      <c r="A41" s="27" t="s">
        <v>15</v>
      </c>
      <c r="B41" s="64"/>
      <c r="C41" s="2">
        <f>ROUND(AVERAGE(C28:C40),0)</f>
        <v>34247428</v>
      </c>
      <c r="D41" s="13"/>
      <c r="E41" s="2">
        <f>ROUND(AVERAGE(E28:E40),0)</f>
        <v>7527611</v>
      </c>
      <c r="F41" s="13"/>
      <c r="G41" s="2">
        <f>ROUND(AVERAGE(G28:G40),0)</f>
        <v>41775039</v>
      </c>
      <c r="H41" s="13"/>
      <c r="I41" s="2">
        <f>ROUND(AVERAGE(I28:I40),0)</f>
        <v>48009442</v>
      </c>
      <c r="J41" s="13"/>
      <c r="K41" s="2">
        <f>ROUND(AVERAGE(K28:K40),0)</f>
        <v>28400634</v>
      </c>
      <c r="L41" s="13"/>
      <c r="M41" s="2">
        <f>SUM(I41:L41)</f>
        <v>76410076</v>
      </c>
    </row>
    <row r="42" spans="1:15" ht="13.5" thickTop="1"/>
    <row r="43" spans="1:15">
      <c r="C43" s="41" t="s">
        <v>165</v>
      </c>
      <c r="D43" s="41"/>
      <c r="E43" s="41"/>
      <c r="F43" s="41"/>
      <c r="G43" s="41"/>
      <c r="I43" s="41" t="s">
        <v>164</v>
      </c>
      <c r="J43" s="41"/>
      <c r="K43" s="41"/>
      <c r="L43" s="41"/>
      <c r="M43" s="41"/>
    </row>
    <row r="44" spans="1:15">
      <c r="A44" s="25"/>
      <c r="B44" s="64"/>
      <c r="C44" s="9" t="s">
        <v>21</v>
      </c>
      <c r="E44" s="9" t="s">
        <v>21</v>
      </c>
      <c r="G44" s="9" t="s">
        <v>22</v>
      </c>
      <c r="I44" s="9" t="s">
        <v>21</v>
      </c>
      <c r="K44" s="9" t="s">
        <v>21</v>
      </c>
      <c r="M44" s="9" t="s">
        <v>22</v>
      </c>
    </row>
    <row r="45" spans="1:15">
      <c r="A45" s="24" t="s">
        <v>163</v>
      </c>
      <c r="B45" s="64"/>
      <c r="C45" s="4" t="s">
        <v>19</v>
      </c>
      <c r="E45" s="4" t="s">
        <v>20</v>
      </c>
      <c r="G45" s="4" t="s">
        <v>19</v>
      </c>
      <c r="I45" s="4" t="s">
        <v>19</v>
      </c>
      <c r="K45" s="4" t="s">
        <v>20</v>
      </c>
      <c r="M45" s="4" t="s">
        <v>21</v>
      </c>
    </row>
    <row r="46" spans="1:15">
      <c r="A46" s="26" t="str">
        <f>A28</f>
        <v>December 2018</v>
      </c>
      <c r="B46" s="64"/>
      <c r="C46" s="97">
        <v>24723303.100000001</v>
      </c>
      <c r="D46" s="116"/>
      <c r="E46" s="97">
        <v>30309810.27</v>
      </c>
      <c r="F46" s="117"/>
      <c r="G46" s="118">
        <f>ROUND(SUM(C46:E46),0)</f>
        <v>55033113</v>
      </c>
      <c r="H46" s="83"/>
      <c r="I46" s="97">
        <v>1459825.7600000002</v>
      </c>
      <c r="J46" s="119"/>
      <c r="K46" s="97">
        <v>1041011.05</v>
      </c>
      <c r="L46" s="117"/>
      <c r="M46" s="118">
        <f>ROUND(SUM(I46:K46),0)</f>
        <v>2500837</v>
      </c>
      <c r="O46" s="64"/>
    </row>
    <row r="47" spans="1:15">
      <c r="A47" s="26" t="str">
        <f t="shared" ref="A47:A58" si="7">A29</f>
        <v>January 2019</v>
      </c>
      <c r="B47" s="64"/>
      <c r="C47" s="97">
        <v>24762800.330000002</v>
      </c>
      <c r="D47" s="116"/>
      <c r="E47" s="97">
        <v>30405625.68</v>
      </c>
      <c r="F47" s="117"/>
      <c r="G47" s="118">
        <f t="shared" ref="G47:G58" si="8">ROUND(SUM(C47:E47),0)</f>
        <v>55168426</v>
      </c>
      <c r="H47" s="83"/>
      <c r="I47" s="97">
        <v>1464570.2100000002</v>
      </c>
      <c r="J47" s="119"/>
      <c r="K47" s="97">
        <v>1052520.47</v>
      </c>
      <c r="L47" s="117"/>
      <c r="M47" s="118">
        <f t="shared" ref="M47:M58" si="9">ROUND(SUM(I47:K47),0)</f>
        <v>2517091</v>
      </c>
      <c r="O47" s="64"/>
    </row>
    <row r="48" spans="1:15">
      <c r="A48" s="26" t="str">
        <f t="shared" si="7"/>
        <v>February</v>
      </c>
      <c r="B48" s="64"/>
      <c r="C48" s="97">
        <v>24806448.870000001</v>
      </c>
      <c r="D48" s="116"/>
      <c r="E48" s="97">
        <v>30501441.079999998</v>
      </c>
      <c r="F48" s="117"/>
      <c r="G48" s="118">
        <f t="shared" si="8"/>
        <v>55307890</v>
      </c>
      <c r="H48" s="83"/>
      <c r="I48" s="97">
        <v>1469813.3200000003</v>
      </c>
      <c r="J48" s="119"/>
      <c r="K48" s="97">
        <v>1064029.8899999999</v>
      </c>
      <c r="L48" s="117"/>
      <c r="M48" s="118">
        <f t="shared" si="9"/>
        <v>2533843</v>
      </c>
      <c r="O48" s="64"/>
    </row>
    <row r="49" spans="1:17">
      <c r="A49" s="26" t="str">
        <f t="shared" si="7"/>
        <v>March</v>
      </c>
      <c r="B49" s="64"/>
      <c r="C49" s="97">
        <v>24943863.100000001</v>
      </c>
      <c r="D49" s="116"/>
      <c r="E49" s="97">
        <v>30597256.479999997</v>
      </c>
      <c r="F49" s="117"/>
      <c r="G49" s="118">
        <f t="shared" si="8"/>
        <v>55541120</v>
      </c>
      <c r="H49" s="83"/>
      <c r="I49" s="97">
        <v>1483523.4500000002</v>
      </c>
      <c r="J49" s="119"/>
      <c r="K49" s="97">
        <v>1075539.3099999998</v>
      </c>
      <c r="L49" s="117"/>
      <c r="M49" s="118">
        <f t="shared" si="9"/>
        <v>2559063</v>
      </c>
      <c r="O49" s="64"/>
    </row>
    <row r="50" spans="1:17">
      <c r="A50" s="26" t="str">
        <f t="shared" si="7"/>
        <v>April</v>
      </c>
      <c r="B50" s="64"/>
      <c r="C50" s="97">
        <v>25024505.23</v>
      </c>
      <c r="D50" s="116"/>
      <c r="E50" s="97">
        <v>30693071.879999995</v>
      </c>
      <c r="F50" s="117"/>
      <c r="G50" s="118">
        <f t="shared" si="8"/>
        <v>55717577</v>
      </c>
      <c r="H50" s="83"/>
      <c r="I50" s="97">
        <v>1488766.0600000003</v>
      </c>
      <c r="J50" s="119"/>
      <c r="K50" s="97">
        <v>1087048.7299999997</v>
      </c>
      <c r="L50" s="117"/>
      <c r="M50" s="118">
        <f t="shared" si="9"/>
        <v>2575815</v>
      </c>
      <c r="O50" s="64"/>
    </row>
    <row r="51" spans="1:17">
      <c r="A51" s="26" t="str">
        <f t="shared" si="7"/>
        <v>May</v>
      </c>
      <c r="B51" s="64"/>
      <c r="C51" s="97">
        <v>25142383.719999999</v>
      </c>
      <c r="D51" s="116"/>
      <c r="E51" s="97">
        <v>30788887.279999994</v>
      </c>
      <c r="F51" s="117"/>
      <c r="G51" s="118">
        <f t="shared" si="8"/>
        <v>55931271</v>
      </c>
      <c r="H51" s="83"/>
      <c r="I51" s="97">
        <v>1498532.9600000002</v>
      </c>
      <c r="J51" s="119"/>
      <c r="K51" s="97">
        <v>1098558.1499999997</v>
      </c>
      <c r="L51" s="117"/>
      <c r="M51" s="118">
        <f t="shared" si="9"/>
        <v>2597091</v>
      </c>
      <c r="O51" s="64"/>
    </row>
    <row r="52" spans="1:17">
      <c r="A52" s="26" t="str">
        <f t="shared" si="7"/>
        <v>June</v>
      </c>
      <c r="B52" s="64"/>
      <c r="C52" s="97">
        <v>25529379.07</v>
      </c>
      <c r="D52" s="116"/>
      <c r="E52" s="97">
        <v>30884702.679999992</v>
      </c>
      <c r="F52" s="117"/>
      <c r="G52" s="118">
        <f t="shared" si="8"/>
        <v>56414082</v>
      </c>
      <c r="H52" s="83"/>
      <c r="I52" s="97">
        <v>1532475.7400000002</v>
      </c>
      <c r="J52" s="119"/>
      <c r="K52" s="97">
        <v>1110067.5699999996</v>
      </c>
      <c r="L52" s="117"/>
      <c r="M52" s="118">
        <f t="shared" si="9"/>
        <v>2642543</v>
      </c>
      <c r="O52" s="64"/>
    </row>
    <row r="53" spans="1:17">
      <c r="A53" s="26" t="str">
        <f t="shared" si="7"/>
        <v>July</v>
      </c>
      <c r="B53" s="64"/>
      <c r="C53" s="97">
        <v>25665934.379999999</v>
      </c>
      <c r="D53" s="116"/>
      <c r="E53" s="97">
        <v>30980518.079999991</v>
      </c>
      <c r="F53" s="117"/>
      <c r="G53" s="118">
        <f t="shared" si="8"/>
        <v>56646452</v>
      </c>
      <c r="H53" s="83"/>
      <c r="I53" s="97">
        <v>1546239.4000000001</v>
      </c>
      <c r="J53" s="119"/>
      <c r="K53" s="97">
        <v>1121576.9899999995</v>
      </c>
      <c r="L53" s="117"/>
      <c r="M53" s="118">
        <f t="shared" si="9"/>
        <v>2667816</v>
      </c>
      <c r="O53" s="64"/>
    </row>
    <row r="54" spans="1:17">
      <c r="A54" s="26" t="str">
        <f t="shared" si="7"/>
        <v>August</v>
      </c>
      <c r="B54" s="64"/>
      <c r="C54" s="97">
        <v>25834000.91</v>
      </c>
      <c r="D54" s="116"/>
      <c r="E54" s="97">
        <v>31076333.479999989</v>
      </c>
      <c r="F54" s="117"/>
      <c r="G54" s="118">
        <f t="shared" si="8"/>
        <v>56910334</v>
      </c>
      <c r="H54" s="83"/>
      <c r="I54" s="97">
        <v>1555658.3800000001</v>
      </c>
      <c r="J54" s="119"/>
      <c r="K54" s="97">
        <v>1133086.4099999995</v>
      </c>
      <c r="L54" s="117"/>
      <c r="M54" s="118">
        <f t="shared" si="9"/>
        <v>2688745</v>
      </c>
      <c r="O54" s="64"/>
    </row>
    <row r="55" spans="1:17">
      <c r="A55" s="26" t="str">
        <f t="shared" si="7"/>
        <v>September</v>
      </c>
      <c r="B55" s="64"/>
      <c r="C55" s="97">
        <v>26072741.140000001</v>
      </c>
      <c r="D55" s="116"/>
      <c r="E55" s="97">
        <v>31403080.829999991</v>
      </c>
      <c r="F55" s="117"/>
      <c r="G55" s="118">
        <f t="shared" si="8"/>
        <v>57475822</v>
      </c>
      <c r="H55" s="83"/>
      <c r="I55" s="97">
        <v>1574423.6700000002</v>
      </c>
      <c r="J55" s="119"/>
      <c r="K55" s="97">
        <v>1172335.5499999993</v>
      </c>
      <c r="L55" s="117"/>
      <c r="M55" s="118">
        <f t="shared" si="9"/>
        <v>2746759</v>
      </c>
      <c r="O55" s="64"/>
    </row>
    <row r="56" spans="1:17">
      <c r="A56" s="26" t="str">
        <f t="shared" si="7"/>
        <v>October</v>
      </c>
      <c r="B56" s="64"/>
      <c r="C56" s="97">
        <v>26304365.780000001</v>
      </c>
      <c r="D56" s="116"/>
      <c r="E56" s="97">
        <v>31553346.909999989</v>
      </c>
      <c r="F56" s="117"/>
      <c r="G56" s="118">
        <f t="shared" si="8"/>
        <v>57857713</v>
      </c>
      <c r="H56" s="83"/>
      <c r="I56" s="97">
        <v>1585489.7300000002</v>
      </c>
      <c r="J56" s="119"/>
      <c r="K56" s="97">
        <v>1190385.6299999994</v>
      </c>
      <c r="L56" s="117"/>
      <c r="M56" s="118">
        <f t="shared" si="9"/>
        <v>2775875</v>
      </c>
      <c r="O56" s="64"/>
    </row>
    <row r="57" spans="1:17">
      <c r="A57" s="26" t="str">
        <f t="shared" si="7"/>
        <v>November</v>
      </c>
      <c r="B57" s="64"/>
      <c r="C57" s="97">
        <v>26411691.620000001</v>
      </c>
      <c r="D57" s="116"/>
      <c r="E57" s="97">
        <v>31654207.749999989</v>
      </c>
      <c r="F57" s="117"/>
      <c r="G57" s="118">
        <f t="shared" si="8"/>
        <v>58065899</v>
      </c>
      <c r="H57" s="83"/>
      <c r="I57" s="97">
        <v>1594073.1400000001</v>
      </c>
      <c r="J57" s="119"/>
      <c r="K57" s="97">
        <v>1202501.1099999994</v>
      </c>
      <c r="L57" s="117"/>
      <c r="M57" s="118">
        <f t="shared" si="9"/>
        <v>2796574</v>
      </c>
      <c r="O57" s="64"/>
    </row>
    <row r="58" spans="1:17">
      <c r="A58" s="26" t="str">
        <f t="shared" si="7"/>
        <v>December</v>
      </c>
      <c r="B58" s="64"/>
      <c r="C58" s="97">
        <v>29395443.550000001</v>
      </c>
      <c r="D58" s="116"/>
      <c r="E58" s="97">
        <v>32710424.479999989</v>
      </c>
      <c r="F58" s="117"/>
      <c r="G58" s="118">
        <f t="shared" si="8"/>
        <v>62105868</v>
      </c>
      <c r="H58" s="83"/>
      <c r="I58" s="97">
        <v>1941359.5</v>
      </c>
      <c r="J58" s="119"/>
      <c r="K58" s="97">
        <v>1329374.6899999995</v>
      </c>
      <c r="L58" s="117"/>
      <c r="M58" s="118">
        <f t="shared" si="9"/>
        <v>3270734</v>
      </c>
      <c r="O58" s="64"/>
    </row>
    <row r="59" spans="1:17">
      <c r="C59" s="120"/>
      <c r="D59" s="83"/>
      <c r="E59" s="120"/>
      <c r="F59" s="83"/>
      <c r="G59" s="120"/>
      <c r="H59" s="83"/>
      <c r="I59" s="120"/>
      <c r="J59" s="83"/>
      <c r="K59" s="120"/>
      <c r="L59" s="83"/>
      <c r="M59" s="120"/>
      <c r="O59" s="64"/>
      <c r="P59" s="64"/>
      <c r="Q59" s="64"/>
    </row>
  </sheetData>
  <printOptions horizontalCentered="1"/>
  <pageMargins left="0.17" right="0.17" top="1" bottom="0.75" header="0.3" footer="0.3"/>
  <pageSetup scale="90" orientation="landscape" r:id="rId1"/>
  <headerFooter>
    <oddFooter>&amp;C&amp;F - &amp;A
Page &amp;P of &amp;N</oddFooter>
  </headerFooter>
  <rowBreaks count="1" manualBreakCount="1">
    <brk id="42" max="20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1"/>
  <sheetViews>
    <sheetView showGridLines="0" workbookViewId="0">
      <selection activeCell="N1" sqref="N1"/>
    </sheetView>
  </sheetViews>
  <sheetFormatPr defaultRowHeight="12.75"/>
  <cols>
    <col min="1" max="1" width="15.7109375" style="23" customWidth="1"/>
    <col min="2" max="2" width="2.7109375" customWidth="1"/>
    <col min="3" max="3" width="13.42578125" bestFit="1" customWidth="1"/>
    <col min="4" max="4" width="2.7109375" style="8" customWidth="1"/>
    <col min="5" max="5" width="15.42578125" bestFit="1" customWidth="1"/>
    <col min="6" max="6" width="2.7109375" style="8" customWidth="1"/>
    <col min="7" max="7" width="15.42578125" bestFit="1" customWidth="1"/>
    <col min="8" max="8" width="2.7109375" style="8" customWidth="1"/>
    <col min="9" max="9" width="13.42578125" bestFit="1" customWidth="1"/>
    <col min="10" max="10" width="2.7109375" style="8" customWidth="1"/>
    <col min="11" max="11" width="13.42578125" bestFit="1" customWidth="1"/>
    <col min="12" max="12" width="2.7109375" style="8" customWidth="1"/>
    <col min="13" max="13" width="12.7109375" customWidth="1"/>
    <col min="14" max="14" width="2.7109375" customWidth="1"/>
    <col min="15" max="15" width="13.85546875" customWidth="1"/>
    <col min="16" max="16" width="2.7109375" customWidth="1"/>
    <col min="17" max="17" width="14.42578125" bestFit="1" customWidth="1"/>
    <col min="18" max="18" width="2.7109375" customWidth="1"/>
    <col min="19" max="19" width="9.7109375" bestFit="1" customWidth="1"/>
    <col min="20" max="20" width="2.7109375" customWidth="1"/>
    <col min="21" max="21" width="12" bestFit="1" customWidth="1"/>
    <col min="22" max="22" width="2.7109375" customWidth="1"/>
  </cols>
  <sheetData>
    <row r="1" spans="1:24">
      <c r="A1" s="22" t="s">
        <v>0</v>
      </c>
      <c r="B1" s="11"/>
      <c r="C1" s="11"/>
      <c r="D1" s="14"/>
      <c r="E1" s="11"/>
      <c r="F1" s="14"/>
      <c r="G1" s="11"/>
      <c r="H1" s="14"/>
      <c r="I1" s="11"/>
      <c r="J1" s="14"/>
      <c r="K1" s="11"/>
      <c r="L1" s="14"/>
      <c r="M1" s="11"/>
      <c r="O1" s="3" t="s">
        <v>0</v>
      </c>
      <c r="P1" s="11"/>
      <c r="Q1" s="3"/>
      <c r="R1" s="11"/>
      <c r="S1" s="3"/>
      <c r="T1" s="11"/>
      <c r="U1" s="3"/>
    </row>
    <row r="2" spans="1:24">
      <c r="A2" s="22" t="s">
        <v>2</v>
      </c>
      <c r="B2" s="11"/>
      <c r="C2" s="11"/>
      <c r="D2" s="14"/>
      <c r="E2" s="11"/>
      <c r="F2" s="14"/>
      <c r="G2" s="11"/>
      <c r="H2" s="14"/>
      <c r="I2" s="11"/>
      <c r="J2" s="14"/>
      <c r="K2" s="11"/>
      <c r="L2" s="14"/>
      <c r="M2" s="11"/>
      <c r="O2" s="3" t="s">
        <v>2</v>
      </c>
      <c r="P2" s="11"/>
      <c r="Q2" s="3"/>
      <c r="R2" s="11"/>
      <c r="S2" s="3"/>
      <c r="T2" s="11"/>
      <c r="U2" s="3"/>
    </row>
    <row r="3" spans="1:24">
      <c r="A3" s="22" t="s">
        <v>181</v>
      </c>
      <c r="B3" s="11"/>
      <c r="C3" s="11"/>
      <c r="D3" s="14"/>
      <c r="E3" s="11"/>
      <c r="F3" s="14"/>
      <c r="G3" s="11"/>
      <c r="H3" s="14"/>
      <c r="I3" s="11"/>
      <c r="J3" s="14"/>
      <c r="K3" s="11"/>
      <c r="L3" s="14"/>
      <c r="M3" s="11"/>
      <c r="O3" s="3" t="s">
        <v>405</v>
      </c>
      <c r="P3" s="11"/>
      <c r="Q3" s="3"/>
      <c r="R3" s="11"/>
      <c r="S3" s="3"/>
      <c r="T3" s="11"/>
      <c r="U3" s="3"/>
    </row>
    <row r="4" spans="1:24">
      <c r="A4" s="22" t="s">
        <v>262</v>
      </c>
      <c r="B4" s="11"/>
      <c r="C4" s="11"/>
      <c r="D4" s="14"/>
      <c r="E4" s="11"/>
      <c r="F4" s="14"/>
      <c r="G4" s="11"/>
      <c r="H4" s="14"/>
      <c r="I4" s="11"/>
      <c r="J4" s="14"/>
      <c r="K4" s="11"/>
      <c r="L4" s="14"/>
      <c r="M4" s="11"/>
      <c r="O4" s="3" t="s">
        <v>262</v>
      </c>
      <c r="P4" s="11"/>
      <c r="Q4" s="3"/>
      <c r="R4" s="11"/>
      <c r="S4" s="3"/>
      <c r="T4" s="11"/>
      <c r="U4" s="3"/>
    </row>
    <row r="5" spans="1:24">
      <c r="O5" s="64"/>
      <c r="Q5" s="64"/>
      <c r="S5" s="64"/>
      <c r="U5" s="64"/>
    </row>
    <row r="6" spans="1:24">
      <c r="O6" s="64"/>
      <c r="Q6" s="64"/>
      <c r="S6" s="64"/>
      <c r="U6" s="64"/>
    </row>
    <row r="7" spans="1:24">
      <c r="A7" s="25" t="s">
        <v>23</v>
      </c>
      <c r="C7" s="9"/>
      <c r="D7" s="9"/>
      <c r="E7" s="9"/>
      <c r="F7" s="9"/>
      <c r="G7" s="9"/>
      <c r="H7" s="9"/>
      <c r="I7" s="9" t="s">
        <v>77</v>
      </c>
      <c r="J7" s="9"/>
      <c r="K7" s="9" t="s">
        <v>78</v>
      </c>
      <c r="L7" s="9"/>
      <c r="M7" s="9"/>
      <c r="O7" s="64"/>
      <c r="Q7" s="9" t="s">
        <v>17</v>
      </c>
      <c r="S7" s="9" t="s">
        <v>404</v>
      </c>
      <c r="U7" s="9" t="s">
        <v>22</v>
      </c>
    </row>
    <row r="8" spans="1:24">
      <c r="A8" s="24" t="s">
        <v>32</v>
      </c>
      <c r="C8" s="4" t="s">
        <v>16</v>
      </c>
      <c r="D8" s="9"/>
      <c r="E8" s="4" t="s">
        <v>17</v>
      </c>
      <c r="F8" s="9"/>
      <c r="G8" s="4" t="s">
        <v>18</v>
      </c>
      <c r="H8" s="9"/>
      <c r="I8" s="4" t="s">
        <v>20</v>
      </c>
      <c r="J8" s="9"/>
      <c r="K8" s="4" t="s">
        <v>20</v>
      </c>
      <c r="L8" s="9"/>
      <c r="M8" s="4" t="s">
        <v>22</v>
      </c>
      <c r="O8" s="64"/>
      <c r="Q8" s="4" t="s">
        <v>414</v>
      </c>
      <c r="S8" s="4" t="s">
        <v>403</v>
      </c>
      <c r="U8" s="4" t="s">
        <v>17</v>
      </c>
    </row>
    <row r="9" spans="1:24" ht="15" customHeight="1">
      <c r="A9" s="26" t="str">
        <f>'Plant in Service'!A9</f>
        <v>December 2018</v>
      </c>
      <c r="C9" s="69">
        <v>363654147</v>
      </c>
      <c r="D9" s="15"/>
      <c r="E9" s="69">
        <v>106666957</v>
      </c>
      <c r="F9" s="99"/>
      <c r="G9" s="128">
        <v>129548101.92999999</v>
      </c>
      <c r="H9" s="15"/>
      <c r="I9" s="69">
        <v>9931039</v>
      </c>
      <c r="J9" s="15"/>
      <c r="K9" s="10">
        <v>55170008</v>
      </c>
      <c r="L9" s="15"/>
      <c r="M9" s="10">
        <f>C9+ROUND(E9,0)+ROUND(G9,0)+I9+K9</f>
        <v>664970253</v>
      </c>
      <c r="O9" s="64" t="str">
        <f t="shared" ref="O9:O21" si="0">A9</f>
        <v>December 2018</v>
      </c>
      <c r="Q9" s="16">
        <v>106666957.12999998</v>
      </c>
      <c r="S9" s="53">
        <v>0</v>
      </c>
      <c r="U9" s="1">
        <f t="shared" ref="U9:U21" si="1">ROUND(Q9+S9,0)</f>
        <v>106666957</v>
      </c>
      <c r="V9" s="16"/>
      <c r="W9" s="16"/>
      <c r="X9" s="16"/>
    </row>
    <row r="10" spans="1:24">
      <c r="A10" s="26" t="str">
        <f>'Plant in Service'!A10</f>
        <v>January 2019</v>
      </c>
      <c r="C10" s="53">
        <v>366393878</v>
      </c>
      <c r="D10" s="13"/>
      <c r="E10" s="53">
        <v>107106970</v>
      </c>
      <c r="F10" s="98"/>
      <c r="G10" s="97">
        <v>130292045.31999999</v>
      </c>
      <c r="H10" s="13"/>
      <c r="I10" s="53">
        <v>10120703</v>
      </c>
      <c r="J10" s="13"/>
      <c r="K10" s="1">
        <v>55714684</v>
      </c>
      <c r="L10" s="13"/>
      <c r="M10" s="1">
        <f t="shared" ref="M10:M21" si="2">C10+ROUND(E10,0)+ROUND(G10,0)+I10+K10</f>
        <v>669628280</v>
      </c>
      <c r="O10" s="64" t="str">
        <f t="shared" si="0"/>
        <v>January 2019</v>
      </c>
      <c r="Q10" s="16">
        <v>107077722.17999998</v>
      </c>
      <c r="S10" s="53">
        <v>29248</v>
      </c>
      <c r="U10" s="1">
        <f t="shared" si="1"/>
        <v>107106970</v>
      </c>
      <c r="V10" s="16"/>
      <c r="W10" s="16"/>
      <c r="X10" s="16"/>
    </row>
    <row r="11" spans="1:24">
      <c r="A11" s="26" t="str">
        <f>'Plant in Service'!A11</f>
        <v>February</v>
      </c>
      <c r="C11" s="53">
        <v>369134605</v>
      </c>
      <c r="D11" s="13"/>
      <c r="E11" s="53">
        <v>107689279</v>
      </c>
      <c r="F11" s="98"/>
      <c r="G11" s="97">
        <v>131036904.39999999</v>
      </c>
      <c r="H11" s="13"/>
      <c r="I11" s="53">
        <v>10311538</v>
      </c>
      <c r="J11" s="13"/>
      <c r="K11" s="1">
        <v>56262366</v>
      </c>
      <c r="L11" s="13"/>
      <c r="M11" s="1">
        <f t="shared" si="2"/>
        <v>674434692</v>
      </c>
      <c r="O11" s="64" t="str">
        <f t="shared" si="0"/>
        <v>February</v>
      </c>
      <c r="Q11" s="16">
        <v>107488159.09999998</v>
      </c>
      <c r="S11" s="53">
        <v>201120</v>
      </c>
      <c r="U11" s="1">
        <f t="shared" si="1"/>
        <v>107689279</v>
      </c>
      <c r="V11" s="16"/>
      <c r="W11" s="16"/>
      <c r="X11" s="16"/>
    </row>
    <row r="12" spans="1:24">
      <c r="A12" s="26" t="str">
        <f>'Plant in Service'!A12</f>
        <v>March</v>
      </c>
      <c r="C12" s="53">
        <v>371875625</v>
      </c>
      <c r="D12" s="13"/>
      <c r="E12" s="53">
        <v>108271427</v>
      </c>
      <c r="F12" s="98"/>
      <c r="G12" s="97">
        <v>131782663.16</v>
      </c>
      <c r="H12" s="13"/>
      <c r="I12" s="53">
        <v>10503413</v>
      </c>
      <c r="J12" s="13"/>
      <c r="K12" s="1">
        <v>56813107</v>
      </c>
      <c r="L12" s="13"/>
      <c r="M12" s="1">
        <f t="shared" si="2"/>
        <v>679246235</v>
      </c>
      <c r="O12" s="64" t="str">
        <f t="shared" si="0"/>
        <v>March</v>
      </c>
      <c r="Q12" s="16">
        <v>107898267.86999997</v>
      </c>
      <c r="S12" s="53">
        <v>373159</v>
      </c>
      <c r="U12" s="1">
        <f t="shared" si="1"/>
        <v>108271427</v>
      </c>
      <c r="V12" s="16"/>
      <c r="W12" s="16"/>
      <c r="X12" s="16"/>
    </row>
    <row r="13" spans="1:24">
      <c r="A13" s="26" t="str">
        <f>'Plant in Service'!A13</f>
        <v>April</v>
      </c>
      <c r="C13" s="53">
        <v>374617286</v>
      </c>
      <c r="D13" s="13"/>
      <c r="E13" s="53">
        <v>108853342</v>
      </c>
      <c r="F13" s="98"/>
      <c r="G13" s="97">
        <v>132529401.98999999</v>
      </c>
      <c r="H13" s="13"/>
      <c r="I13" s="53">
        <v>10702375</v>
      </c>
      <c r="J13" s="13"/>
      <c r="K13" s="1">
        <v>57369821</v>
      </c>
      <c r="L13" s="13"/>
      <c r="M13" s="1">
        <f t="shared" si="2"/>
        <v>684072226</v>
      </c>
      <c r="O13" s="64" t="str">
        <f t="shared" si="0"/>
        <v>April</v>
      </c>
      <c r="Q13" s="16">
        <v>108308048.51999998</v>
      </c>
      <c r="S13" s="53">
        <v>545293</v>
      </c>
      <c r="U13" s="1">
        <f t="shared" si="1"/>
        <v>108853342</v>
      </c>
      <c r="V13" s="16"/>
      <c r="W13" s="16"/>
      <c r="X13" s="16"/>
    </row>
    <row r="14" spans="1:24">
      <c r="A14" s="26" t="str">
        <f>'Plant in Service'!A14</f>
        <v>May</v>
      </c>
      <c r="C14" s="53">
        <v>377359875</v>
      </c>
      <c r="D14" s="13"/>
      <c r="E14" s="53">
        <v>109435225</v>
      </c>
      <c r="F14" s="98"/>
      <c r="G14" s="97">
        <v>133277485.64</v>
      </c>
      <c r="H14" s="13"/>
      <c r="I14" s="53">
        <v>10902442</v>
      </c>
      <c r="J14" s="13"/>
      <c r="K14" s="1">
        <v>57929402</v>
      </c>
      <c r="L14" s="13"/>
      <c r="M14" s="1">
        <f t="shared" si="2"/>
        <v>688904430</v>
      </c>
      <c r="O14" s="64" t="str">
        <f t="shared" si="0"/>
        <v>May</v>
      </c>
      <c r="Q14" s="16">
        <v>108717501.02999999</v>
      </c>
      <c r="S14" s="53">
        <v>717724</v>
      </c>
      <c r="U14" s="1">
        <f t="shared" si="1"/>
        <v>109435225</v>
      </c>
      <c r="V14" s="16"/>
      <c r="W14" s="16"/>
      <c r="X14" s="16"/>
    </row>
    <row r="15" spans="1:24">
      <c r="A15" s="26" t="str">
        <f>'Plant in Service'!A15</f>
        <v>June</v>
      </c>
      <c r="C15" s="53">
        <v>380105515</v>
      </c>
      <c r="D15" s="13"/>
      <c r="E15" s="53">
        <v>110029943</v>
      </c>
      <c r="F15" s="98"/>
      <c r="G15" s="97">
        <v>134026883.98999999</v>
      </c>
      <c r="H15" s="13"/>
      <c r="I15" s="53">
        <v>11103867</v>
      </c>
      <c r="J15" s="13"/>
      <c r="K15" s="1">
        <v>58492799</v>
      </c>
      <c r="L15" s="13"/>
      <c r="M15" s="1">
        <f t="shared" si="2"/>
        <v>693759008</v>
      </c>
      <c r="O15" s="64" t="str">
        <f t="shared" si="0"/>
        <v>June</v>
      </c>
      <c r="Q15" s="16">
        <v>109139592.85999998</v>
      </c>
      <c r="S15" s="53">
        <v>890350</v>
      </c>
      <c r="U15" s="1">
        <f t="shared" si="1"/>
        <v>110029943</v>
      </c>
      <c r="V15" s="16"/>
      <c r="W15" s="16"/>
      <c r="X15" s="16"/>
    </row>
    <row r="16" spans="1:24">
      <c r="A16" s="26" t="str">
        <f>'Plant in Service'!A16</f>
        <v>July</v>
      </c>
      <c r="C16" s="53">
        <v>382853842</v>
      </c>
      <c r="D16" s="13"/>
      <c r="E16" s="53">
        <v>110626323</v>
      </c>
      <c r="F16" s="98"/>
      <c r="G16" s="97">
        <v>134780159.88</v>
      </c>
      <c r="H16" s="13"/>
      <c r="I16" s="53">
        <v>11318729</v>
      </c>
      <c r="J16" s="13"/>
      <c r="K16" s="1">
        <v>59066471</v>
      </c>
      <c r="L16" s="13"/>
      <c r="M16" s="1">
        <f t="shared" si="2"/>
        <v>698645525</v>
      </c>
      <c r="O16" s="64" t="str">
        <f t="shared" si="0"/>
        <v>July</v>
      </c>
      <c r="Q16" s="16">
        <v>109563000.01999998</v>
      </c>
      <c r="S16" s="53">
        <v>1063323</v>
      </c>
      <c r="U16" s="1">
        <f t="shared" si="1"/>
        <v>110626323</v>
      </c>
      <c r="V16" s="16"/>
      <c r="W16" s="16"/>
      <c r="X16" s="16"/>
    </row>
    <row r="17" spans="1:24">
      <c r="A17" s="26" t="str">
        <f>'Plant in Service'!A17</f>
        <v>August</v>
      </c>
      <c r="C17" s="53">
        <v>385604178</v>
      </c>
      <c r="D17" s="13"/>
      <c r="E17" s="53">
        <v>111223484</v>
      </c>
      <c r="F17" s="98"/>
      <c r="G17" s="97">
        <v>135536502.06999999</v>
      </c>
      <c r="H17" s="13"/>
      <c r="I17" s="53">
        <v>11536383</v>
      </c>
      <c r="J17" s="13"/>
      <c r="K17" s="1">
        <v>59644008</v>
      </c>
      <c r="L17" s="13"/>
      <c r="M17" s="1">
        <f t="shared" si="2"/>
        <v>703544555</v>
      </c>
      <c r="O17" s="64" t="str">
        <f t="shared" si="0"/>
        <v>August</v>
      </c>
      <c r="Q17" s="16">
        <v>109987133.86999997</v>
      </c>
      <c r="S17" s="53">
        <v>1236350</v>
      </c>
      <c r="U17" s="1">
        <f t="shared" si="1"/>
        <v>111223484</v>
      </c>
      <c r="V17" s="16"/>
      <c r="W17" s="16"/>
      <c r="X17" s="16"/>
    </row>
    <row r="18" spans="1:24">
      <c r="A18" s="26" t="str">
        <f>'Plant in Service'!A18</f>
        <v>September</v>
      </c>
      <c r="C18" s="53">
        <v>388357009</v>
      </c>
      <c r="D18" s="13"/>
      <c r="E18" s="53">
        <v>111821741</v>
      </c>
      <c r="F18" s="98"/>
      <c r="G18" s="97">
        <v>136295837.57999998</v>
      </c>
      <c r="H18" s="13"/>
      <c r="I18" s="53">
        <v>11756011</v>
      </c>
      <c r="J18" s="13"/>
      <c r="K18" s="1">
        <v>60225357</v>
      </c>
      <c r="L18" s="13"/>
      <c r="M18" s="1">
        <f t="shared" si="2"/>
        <v>708455956</v>
      </c>
      <c r="O18" s="64" t="str">
        <f t="shared" si="0"/>
        <v>September</v>
      </c>
      <c r="Q18" s="16">
        <v>110411544.09999998</v>
      </c>
      <c r="S18" s="53">
        <v>1410197</v>
      </c>
      <c r="U18" s="1">
        <f t="shared" si="1"/>
        <v>111821741</v>
      </c>
      <c r="V18" s="16"/>
      <c r="W18" s="16"/>
      <c r="X18" s="16"/>
    </row>
    <row r="19" spans="1:24">
      <c r="A19" s="26" t="str">
        <f>'Plant in Service'!A19</f>
        <v>October</v>
      </c>
      <c r="C19" s="53">
        <v>391111322</v>
      </c>
      <c r="D19" s="13"/>
      <c r="E19" s="53">
        <v>112419758</v>
      </c>
      <c r="F19" s="98"/>
      <c r="G19" s="97">
        <v>137058601.05999997</v>
      </c>
      <c r="H19" s="13"/>
      <c r="I19" s="53">
        <v>11976826</v>
      </c>
      <c r="J19" s="13"/>
      <c r="K19" s="1">
        <v>60817960</v>
      </c>
      <c r="L19" s="13"/>
      <c r="M19" s="1">
        <f t="shared" si="2"/>
        <v>713384467</v>
      </c>
      <c r="O19" s="64" t="str">
        <f t="shared" si="0"/>
        <v>October</v>
      </c>
      <c r="Q19" s="16">
        <v>110835694.93999998</v>
      </c>
      <c r="S19" s="53">
        <v>1584063</v>
      </c>
      <c r="U19" s="1">
        <f t="shared" si="1"/>
        <v>112419758</v>
      </c>
      <c r="V19" s="16"/>
      <c r="W19" s="16"/>
      <c r="X19" s="16"/>
    </row>
    <row r="20" spans="1:24">
      <c r="A20" s="26" t="str">
        <f>'Plant in Service'!A20</f>
        <v>November</v>
      </c>
      <c r="C20" s="53">
        <v>393875092</v>
      </c>
      <c r="D20" s="13"/>
      <c r="E20" s="53">
        <v>113025120</v>
      </c>
      <c r="F20" s="98"/>
      <c r="G20" s="97">
        <v>137826123.78999996</v>
      </c>
      <c r="H20" s="13"/>
      <c r="I20" s="53">
        <v>12199783</v>
      </c>
      <c r="J20" s="13"/>
      <c r="K20" s="1">
        <v>61415644</v>
      </c>
      <c r="L20" s="13"/>
      <c r="M20" s="1">
        <f t="shared" si="2"/>
        <v>718341763</v>
      </c>
      <c r="O20" s="64" t="str">
        <f t="shared" si="0"/>
        <v>November</v>
      </c>
      <c r="Q20" s="16">
        <v>111267172.18999998</v>
      </c>
      <c r="S20" s="53">
        <v>1757948</v>
      </c>
      <c r="U20" s="1">
        <f t="shared" si="1"/>
        <v>113025120</v>
      </c>
      <c r="V20" s="16"/>
      <c r="W20" s="16"/>
      <c r="X20" s="16"/>
    </row>
    <row r="21" spans="1:24">
      <c r="A21" s="26" t="str">
        <f>'Plant in Service'!A21</f>
        <v>December</v>
      </c>
      <c r="C21" s="53">
        <v>396645674</v>
      </c>
      <c r="D21" s="13"/>
      <c r="E21" s="53">
        <v>113631906</v>
      </c>
      <c r="F21" s="98"/>
      <c r="G21" s="97">
        <v>138599435.98999995</v>
      </c>
      <c r="H21" s="13"/>
      <c r="I21" s="53">
        <v>12424676</v>
      </c>
      <c r="J21" s="13"/>
      <c r="K21" s="1">
        <v>62014775</v>
      </c>
      <c r="L21" s="13"/>
      <c r="M21" s="1">
        <f t="shared" si="2"/>
        <v>723316467</v>
      </c>
      <c r="O21" s="64" t="str">
        <f t="shared" si="0"/>
        <v>December</v>
      </c>
      <c r="Q21" s="16">
        <v>111700054.67999998</v>
      </c>
      <c r="S21" s="53">
        <v>1931851</v>
      </c>
      <c r="U21" s="1">
        <f t="shared" si="1"/>
        <v>113631906</v>
      </c>
      <c r="V21" s="16"/>
      <c r="W21" s="16"/>
      <c r="X21" s="16"/>
    </row>
    <row r="22" spans="1:24" ht="13.5" thickBot="1">
      <c r="A22" s="27" t="s">
        <v>15</v>
      </c>
      <c r="C22" s="2">
        <f>ROUND(AVERAGE(C9:C21),0)</f>
        <v>380122158</v>
      </c>
      <c r="D22" s="13"/>
      <c r="E22" s="2">
        <f>ROUND(AVERAGE(E9:E21),0)</f>
        <v>110061652</v>
      </c>
      <c r="F22" s="13"/>
      <c r="G22" s="2">
        <f>ROUND(AVERAGE(G9:G21),0)</f>
        <v>134045396</v>
      </c>
      <c r="H22" s="13"/>
      <c r="I22" s="2">
        <f>ROUND(AVERAGE(I9:I21),0)</f>
        <v>11137522</v>
      </c>
      <c r="J22" s="13"/>
      <c r="K22" s="2">
        <f>ROUND(AVERAGE(K9:K21),0)</f>
        <v>58533569</v>
      </c>
      <c r="L22" s="13"/>
      <c r="M22" s="2">
        <f>ROUND(AVERAGE(M9:M21),0)</f>
        <v>693900297</v>
      </c>
      <c r="S22" s="23"/>
      <c r="V22" s="16"/>
      <c r="W22" s="16"/>
      <c r="X22" s="16"/>
    </row>
    <row r="23" spans="1:24" ht="13.5" thickTop="1">
      <c r="A23" s="27"/>
      <c r="V23" s="16"/>
      <c r="W23" s="16"/>
      <c r="X23" s="16"/>
    </row>
    <row r="24" spans="1:24">
      <c r="A24" s="27"/>
      <c r="V24" s="16"/>
      <c r="W24" s="16"/>
      <c r="X24" s="16"/>
    </row>
    <row r="25" spans="1:24" hidden="1">
      <c r="A25" s="35" t="s">
        <v>74</v>
      </c>
      <c r="B25" s="35"/>
      <c r="C25" s="36">
        <v>240044000</v>
      </c>
      <c r="D25" s="37"/>
      <c r="E25" s="36">
        <v>87787000</v>
      </c>
      <c r="F25" s="37"/>
      <c r="G25" s="36">
        <v>108353000</v>
      </c>
      <c r="H25" s="37"/>
      <c r="I25" s="36">
        <v>16809000</v>
      </c>
      <c r="J25" s="37"/>
      <c r="K25" s="36">
        <v>42813000</v>
      </c>
      <c r="L25" s="37"/>
      <c r="M25" s="36">
        <f>SUM(C25:L25)</f>
        <v>495806000</v>
      </c>
      <c r="Q25" s="64"/>
      <c r="R25" s="64"/>
      <c r="S25" s="64"/>
      <c r="T25" s="64"/>
      <c r="U25" s="64"/>
      <c r="V25" s="16"/>
      <c r="W25" s="16"/>
      <c r="X25" s="16"/>
    </row>
    <row r="26" spans="1:24" hidden="1">
      <c r="A26" s="67" t="s">
        <v>76</v>
      </c>
      <c r="B26" s="67"/>
      <c r="C26" s="68">
        <v>245754882</v>
      </c>
      <c r="D26" s="68"/>
      <c r="E26" s="68">
        <v>87058348</v>
      </c>
      <c r="F26" s="68"/>
      <c r="G26" s="68">
        <v>106448504</v>
      </c>
      <c r="H26" s="68"/>
      <c r="I26" s="68">
        <v>16245010</v>
      </c>
      <c r="J26" s="68"/>
      <c r="K26" s="68">
        <v>41503012</v>
      </c>
      <c r="L26" s="68"/>
      <c r="M26" s="68">
        <f>SUM(C26:L26)</f>
        <v>497009756</v>
      </c>
      <c r="Q26" s="64"/>
      <c r="R26" s="64"/>
      <c r="S26" s="64"/>
      <c r="T26" s="64"/>
      <c r="U26" s="64"/>
      <c r="V26" s="16"/>
      <c r="W26" s="16"/>
      <c r="X26" s="16"/>
    </row>
    <row r="27" spans="1:24" hidden="1">
      <c r="A27" s="35" t="s">
        <v>75</v>
      </c>
      <c r="B27" s="35"/>
      <c r="C27" s="36">
        <v>254857741</v>
      </c>
      <c r="D27" s="37"/>
      <c r="E27" s="36">
        <v>92728831</v>
      </c>
      <c r="F27" s="37"/>
      <c r="G27" s="36">
        <v>115143544</v>
      </c>
      <c r="H27" s="37"/>
      <c r="I27" s="36">
        <v>14123385</v>
      </c>
      <c r="J27" s="37"/>
      <c r="K27" s="36">
        <v>36894903</v>
      </c>
      <c r="L27" s="37"/>
      <c r="M27" s="36">
        <f>SUM(C27:L27)</f>
        <v>513748404</v>
      </c>
      <c r="Q27" s="64"/>
      <c r="R27" s="64"/>
      <c r="S27" s="64"/>
      <c r="T27" s="64"/>
      <c r="U27" s="64"/>
      <c r="V27" s="16"/>
      <c r="W27" s="16"/>
      <c r="X27" s="16"/>
    </row>
    <row r="28" spans="1:24" s="64" customFormat="1" hidden="1">
      <c r="A28" s="67" t="s">
        <v>177</v>
      </c>
      <c r="B28" s="67"/>
      <c r="C28" s="68">
        <v>261311187</v>
      </c>
      <c r="D28" s="68"/>
      <c r="E28" s="68">
        <v>89879767</v>
      </c>
      <c r="F28" s="68"/>
      <c r="G28" s="68">
        <v>109118624</v>
      </c>
      <c r="H28" s="68"/>
      <c r="I28" s="68">
        <v>13879778</v>
      </c>
      <c r="J28" s="68"/>
      <c r="K28" s="68">
        <v>40424355</v>
      </c>
      <c r="L28" s="68"/>
      <c r="M28" s="68">
        <f>SUM(C28:L28)</f>
        <v>514613711</v>
      </c>
      <c r="V28" s="16"/>
      <c r="W28" s="16"/>
      <c r="X28" s="16"/>
    </row>
    <row r="29" spans="1:24" s="64" customFormat="1" hidden="1">
      <c r="A29" s="35" t="s">
        <v>3</v>
      </c>
      <c r="B29" s="35"/>
      <c r="C29" s="36">
        <v>289731603</v>
      </c>
      <c r="D29" s="37"/>
      <c r="E29" s="36">
        <v>93159881</v>
      </c>
      <c r="F29" s="37"/>
      <c r="G29" s="36">
        <v>118149195</v>
      </c>
      <c r="H29" s="37"/>
      <c r="I29" s="36">
        <v>13714430</v>
      </c>
      <c r="J29" s="37"/>
      <c r="K29" s="36">
        <v>43587137</v>
      </c>
      <c r="L29" s="37"/>
      <c r="M29" s="36">
        <v>558342247</v>
      </c>
      <c r="V29" s="16"/>
      <c r="W29" s="16"/>
      <c r="X29" s="16"/>
    </row>
    <row r="30" spans="1:24" hidden="1">
      <c r="A30" s="67" t="s">
        <v>183</v>
      </c>
      <c r="B30" s="67"/>
      <c r="C30" s="68">
        <v>282437291</v>
      </c>
      <c r="D30" s="68"/>
      <c r="E30" s="68">
        <v>94884196</v>
      </c>
      <c r="F30" s="68"/>
      <c r="G30" s="68">
        <v>135025614</v>
      </c>
      <c r="H30" s="68"/>
      <c r="I30" s="68">
        <v>13948141</v>
      </c>
      <c r="J30" s="68"/>
      <c r="K30" s="68">
        <v>45867603</v>
      </c>
      <c r="L30" s="68"/>
      <c r="M30" s="68">
        <v>572162846</v>
      </c>
      <c r="Q30" s="64"/>
      <c r="R30" s="64"/>
      <c r="S30" s="64"/>
      <c r="T30" s="64"/>
      <c r="U30" s="64"/>
      <c r="V30" s="16"/>
      <c r="W30" s="16"/>
      <c r="X30" s="16"/>
    </row>
    <row r="31" spans="1:24" s="64" customFormat="1" hidden="1">
      <c r="A31" s="67" t="s">
        <v>188</v>
      </c>
      <c r="B31" s="67"/>
      <c r="C31" s="68">
        <v>293314600</v>
      </c>
      <c r="D31" s="68"/>
      <c r="E31" s="68">
        <v>97112450</v>
      </c>
      <c r="F31" s="68"/>
      <c r="G31" s="68">
        <v>116164072</v>
      </c>
      <c r="H31" s="68"/>
      <c r="I31" s="68">
        <v>11655640</v>
      </c>
      <c r="J31" s="68"/>
      <c r="K31" s="68">
        <v>45597867</v>
      </c>
      <c r="L31" s="68"/>
      <c r="M31" s="68">
        <v>563844629</v>
      </c>
      <c r="V31" s="16"/>
      <c r="W31" s="16"/>
      <c r="X31" s="16"/>
    </row>
    <row r="32" spans="1:24" s="64" customFormat="1" hidden="1">
      <c r="A32" s="67" t="s">
        <v>182</v>
      </c>
      <c r="B32" s="67"/>
      <c r="C32" s="68">
        <v>328882655</v>
      </c>
      <c r="D32" s="68"/>
      <c r="E32" s="68">
        <v>103193892</v>
      </c>
      <c r="F32" s="68"/>
      <c r="G32" s="68">
        <v>126567992</v>
      </c>
      <c r="H32" s="68"/>
      <c r="I32" s="68">
        <v>14420755</v>
      </c>
      <c r="J32" s="68"/>
      <c r="K32" s="68">
        <v>51372113</v>
      </c>
      <c r="L32" s="68"/>
      <c r="M32" s="68">
        <v>624437407</v>
      </c>
      <c r="V32" s="16"/>
      <c r="W32" s="16"/>
      <c r="X32" s="16"/>
    </row>
    <row r="33" spans="1:24" hidden="1">
      <c r="A33" s="35" t="s">
        <v>223</v>
      </c>
      <c r="B33" s="35"/>
      <c r="C33" s="36">
        <f>C22</f>
        <v>380122158</v>
      </c>
      <c r="D33" s="37"/>
      <c r="E33" s="36">
        <f>E22</f>
        <v>110061652</v>
      </c>
      <c r="F33" s="37"/>
      <c r="G33" s="36">
        <f>G22</f>
        <v>134045396</v>
      </c>
      <c r="H33" s="37"/>
      <c r="I33" s="36">
        <f>I22</f>
        <v>11137522</v>
      </c>
      <c r="J33" s="37"/>
      <c r="K33" s="36">
        <f>K22</f>
        <v>58533569</v>
      </c>
      <c r="L33" s="37"/>
      <c r="M33" s="36">
        <f>M22</f>
        <v>693900297</v>
      </c>
      <c r="Q33" s="64"/>
      <c r="R33" s="64"/>
      <c r="S33" s="64"/>
      <c r="T33" s="64"/>
      <c r="U33" s="64"/>
      <c r="V33" s="16"/>
      <c r="W33" s="16"/>
      <c r="X33" s="16"/>
    </row>
    <row r="34" spans="1:24" hidden="1">
      <c r="A34" s="72" t="s">
        <v>230</v>
      </c>
      <c r="B34" s="72"/>
      <c r="C34" s="73">
        <f>ROUND((C33-C31)/C31,5)</f>
        <v>0.29594999999999999</v>
      </c>
      <c r="D34" s="73"/>
      <c r="E34" s="73">
        <f>ROUND((E33-E31)/E31,5)</f>
        <v>0.13333999999999999</v>
      </c>
      <c r="F34" s="73"/>
      <c r="G34" s="73">
        <f>ROUND((G33-G31)/G31,5)</f>
        <v>0.15393000000000001</v>
      </c>
      <c r="H34" s="73"/>
      <c r="I34" s="73">
        <f>ROUND((I33-I31)/I31,5)</f>
        <v>-4.4450000000000003E-2</v>
      </c>
      <c r="J34" s="73"/>
      <c r="K34" s="73">
        <f>ROUND((K33-K31)/K31,5)</f>
        <v>0.28369</v>
      </c>
      <c r="L34" s="73"/>
      <c r="M34" s="73">
        <f>ROUND((M33-M31)/M31,5)</f>
        <v>0.23066</v>
      </c>
      <c r="Q34" s="64"/>
      <c r="R34" s="64"/>
      <c r="S34" s="64"/>
      <c r="T34" s="64"/>
      <c r="U34" s="64"/>
      <c r="V34" s="16"/>
      <c r="W34" s="16"/>
      <c r="X34" s="16"/>
    </row>
    <row r="35" spans="1:24" hidden="1">
      <c r="A35" s="72" t="s">
        <v>231</v>
      </c>
      <c r="B35" s="72"/>
      <c r="C35" s="73">
        <f>ROUND((C33-C32)/C32,5)</f>
        <v>0.15579999999999999</v>
      </c>
      <c r="D35" s="73"/>
      <c r="E35" s="73">
        <f>ROUND((E33-E32)/E32,5)</f>
        <v>6.6549999999999998E-2</v>
      </c>
      <c r="F35" s="73"/>
      <c r="G35" s="73">
        <f>ROUND((G33-G32)/G32,5)</f>
        <v>5.9080000000000001E-2</v>
      </c>
      <c r="H35" s="73"/>
      <c r="I35" s="73">
        <f>ROUND((I33-I32)/I32,5)</f>
        <v>-0.22767000000000001</v>
      </c>
      <c r="J35" s="73"/>
      <c r="K35" s="73">
        <f>ROUND((K33-K32)/K32,5)</f>
        <v>0.1394</v>
      </c>
      <c r="L35" s="73"/>
      <c r="M35" s="73">
        <f>ROUND((M33-M32)/M32,5)</f>
        <v>0.11124000000000001</v>
      </c>
      <c r="Q35" s="64"/>
      <c r="R35" s="64"/>
      <c r="S35" s="64"/>
      <c r="T35" s="64"/>
      <c r="U35" s="64"/>
      <c r="V35" s="16"/>
      <c r="W35" s="16"/>
      <c r="X35" s="16"/>
    </row>
    <row r="36" spans="1:24" hidden="1">
      <c r="Q36" s="64"/>
      <c r="R36" s="64"/>
      <c r="S36" s="64"/>
      <c r="T36" s="64"/>
      <c r="U36" s="64"/>
      <c r="V36" s="16"/>
      <c r="W36" s="16"/>
      <c r="X36" s="16"/>
    </row>
    <row r="37" spans="1:24">
      <c r="I37" s="41" t="s">
        <v>166</v>
      </c>
      <c r="J37" s="41"/>
      <c r="K37" s="41"/>
      <c r="L37" s="41"/>
      <c r="M37" s="41"/>
      <c r="Q37" s="64"/>
      <c r="R37" s="64"/>
      <c r="S37" s="64"/>
      <c r="T37" s="64"/>
      <c r="U37" s="64"/>
      <c r="V37" s="16"/>
      <c r="W37" s="16"/>
      <c r="X37" s="16"/>
    </row>
    <row r="38" spans="1:24">
      <c r="A38" s="25" t="s">
        <v>23</v>
      </c>
      <c r="B38" s="64"/>
      <c r="C38" s="9"/>
      <c r="E38" s="9" t="s">
        <v>19</v>
      </c>
      <c r="G38" s="9" t="s">
        <v>22</v>
      </c>
      <c r="I38" s="9" t="s">
        <v>21</v>
      </c>
      <c r="K38" s="9" t="s">
        <v>21</v>
      </c>
      <c r="M38" s="9" t="s">
        <v>22</v>
      </c>
      <c r="Q38" s="64"/>
      <c r="R38" s="64"/>
      <c r="S38" s="64"/>
      <c r="T38" s="64"/>
      <c r="U38" s="64"/>
      <c r="V38" s="16"/>
      <c r="W38" s="16"/>
      <c r="X38" s="16"/>
    </row>
    <row r="39" spans="1:24">
      <c r="A39" s="24" t="s">
        <v>32</v>
      </c>
      <c r="B39" s="64"/>
      <c r="C39" s="4" t="s">
        <v>19</v>
      </c>
      <c r="E39" s="4" t="s">
        <v>20</v>
      </c>
      <c r="G39" s="4" t="s">
        <v>19</v>
      </c>
      <c r="I39" s="4" t="s">
        <v>19</v>
      </c>
      <c r="K39" s="4" t="s">
        <v>20</v>
      </c>
      <c r="M39" s="4" t="s">
        <v>21</v>
      </c>
      <c r="Q39" s="64"/>
      <c r="R39" s="64"/>
      <c r="S39" s="64"/>
      <c r="T39" s="64"/>
      <c r="U39" s="64"/>
      <c r="V39" s="16"/>
      <c r="W39" s="16"/>
      <c r="X39" s="16"/>
    </row>
    <row r="40" spans="1:24">
      <c r="A40" s="26" t="str">
        <f t="shared" ref="A40:A52" si="3">A9</f>
        <v>December 2018</v>
      </c>
      <c r="B40" s="64"/>
      <c r="C40" s="53">
        <v>7745727</v>
      </c>
      <c r="D40" s="51"/>
      <c r="E40" s="53">
        <v>2185312</v>
      </c>
      <c r="F40" s="51"/>
      <c r="G40" s="53">
        <f>ROUND(SUM(C40:E40),0)</f>
        <v>9931039</v>
      </c>
      <c r="H40" s="50"/>
      <c r="I40" s="97">
        <v>16060831.430000002</v>
      </c>
      <c r="J40" s="98"/>
      <c r="K40" s="97">
        <v>14826848.950000001</v>
      </c>
      <c r="L40" s="51"/>
      <c r="M40" s="1">
        <f>ROUND(SUM(I40:K40),0)</f>
        <v>30887680</v>
      </c>
      <c r="Q40" s="64"/>
      <c r="R40" s="64"/>
      <c r="S40" s="64"/>
      <c r="T40" s="64"/>
      <c r="U40" s="64"/>
    </row>
    <row r="41" spans="1:24">
      <c r="A41" s="26" t="str">
        <f t="shared" si="3"/>
        <v>January 2019</v>
      </c>
      <c r="B41" s="64"/>
      <c r="C41" s="53">
        <v>7884763</v>
      </c>
      <c r="D41" s="51"/>
      <c r="E41" s="53">
        <v>2235940</v>
      </c>
      <c r="F41" s="51"/>
      <c r="G41" s="53">
        <f t="shared" ref="G41:G52" si="4">ROUND(SUM(C41:E41),0)</f>
        <v>10120703</v>
      </c>
      <c r="H41" s="50"/>
      <c r="I41" s="97">
        <v>16207323.220000001</v>
      </c>
      <c r="J41" s="98"/>
      <c r="K41" s="97">
        <v>14970005.160000002</v>
      </c>
      <c r="L41" s="51"/>
      <c r="M41" s="1">
        <f t="shared" ref="M41:M52" si="5">ROUND(SUM(I41:K41),0)</f>
        <v>31177328</v>
      </c>
      <c r="Q41" s="64"/>
      <c r="R41" s="64"/>
      <c r="S41" s="64"/>
      <c r="T41" s="64"/>
      <c r="U41" s="64"/>
    </row>
    <row r="42" spans="1:24">
      <c r="A42" s="26" t="str">
        <f t="shared" si="3"/>
        <v>February</v>
      </c>
      <c r="B42" s="64"/>
      <c r="C42" s="53">
        <v>8024970</v>
      </c>
      <c r="D42" s="51"/>
      <c r="E42" s="53">
        <v>2286568</v>
      </c>
      <c r="F42" s="51"/>
      <c r="G42" s="53">
        <f t="shared" si="4"/>
        <v>10311538</v>
      </c>
      <c r="H42" s="50"/>
      <c r="I42" s="97">
        <v>16354289.32</v>
      </c>
      <c r="J42" s="98"/>
      <c r="K42" s="97">
        <v>15114475.250000002</v>
      </c>
      <c r="L42" s="51"/>
      <c r="M42" s="1">
        <f t="shared" si="5"/>
        <v>31468765</v>
      </c>
      <c r="Q42" s="64"/>
      <c r="R42" s="64"/>
      <c r="S42" s="64"/>
      <c r="T42" s="64"/>
      <c r="U42" s="64"/>
    </row>
    <row r="43" spans="1:24">
      <c r="A43" s="26" t="str">
        <f t="shared" si="3"/>
        <v>March</v>
      </c>
      <c r="B43" s="64"/>
      <c r="C43" s="53">
        <v>8166217</v>
      </c>
      <c r="D43" s="51"/>
      <c r="E43" s="53">
        <v>2337196</v>
      </c>
      <c r="F43" s="51"/>
      <c r="G43" s="53">
        <f t="shared" si="4"/>
        <v>10503413</v>
      </c>
      <c r="H43" s="50"/>
      <c r="I43" s="97">
        <v>16501762.470000001</v>
      </c>
      <c r="J43" s="98"/>
      <c r="K43" s="97">
        <v>15260259.190000001</v>
      </c>
      <c r="L43" s="51"/>
      <c r="M43" s="1">
        <f t="shared" si="5"/>
        <v>31762022</v>
      </c>
      <c r="Q43" s="64"/>
      <c r="R43" s="64"/>
      <c r="S43" s="64"/>
      <c r="T43" s="64"/>
      <c r="U43" s="64"/>
    </row>
    <row r="44" spans="1:24">
      <c r="A44" s="26" t="str">
        <f t="shared" si="3"/>
        <v>April</v>
      </c>
      <c r="B44" s="64"/>
      <c r="C44" s="53">
        <v>8314551</v>
      </c>
      <c r="D44" s="51"/>
      <c r="E44" s="53">
        <v>2387824</v>
      </c>
      <c r="F44" s="51"/>
      <c r="G44" s="53">
        <f t="shared" si="4"/>
        <v>10702375</v>
      </c>
      <c r="H44" s="50"/>
      <c r="I44" s="97">
        <v>16651474.810000001</v>
      </c>
      <c r="J44" s="98"/>
      <c r="K44" s="97">
        <v>15407355.170000002</v>
      </c>
      <c r="L44" s="51"/>
      <c r="M44" s="1">
        <f t="shared" si="5"/>
        <v>32058830</v>
      </c>
      <c r="Q44" s="64"/>
      <c r="R44" s="64"/>
      <c r="S44" s="64"/>
      <c r="T44" s="64"/>
      <c r="U44" s="64"/>
    </row>
    <row r="45" spans="1:24">
      <c r="A45" s="26" t="str">
        <f t="shared" si="3"/>
        <v>May</v>
      </c>
      <c r="B45" s="64"/>
      <c r="C45" s="53">
        <v>8463989</v>
      </c>
      <c r="D45" s="51"/>
      <c r="E45" s="53">
        <v>2438453</v>
      </c>
      <c r="F45" s="51"/>
      <c r="G45" s="53">
        <f t="shared" si="4"/>
        <v>10902442</v>
      </c>
      <c r="H45" s="50"/>
      <c r="I45" s="97">
        <v>16801773.84</v>
      </c>
      <c r="J45" s="98"/>
      <c r="K45" s="97">
        <v>15555580.130000003</v>
      </c>
      <c r="L45" s="51"/>
      <c r="M45" s="1">
        <f t="shared" si="5"/>
        <v>32357354</v>
      </c>
      <c r="Q45" s="64"/>
      <c r="R45" s="64"/>
      <c r="S45" s="64"/>
      <c r="T45" s="64"/>
      <c r="U45" s="64"/>
    </row>
    <row r="46" spans="1:24">
      <c r="A46" s="26" t="str">
        <f t="shared" si="3"/>
        <v>June</v>
      </c>
      <c r="B46" s="64"/>
      <c r="C46" s="53">
        <v>8614786</v>
      </c>
      <c r="D46" s="51"/>
      <c r="E46" s="53">
        <v>2489081</v>
      </c>
      <c r="F46" s="51"/>
      <c r="G46" s="53">
        <f t="shared" si="4"/>
        <v>11103867</v>
      </c>
      <c r="H46" s="50"/>
      <c r="I46" s="97">
        <v>16953057</v>
      </c>
      <c r="J46" s="98"/>
      <c r="K46" s="97">
        <v>15705118.950000003</v>
      </c>
      <c r="L46" s="51"/>
      <c r="M46" s="1">
        <f t="shared" si="5"/>
        <v>32658176</v>
      </c>
      <c r="Q46" s="64"/>
      <c r="R46" s="64"/>
      <c r="S46" s="64"/>
      <c r="T46" s="64"/>
      <c r="U46" s="64"/>
    </row>
    <row r="47" spans="1:24">
      <c r="A47" s="26" t="str">
        <f t="shared" si="3"/>
        <v>July</v>
      </c>
      <c r="B47" s="64"/>
      <c r="C47" s="53">
        <v>8766961</v>
      </c>
      <c r="D47" s="51"/>
      <c r="E47" s="53">
        <v>2551768</v>
      </c>
      <c r="F47" s="51"/>
      <c r="G47" s="53">
        <f t="shared" si="4"/>
        <v>11318729</v>
      </c>
      <c r="H47" s="50"/>
      <c r="I47" s="97">
        <v>17109156.460000001</v>
      </c>
      <c r="J47" s="98"/>
      <c r="K47" s="97">
        <v>15855971.640000002</v>
      </c>
      <c r="L47" s="51"/>
      <c r="M47" s="1">
        <f t="shared" si="5"/>
        <v>32965128</v>
      </c>
      <c r="Q47" s="64"/>
      <c r="R47" s="64"/>
      <c r="S47" s="64"/>
      <c r="T47" s="64"/>
      <c r="U47" s="64"/>
    </row>
    <row r="48" spans="1:24">
      <c r="A48" s="26" t="str">
        <f t="shared" si="3"/>
        <v>August</v>
      </c>
      <c r="B48" s="64"/>
      <c r="C48" s="53">
        <v>8921927</v>
      </c>
      <c r="D48" s="51"/>
      <c r="E48" s="53">
        <v>2614456</v>
      </c>
      <c r="F48" s="51"/>
      <c r="G48" s="53">
        <f t="shared" si="4"/>
        <v>11536383</v>
      </c>
      <c r="H48" s="50"/>
      <c r="I48" s="97">
        <v>17266396.5</v>
      </c>
      <c r="J48" s="98"/>
      <c r="K48" s="97">
        <v>16007983.210000003</v>
      </c>
      <c r="L48" s="51"/>
      <c r="M48" s="1">
        <f t="shared" si="5"/>
        <v>33274380</v>
      </c>
      <c r="Q48" s="64"/>
      <c r="R48" s="64"/>
      <c r="S48" s="64"/>
      <c r="T48" s="64"/>
      <c r="U48" s="64"/>
    </row>
    <row r="49" spans="1:21">
      <c r="A49" s="26" t="str">
        <f t="shared" si="3"/>
        <v>September</v>
      </c>
      <c r="B49" s="64"/>
      <c r="C49" s="53">
        <v>9078223</v>
      </c>
      <c r="D49" s="51"/>
      <c r="E49" s="53">
        <v>2677788</v>
      </c>
      <c r="F49" s="51"/>
      <c r="G49" s="53">
        <f t="shared" si="4"/>
        <v>11756011</v>
      </c>
      <c r="H49" s="50"/>
      <c r="I49" s="97">
        <v>17424621.059999999</v>
      </c>
      <c r="J49" s="98"/>
      <c r="K49" s="97">
        <v>16161308.650000002</v>
      </c>
      <c r="L49" s="51"/>
      <c r="M49" s="1">
        <f t="shared" si="5"/>
        <v>33585930</v>
      </c>
      <c r="Q49" s="64"/>
      <c r="R49" s="64"/>
      <c r="S49" s="64"/>
      <c r="T49" s="64"/>
      <c r="U49" s="64"/>
    </row>
    <row r="50" spans="1:21">
      <c r="A50" s="26" t="str">
        <f t="shared" si="3"/>
        <v>October</v>
      </c>
      <c r="B50" s="64"/>
      <c r="C50" s="53">
        <v>9235706</v>
      </c>
      <c r="D50" s="51"/>
      <c r="E50" s="53">
        <v>2741120</v>
      </c>
      <c r="F50" s="51"/>
      <c r="G50" s="53">
        <f t="shared" si="4"/>
        <v>11976826</v>
      </c>
      <c r="H50" s="50"/>
      <c r="I50" s="97">
        <v>17585057.59</v>
      </c>
      <c r="J50" s="98"/>
      <c r="K50" s="97">
        <v>16319114.580000002</v>
      </c>
      <c r="L50" s="51"/>
      <c r="M50" s="1">
        <f t="shared" si="5"/>
        <v>33904172</v>
      </c>
      <c r="Q50" s="64"/>
      <c r="R50" s="64"/>
      <c r="S50" s="64"/>
      <c r="T50" s="64"/>
      <c r="U50" s="64"/>
    </row>
    <row r="51" spans="1:21">
      <c r="A51" s="26" t="str">
        <f t="shared" si="3"/>
        <v>November</v>
      </c>
      <c r="B51" s="64"/>
      <c r="C51" s="53">
        <v>9394419</v>
      </c>
      <c r="D51" s="51"/>
      <c r="E51" s="53">
        <v>2805364</v>
      </c>
      <c r="F51" s="51"/>
      <c r="G51" s="53">
        <f t="shared" si="4"/>
        <v>12199783</v>
      </c>
      <c r="H51" s="50"/>
      <c r="I51" s="97">
        <v>17746498.149999999</v>
      </c>
      <c r="J51" s="98"/>
      <c r="K51" s="97">
        <v>16478981.020000001</v>
      </c>
      <c r="L51" s="51"/>
      <c r="M51" s="1">
        <f t="shared" si="5"/>
        <v>34225479</v>
      </c>
      <c r="Q51" s="64"/>
      <c r="R51" s="64"/>
      <c r="S51" s="64"/>
      <c r="T51" s="64"/>
      <c r="U51" s="64"/>
    </row>
    <row r="52" spans="1:21">
      <c r="A52" s="26" t="str">
        <f t="shared" si="3"/>
        <v>December</v>
      </c>
      <c r="B52" s="64"/>
      <c r="C52" s="53">
        <v>9554319</v>
      </c>
      <c r="D52" s="51"/>
      <c r="E52" s="53">
        <v>2870357</v>
      </c>
      <c r="F52" s="51"/>
      <c r="G52" s="53">
        <f t="shared" si="4"/>
        <v>12424676</v>
      </c>
      <c r="H52" s="50"/>
      <c r="I52" s="97">
        <v>17909115.849999998</v>
      </c>
      <c r="J52" s="98"/>
      <c r="K52" s="97">
        <v>16638545.980000002</v>
      </c>
      <c r="L52" s="51"/>
      <c r="M52" s="1">
        <f t="shared" si="5"/>
        <v>34547662</v>
      </c>
      <c r="Q52" s="64"/>
      <c r="R52" s="64"/>
      <c r="S52" s="64"/>
      <c r="T52" s="64"/>
      <c r="U52" s="64"/>
    </row>
    <row r="53" spans="1:21">
      <c r="E53" s="16"/>
      <c r="I53" s="16"/>
      <c r="J53" s="16"/>
      <c r="K53" s="97"/>
      <c r="L53"/>
      <c r="Q53" s="64"/>
      <c r="R53" s="64"/>
      <c r="S53" s="64"/>
      <c r="T53" s="64"/>
      <c r="U53" s="64"/>
    </row>
    <row r="54" spans="1:21">
      <c r="G54" s="1"/>
      <c r="Q54" s="64"/>
      <c r="R54" s="64"/>
      <c r="S54" s="64"/>
      <c r="T54" s="64"/>
      <c r="U54" s="64"/>
    </row>
    <row r="55" spans="1:21">
      <c r="B55" s="64"/>
      <c r="C55" s="41" t="s">
        <v>165</v>
      </c>
      <c r="D55" s="41"/>
      <c r="E55" s="41"/>
      <c r="F55" s="41"/>
      <c r="G55" s="41"/>
      <c r="I55" s="41" t="s">
        <v>164</v>
      </c>
      <c r="J55" s="41"/>
      <c r="K55" s="41"/>
      <c r="L55" s="41"/>
      <c r="M55" s="41"/>
      <c r="Q55" s="64"/>
      <c r="R55" s="64"/>
      <c r="S55" s="64"/>
      <c r="T55" s="64"/>
      <c r="U55" s="64"/>
    </row>
    <row r="56" spans="1:21">
      <c r="A56" s="25"/>
      <c r="B56" s="64"/>
      <c r="C56" s="9" t="s">
        <v>21</v>
      </c>
      <c r="E56" s="9" t="s">
        <v>21</v>
      </c>
      <c r="G56" s="9" t="s">
        <v>22</v>
      </c>
      <c r="I56" s="9" t="s">
        <v>21</v>
      </c>
      <c r="K56" s="9" t="s">
        <v>21</v>
      </c>
      <c r="M56" s="9" t="s">
        <v>22</v>
      </c>
      <c r="Q56" s="64"/>
      <c r="R56" s="64"/>
      <c r="S56" s="64"/>
      <c r="T56" s="64"/>
      <c r="U56" s="64"/>
    </row>
    <row r="57" spans="1:21">
      <c r="A57" s="24" t="s">
        <v>163</v>
      </c>
      <c r="B57" s="64"/>
      <c r="C57" s="4" t="s">
        <v>19</v>
      </c>
      <c r="E57" s="4" t="s">
        <v>20</v>
      </c>
      <c r="G57" s="4" t="s">
        <v>19</v>
      </c>
      <c r="I57" s="4" t="s">
        <v>19</v>
      </c>
      <c r="K57" s="4" t="s">
        <v>20</v>
      </c>
      <c r="M57" s="4" t="s">
        <v>21</v>
      </c>
      <c r="Q57" s="64"/>
      <c r="R57" s="64"/>
      <c r="S57" s="64"/>
      <c r="T57" s="64"/>
      <c r="U57" s="64"/>
    </row>
    <row r="58" spans="1:21">
      <c r="A58" s="26" t="str">
        <f>A40</f>
        <v>December 2018</v>
      </c>
      <c r="B58" s="64"/>
      <c r="C58" s="97">
        <v>8853278.4000000004</v>
      </c>
      <c r="D58" s="16"/>
      <c r="E58" s="97">
        <v>14217720.360000003</v>
      </c>
      <c r="F58" s="13"/>
      <c r="G58" s="1">
        <f>ROUND(SUM(C58:E58),0)</f>
        <v>23070999</v>
      </c>
      <c r="I58" s="97">
        <v>623280.42999999993</v>
      </c>
      <c r="J58" s="71"/>
      <c r="K58" s="97">
        <v>588048.49</v>
      </c>
      <c r="L58" s="13"/>
      <c r="M58" s="1">
        <f>ROUND(SUM(I58:K58),0)</f>
        <v>1211329</v>
      </c>
      <c r="Q58" s="64"/>
      <c r="R58" s="64"/>
      <c r="S58" s="64"/>
      <c r="T58" s="64"/>
      <c r="U58" s="64"/>
    </row>
    <row r="59" spans="1:21">
      <c r="A59" s="26" t="str">
        <f t="shared" ref="A59:A70" si="6">A41</f>
        <v>January 2019</v>
      </c>
      <c r="B59" s="64"/>
      <c r="C59" s="97">
        <v>8933868.9500000011</v>
      </c>
      <c r="D59" s="16"/>
      <c r="E59" s="97">
        <v>14380121.920000004</v>
      </c>
      <c r="F59" s="13"/>
      <c r="G59" s="1">
        <f t="shared" ref="G59:G70" si="7">ROUND(SUM(C59:E59),0)</f>
        <v>23313991</v>
      </c>
      <c r="I59" s="97">
        <v>628820.86</v>
      </c>
      <c r="J59" s="71"/>
      <c r="K59" s="97">
        <v>594543.69999999995</v>
      </c>
      <c r="L59" s="13"/>
      <c r="M59" s="1">
        <f t="shared" ref="M59:M70" si="8">ROUND(SUM(I59:K59),0)</f>
        <v>1223365</v>
      </c>
      <c r="Q59" s="64"/>
      <c r="R59" s="64"/>
      <c r="S59" s="64"/>
      <c r="T59" s="64"/>
      <c r="U59" s="64"/>
    </row>
    <row r="60" spans="1:21">
      <c r="A60" s="26" t="str">
        <f t="shared" si="6"/>
        <v>February</v>
      </c>
      <c r="B60" s="64"/>
      <c r="C60" s="97">
        <v>9014747.7300000004</v>
      </c>
      <c r="D60" s="16"/>
      <c r="E60" s="97">
        <v>14543321.950000003</v>
      </c>
      <c r="F60" s="13"/>
      <c r="G60" s="1">
        <f t="shared" si="7"/>
        <v>23558070</v>
      </c>
      <c r="I60" s="97">
        <v>634395.91</v>
      </c>
      <c r="J60" s="71"/>
      <c r="K60" s="97">
        <v>601134.82999999996</v>
      </c>
      <c r="L60" s="13"/>
      <c r="M60" s="1">
        <f t="shared" si="8"/>
        <v>1235531</v>
      </c>
      <c r="Q60" s="64"/>
      <c r="R60" s="64"/>
      <c r="S60" s="64"/>
      <c r="T60" s="64"/>
      <c r="U60" s="64"/>
    </row>
    <row r="61" spans="1:21">
      <c r="A61" s="26" t="str">
        <f t="shared" si="6"/>
        <v>March</v>
      </c>
      <c r="B61" s="64"/>
      <c r="C61" s="97">
        <v>9095934.6699999999</v>
      </c>
      <c r="D61" s="16"/>
      <c r="E61" s="97">
        <v>14707320.440000003</v>
      </c>
      <c r="F61" s="13"/>
      <c r="G61" s="1">
        <f t="shared" si="7"/>
        <v>23803255</v>
      </c>
      <c r="I61" s="97">
        <v>640007.97000000009</v>
      </c>
      <c r="J61" s="71"/>
      <c r="K61" s="97">
        <v>607821.86</v>
      </c>
      <c r="L61" s="13"/>
      <c r="M61" s="1">
        <f t="shared" si="8"/>
        <v>1247830</v>
      </c>
      <c r="Q61" s="64"/>
      <c r="R61" s="64"/>
      <c r="S61" s="64"/>
      <c r="T61" s="64"/>
      <c r="U61" s="64"/>
    </row>
    <row r="62" spans="1:21">
      <c r="A62" s="26" t="str">
        <f t="shared" si="6"/>
        <v>April</v>
      </c>
      <c r="B62" s="64"/>
      <c r="C62" s="97">
        <v>9178489.1300000008</v>
      </c>
      <c r="D62" s="16"/>
      <c r="E62" s="97">
        <v>14872116.290000003</v>
      </c>
      <c r="F62" s="13"/>
      <c r="G62" s="1">
        <f t="shared" si="7"/>
        <v>24050605</v>
      </c>
      <c r="I62" s="97">
        <v>645781.38000000012</v>
      </c>
      <c r="J62" s="71"/>
      <c r="K62" s="97">
        <v>614604.68999999994</v>
      </c>
      <c r="L62" s="13"/>
      <c r="M62" s="1">
        <f t="shared" si="8"/>
        <v>1260386</v>
      </c>
    </row>
    <row r="63" spans="1:21">
      <c r="A63" s="26" t="str">
        <f t="shared" si="6"/>
        <v>May</v>
      </c>
      <c r="B63" s="64"/>
      <c r="C63" s="97">
        <v>9261388.2300000004</v>
      </c>
      <c r="D63" s="16"/>
      <c r="E63" s="97">
        <v>15037598.240000002</v>
      </c>
      <c r="F63" s="13"/>
      <c r="G63" s="1">
        <f t="shared" si="7"/>
        <v>24298986</v>
      </c>
      <c r="I63" s="97">
        <v>651591.81000000017</v>
      </c>
      <c r="J63" s="71"/>
      <c r="K63" s="97">
        <v>621469.92999999993</v>
      </c>
      <c r="L63" s="13"/>
      <c r="M63" s="1">
        <f t="shared" si="8"/>
        <v>1273062</v>
      </c>
    </row>
    <row r="64" spans="1:21">
      <c r="A64" s="26" t="str">
        <f t="shared" si="6"/>
        <v>June</v>
      </c>
      <c r="B64" s="64"/>
      <c r="C64" s="97">
        <v>9344852.2599999998</v>
      </c>
      <c r="D64" s="16"/>
      <c r="E64" s="97">
        <v>15203878.660000002</v>
      </c>
      <c r="F64" s="13"/>
      <c r="G64" s="1">
        <f t="shared" si="7"/>
        <v>24548731</v>
      </c>
      <c r="I64" s="97">
        <v>657460.94000000018</v>
      </c>
      <c r="J64" s="71"/>
      <c r="K64" s="97">
        <v>628431.09</v>
      </c>
      <c r="L64" s="13"/>
      <c r="M64" s="1">
        <f t="shared" si="8"/>
        <v>1285892</v>
      </c>
    </row>
    <row r="65" spans="1:13">
      <c r="A65" s="26" t="str">
        <f t="shared" si="6"/>
        <v>July</v>
      </c>
      <c r="B65" s="64"/>
      <c r="C65" s="97">
        <v>9431232.1699999999</v>
      </c>
      <c r="D65" s="16"/>
      <c r="E65" s="97">
        <v>15370957.530000001</v>
      </c>
      <c r="F65" s="13"/>
      <c r="G65" s="1">
        <f t="shared" si="7"/>
        <v>24802190</v>
      </c>
      <c r="I65" s="97">
        <v>663664.81000000017</v>
      </c>
      <c r="J65" s="71"/>
      <c r="K65" s="97">
        <v>635488.15999999992</v>
      </c>
      <c r="L65" s="13"/>
      <c r="M65" s="1">
        <f t="shared" si="8"/>
        <v>1299153</v>
      </c>
    </row>
    <row r="66" spans="1:13">
      <c r="A66" s="26" t="str">
        <f t="shared" si="6"/>
        <v>August</v>
      </c>
      <c r="B66" s="64"/>
      <c r="C66" s="97">
        <v>9518311.0800000001</v>
      </c>
      <c r="D66" s="16"/>
      <c r="E66" s="97">
        <v>15538740.680000002</v>
      </c>
      <c r="F66" s="13"/>
      <c r="G66" s="1">
        <f t="shared" si="7"/>
        <v>25057052</v>
      </c>
      <c r="I66" s="97">
        <v>669946.55000000016</v>
      </c>
      <c r="J66" s="71"/>
      <c r="K66" s="97">
        <v>642629.81999999995</v>
      </c>
      <c r="L66" s="13"/>
      <c r="M66" s="1">
        <f t="shared" si="8"/>
        <v>1312576</v>
      </c>
    </row>
    <row r="67" spans="1:13">
      <c r="A67" s="26" t="str">
        <f t="shared" si="6"/>
        <v>September</v>
      </c>
      <c r="B67" s="64"/>
      <c r="C67" s="97">
        <v>9605952</v>
      </c>
      <c r="D67" s="16"/>
      <c r="E67" s="97">
        <v>15707322.290000001</v>
      </c>
      <c r="F67" s="13"/>
      <c r="G67" s="1">
        <f t="shared" si="7"/>
        <v>25313274</v>
      </c>
      <c r="I67" s="97">
        <v>676285.32000000018</v>
      </c>
      <c r="J67" s="71"/>
      <c r="K67" s="97">
        <v>649867.39999999991</v>
      </c>
      <c r="L67" s="13"/>
      <c r="M67" s="1">
        <f t="shared" si="8"/>
        <v>1326153</v>
      </c>
    </row>
    <row r="68" spans="1:13">
      <c r="A68" s="26" t="str">
        <f t="shared" si="6"/>
        <v>October</v>
      </c>
      <c r="B68" s="64"/>
      <c r="C68" s="97">
        <v>9694952.8900000006</v>
      </c>
      <c r="D68" s="16"/>
      <c r="E68" s="97">
        <v>15878626.790000001</v>
      </c>
      <c r="F68" s="13"/>
      <c r="G68" s="1">
        <f t="shared" si="7"/>
        <v>25573580</v>
      </c>
      <c r="I68" s="97">
        <v>682776.35000000021</v>
      </c>
      <c r="J68" s="71"/>
      <c r="K68" s="97">
        <v>657432.04999999993</v>
      </c>
      <c r="L68" s="13"/>
      <c r="M68" s="1">
        <f t="shared" si="8"/>
        <v>1340208</v>
      </c>
    </row>
    <row r="69" spans="1:13">
      <c r="A69" s="26" t="str">
        <f t="shared" si="6"/>
        <v>November</v>
      </c>
      <c r="B69" s="64"/>
      <c r="C69" s="97">
        <v>9784514.8399999999</v>
      </c>
      <c r="D69" s="16"/>
      <c r="E69" s="97">
        <v>16051183.510000002</v>
      </c>
      <c r="F69" s="13"/>
      <c r="G69" s="1">
        <f t="shared" si="7"/>
        <v>25835698</v>
      </c>
      <c r="I69" s="97">
        <v>689319.49000000022</v>
      </c>
      <c r="J69" s="71"/>
      <c r="K69" s="97">
        <v>665147.11999999988</v>
      </c>
      <c r="L69" s="13"/>
      <c r="M69" s="1">
        <f t="shared" si="8"/>
        <v>1354467</v>
      </c>
    </row>
    <row r="70" spans="1:13">
      <c r="A70" s="26" t="str">
        <f t="shared" si="6"/>
        <v>December</v>
      </c>
      <c r="B70" s="64"/>
      <c r="C70" s="97">
        <v>9874775.129999999</v>
      </c>
      <c r="D70" s="16"/>
      <c r="E70" s="97">
        <v>16223557.000000002</v>
      </c>
      <c r="F70" s="13"/>
      <c r="G70" s="1">
        <f t="shared" si="7"/>
        <v>26098332</v>
      </c>
      <c r="I70" s="97">
        <v>695940.63000000024</v>
      </c>
      <c r="J70" s="71"/>
      <c r="K70" s="97">
        <v>672840.18999999983</v>
      </c>
      <c r="L70" s="13"/>
      <c r="M70" s="1">
        <f t="shared" si="8"/>
        <v>1368781</v>
      </c>
    </row>
    <row r="71" spans="1:13">
      <c r="B71" s="64"/>
      <c r="C71" s="64"/>
      <c r="E71" s="64"/>
      <c r="G71" s="1"/>
      <c r="I71" s="64"/>
      <c r="K71" s="64"/>
      <c r="M71" s="64"/>
    </row>
  </sheetData>
  <printOptions horizontalCentered="1"/>
  <pageMargins left="0.17" right="0.17" top="1" bottom="0.75" header="0.3" footer="0.3"/>
  <pageSetup scale="90" orientation="portrait" r:id="rId1"/>
  <headerFooter>
    <oddFooter>&amp;C&amp;F - &amp;A
Page &amp;P of &amp;N</oddFooter>
  </headerFooter>
  <colBreaks count="1" manualBreakCount="1">
    <brk id="13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7"/>
  <sheetViews>
    <sheetView showGridLines="0" topLeftCell="A10" workbookViewId="0">
      <selection activeCell="C47" sqref="C47"/>
    </sheetView>
  </sheetViews>
  <sheetFormatPr defaultRowHeight="12.75"/>
  <cols>
    <col min="1" max="1" width="19.140625" bestFit="1" customWidth="1"/>
    <col min="2" max="2" width="2.7109375" customWidth="1"/>
    <col min="3" max="3" width="13.7109375" bestFit="1" customWidth="1"/>
    <col min="4" max="4" width="2.7109375" customWidth="1"/>
    <col min="5" max="5" width="13.7109375" bestFit="1" customWidth="1"/>
    <col min="6" max="6" width="2.7109375" customWidth="1"/>
    <col min="7" max="7" width="13.7109375" bestFit="1" customWidth="1"/>
    <col min="8" max="8" width="2.7109375" customWidth="1"/>
    <col min="9" max="9" width="13.42578125" bestFit="1" customWidth="1"/>
  </cols>
  <sheetData>
    <row r="1" spans="1:9">
      <c r="A1" s="3" t="s">
        <v>0</v>
      </c>
      <c r="B1" s="11"/>
      <c r="C1" s="89"/>
      <c r="D1" s="89"/>
      <c r="E1" s="89"/>
      <c r="F1" s="89"/>
      <c r="G1" s="89"/>
      <c r="H1" s="89"/>
      <c r="I1" s="89"/>
    </row>
    <row r="2" spans="1:9">
      <c r="A2" s="3" t="s">
        <v>2</v>
      </c>
      <c r="B2" s="11"/>
      <c r="C2" s="89"/>
      <c r="D2" s="89"/>
      <c r="E2" s="89"/>
      <c r="F2" s="89"/>
      <c r="G2" s="89"/>
      <c r="H2" s="89"/>
      <c r="I2" s="89"/>
    </row>
    <row r="3" spans="1:9">
      <c r="A3" s="3" t="s">
        <v>406</v>
      </c>
      <c r="B3" s="11"/>
      <c r="C3" s="89"/>
      <c r="D3" s="89"/>
      <c r="E3" s="89"/>
      <c r="F3" s="89"/>
      <c r="G3" s="89"/>
      <c r="H3" s="89"/>
      <c r="I3" s="89"/>
    </row>
    <row r="4" spans="1:9">
      <c r="A4" s="3" t="s">
        <v>262</v>
      </c>
      <c r="B4" s="11"/>
      <c r="C4" s="89"/>
      <c r="D4" s="89"/>
      <c r="E4" s="89"/>
      <c r="F4" s="89"/>
      <c r="G4" s="89"/>
      <c r="H4" s="89"/>
      <c r="I4" s="89"/>
    </row>
    <row r="5" spans="1:9">
      <c r="A5" s="8"/>
      <c r="B5" s="8"/>
      <c r="C5" s="203"/>
      <c r="D5" s="203"/>
      <c r="E5" s="1"/>
      <c r="F5" s="1"/>
      <c r="G5" s="1"/>
      <c r="H5" s="1"/>
      <c r="I5" s="1"/>
    </row>
    <row r="6" spans="1:9">
      <c r="C6" s="1"/>
      <c r="D6" s="1"/>
      <c r="E6" s="1"/>
      <c r="F6" s="1"/>
      <c r="G6" s="1"/>
      <c r="H6" s="1"/>
      <c r="I6" s="1"/>
    </row>
    <row r="7" spans="1:9">
      <c r="A7" s="8"/>
      <c r="B7" s="8"/>
      <c r="C7" s="204" t="s">
        <v>203</v>
      </c>
      <c r="D7" s="13"/>
      <c r="E7" s="204" t="s">
        <v>204</v>
      </c>
      <c r="F7" s="13"/>
      <c r="G7" s="204" t="s">
        <v>251</v>
      </c>
      <c r="H7" s="1"/>
      <c r="I7" s="1"/>
    </row>
    <row r="8" spans="1:9">
      <c r="A8" s="12"/>
      <c r="B8" s="64"/>
      <c r="C8" s="90" t="s">
        <v>249</v>
      </c>
      <c r="D8" s="204"/>
      <c r="E8" s="90" t="s">
        <v>250</v>
      </c>
      <c r="F8" s="13"/>
      <c r="G8" s="90" t="s">
        <v>252</v>
      </c>
      <c r="H8" s="1"/>
      <c r="I8" s="204" t="s">
        <v>28</v>
      </c>
    </row>
    <row r="9" spans="1:9">
      <c r="A9" s="12"/>
      <c r="B9" s="64"/>
      <c r="C9" s="205" t="s">
        <v>408</v>
      </c>
      <c r="D9" s="13"/>
      <c r="E9" s="205" t="s">
        <v>409</v>
      </c>
      <c r="F9" s="13"/>
      <c r="G9" s="205" t="s">
        <v>410</v>
      </c>
      <c r="H9" s="1"/>
      <c r="I9" s="205" t="s">
        <v>26</v>
      </c>
    </row>
    <row r="10" spans="1:9">
      <c r="A10" s="26" t="s">
        <v>265</v>
      </c>
      <c r="B10" s="64"/>
      <c r="C10" s="69">
        <v>108341556</v>
      </c>
      <c r="D10" s="15"/>
      <c r="E10" s="10">
        <v>20493598</v>
      </c>
      <c r="F10" s="10"/>
      <c r="G10" s="10">
        <v>1720089</v>
      </c>
      <c r="H10" s="10"/>
      <c r="I10" s="10">
        <f t="shared" ref="I10:I22" si="0">SUM(C10:H10)</f>
        <v>130555243</v>
      </c>
    </row>
    <row r="11" spans="1:9">
      <c r="A11" s="26" t="s">
        <v>266</v>
      </c>
      <c r="B11" s="64"/>
      <c r="C11" s="53">
        <v>108852823</v>
      </c>
      <c r="D11" s="13"/>
      <c r="E11" s="1">
        <f>$E$10</f>
        <v>20493598</v>
      </c>
      <c r="F11" s="1"/>
      <c r="G11" s="1">
        <f>$G$10</f>
        <v>1720089</v>
      </c>
      <c r="H11" s="1"/>
      <c r="I11" s="1">
        <f t="shared" si="0"/>
        <v>131066510</v>
      </c>
    </row>
    <row r="12" spans="1:9">
      <c r="A12" s="26" t="s">
        <v>4</v>
      </c>
      <c r="B12" s="64"/>
      <c r="C12" s="53">
        <v>108979971</v>
      </c>
      <c r="D12" s="13"/>
      <c r="E12" s="1">
        <f t="shared" ref="E12:E22" si="1">$E$10</f>
        <v>20493598</v>
      </c>
      <c r="F12" s="1"/>
      <c r="G12" s="1">
        <f t="shared" ref="G12:G22" si="2">$G$10</f>
        <v>1720089</v>
      </c>
      <c r="H12" s="1"/>
      <c r="I12" s="1">
        <f t="shared" si="0"/>
        <v>131193658</v>
      </c>
    </row>
    <row r="13" spans="1:9">
      <c r="A13" s="26" t="s">
        <v>5</v>
      </c>
      <c r="B13" s="64"/>
      <c r="C13" s="53">
        <v>109052618</v>
      </c>
      <c r="D13" s="13"/>
      <c r="E13" s="1">
        <f t="shared" si="1"/>
        <v>20493598</v>
      </c>
      <c r="F13" s="1"/>
      <c r="G13" s="1">
        <f t="shared" si="2"/>
        <v>1720089</v>
      </c>
      <c r="H13" s="1"/>
      <c r="I13" s="1">
        <f t="shared" si="0"/>
        <v>131266305</v>
      </c>
    </row>
    <row r="14" spans="1:9">
      <c r="A14" s="26" t="s">
        <v>6</v>
      </c>
      <c r="B14" s="64"/>
      <c r="C14" s="53">
        <v>109279713</v>
      </c>
      <c r="D14" s="13"/>
      <c r="E14" s="1">
        <f t="shared" si="1"/>
        <v>20493598</v>
      </c>
      <c r="F14" s="1"/>
      <c r="G14" s="1">
        <f t="shared" si="2"/>
        <v>1720089</v>
      </c>
      <c r="H14" s="1"/>
      <c r="I14" s="1">
        <f t="shared" si="0"/>
        <v>131493400</v>
      </c>
    </row>
    <row r="15" spans="1:9">
      <c r="A15" s="26" t="s">
        <v>7</v>
      </c>
      <c r="B15" s="64"/>
      <c r="C15" s="53">
        <v>109427441</v>
      </c>
      <c r="D15" s="13"/>
      <c r="E15" s="1">
        <f t="shared" si="1"/>
        <v>20493598</v>
      </c>
      <c r="F15" s="1"/>
      <c r="G15" s="1">
        <f t="shared" si="2"/>
        <v>1720089</v>
      </c>
      <c r="H15" s="1"/>
      <c r="I15" s="1">
        <f t="shared" si="0"/>
        <v>131641128</v>
      </c>
    </row>
    <row r="16" spans="1:9">
      <c r="A16" s="26" t="s">
        <v>8</v>
      </c>
      <c r="B16" s="64"/>
      <c r="C16" s="53">
        <v>109692169</v>
      </c>
      <c r="D16" s="13"/>
      <c r="E16" s="1">
        <f t="shared" si="1"/>
        <v>20493598</v>
      </c>
      <c r="F16" s="1"/>
      <c r="G16" s="1">
        <f t="shared" si="2"/>
        <v>1720089</v>
      </c>
      <c r="H16" s="1"/>
      <c r="I16" s="1">
        <f t="shared" si="0"/>
        <v>131905856</v>
      </c>
    </row>
    <row r="17" spans="1:9">
      <c r="A17" s="26" t="s">
        <v>9</v>
      </c>
      <c r="B17" s="64"/>
      <c r="C17" s="53">
        <v>109734200</v>
      </c>
      <c r="D17" s="13"/>
      <c r="E17" s="1">
        <f t="shared" si="1"/>
        <v>20493598</v>
      </c>
      <c r="F17" s="1"/>
      <c r="G17" s="1">
        <f t="shared" si="2"/>
        <v>1720089</v>
      </c>
      <c r="H17" s="1"/>
      <c r="I17" s="1">
        <f t="shared" si="0"/>
        <v>131947887</v>
      </c>
    </row>
    <row r="18" spans="1:9">
      <c r="A18" s="26" t="s">
        <v>10</v>
      </c>
      <c r="B18" s="64"/>
      <c r="C18" s="53">
        <v>110360094</v>
      </c>
      <c r="D18" s="13"/>
      <c r="E18" s="1">
        <f t="shared" si="1"/>
        <v>20493598</v>
      </c>
      <c r="F18" s="1"/>
      <c r="G18" s="1">
        <f t="shared" si="2"/>
        <v>1720089</v>
      </c>
      <c r="H18" s="1"/>
      <c r="I18" s="1">
        <f t="shared" si="0"/>
        <v>132573781</v>
      </c>
    </row>
    <row r="19" spans="1:9">
      <c r="A19" s="26" t="s">
        <v>11</v>
      </c>
      <c r="B19" s="64"/>
      <c r="C19" s="53">
        <v>110374125</v>
      </c>
      <c r="D19" s="13"/>
      <c r="E19" s="1">
        <f t="shared" si="1"/>
        <v>20493598</v>
      </c>
      <c r="F19" s="1"/>
      <c r="G19" s="1">
        <f t="shared" si="2"/>
        <v>1720089</v>
      </c>
      <c r="H19" s="1"/>
      <c r="I19" s="1">
        <f t="shared" si="0"/>
        <v>132587812</v>
      </c>
    </row>
    <row r="20" spans="1:9">
      <c r="A20" s="26" t="s">
        <v>12</v>
      </c>
      <c r="B20" s="64"/>
      <c r="C20" s="53">
        <v>110388156</v>
      </c>
      <c r="D20" s="13"/>
      <c r="E20" s="1">
        <f t="shared" si="1"/>
        <v>20493598</v>
      </c>
      <c r="F20" s="1"/>
      <c r="G20" s="1">
        <f t="shared" si="2"/>
        <v>1720089</v>
      </c>
      <c r="H20" s="1"/>
      <c r="I20" s="1">
        <f t="shared" si="0"/>
        <v>132601843</v>
      </c>
    </row>
    <row r="21" spans="1:9">
      <c r="A21" s="26" t="s">
        <v>13</v>
      </c>
      <c r="B21" s="64"/>
      <c r="C21" s="53">
        <v>110402187</v>
      </c>
      <c r="D21" s="13"/>
      <c r="E21" s="1">
        <f t="shared" si="1"/>
        <v>20493598</v>
      </c>
      <c r="F21" s="1"/>
      <c r="G21" s="1">
        <f t="shared" si="2"/>
        <v>1720089</v>
      </c>
      <c r="H21" s="1"/>
      <c r="I21" s="1">
        <f t="shared" si="0"/>
        <v>132615874</v>
      </c>
    </row>
    <row r="22" spans="1:9">
      <c r="A22" s="26" t="s">
        <v>14</v>
      </c>
      <c r="B22" s="64"/>
      <c r="C22" s="53">
        <v>110416218</v>
      </c>
      <c r="D22" s="13"/>
      <c r="E22" s="1">
        <f t="shared" si="1"/>
        <v>20493598</v>
      </c>
      <c r="F22" s="1"/>
      <c r="G22" s="1">
        <f t="shared" si="2"/>
        <v>1720089</v>
      </c>
      <c r="H22" s="1"/>
      <c r="I22" s="1">
        <f t="shared" si="0"/>
        <v>132629905</v>
      </c>
    </row>
    <row r="23" spans="1:9">
      <c r="A23" s="8" t="s">
        <v>407</v>
      </c>
      <c r="B23" s="8"/>
      <c r="C23" s="13"/>
      <c r="D23" s="13"/>
      <c r="E23" s="13"/>
      <c r="F23" s="1"/>
      <c r="G23" s="1"/>
      <c r="H23" s="1"/>
      <c r="I23" s="1">
        <f>ROUND(AVERAGE(I10:I22),0)</f>
        <v>131852246</v>
      </c>
    </row>
    <row r="24" spans="1:9">
      <c r="A24" s="8"/>
      <c r="B24" s="8"/>
      <c r="C24" s="51"/>
      <c r="D24" s="51"/>
      <c r="E24" s="1"/>
      <c r="F24" s="1"/>
      <c r="G24" s="1"/>
      <c r="H24" s="1"/>
      <c r="I24" s="1"/>
    </row>
    <row r="25" spans="1:9">
      <c r="A25" s="8"/>
      <c r="B25" s="8"/>
      <c r="C25" s="51"/>
      <c r="D25" s="51"/>
      <c r="E25" s="1"/>
      <c r="F25" s="1"/>
      <c r="G25" s="1"/>
      <c r="H25" s="1"/>
      <c r="I25" s="1"/>
    </row>
    <row r="26" spans="1:9">
      <c r="D26" s="1"/>
      <c r="E26" s="1"/>
      <c r="F26" s="1"/>
      <c r="G26" s="1"/>
      <c r="H26" s="1"/>
      <c r="I26" s="1"/>
    </row>
    <row r="27" spans="1:9">
      <c r="A27" t="s">
        <v>417</v>
      </c>
      <c r="D27" s="1"/>
      <c r="E27" s="1"/>
      <c r="F27" s="1"/>
      <c r="G27" s="1"/>
      <c r="H27" s="1"/>
      <c r="I27" s="1"/>
    </row>
    <row r="28" spans="1:9">
      <c r="A28" t="s">
        <v>418</v>
      </c>
      <c r="D28" s="1"/>
      <c r="E28" s="1"/>
      <c r="F28" s="1"/>
      <c r="G28" s="1"/>
      <c r="H28" s="1"/>
      <c r="I28" s="1"/>
    </row>
    <row r="29" spans="1:9">
      <c r="A29" s="64" t="s">
        <v>419</v>
      </c>
    </row>
    <row r="33" spans="1:3">
      <c r="A33" s="12"/>
      <c r="B33" s="64"/>
      <c r="C33" s="205" t="s">
        <v>411</v>
      </c>
    </row>
    <row r="34" spans="1:3">
      <c r="A34" s="7" t="s">
        <v>265</v>
      </c>
      <c r="B34" s="64"/>
      <c r="C34" s="69">
        <f>C10</f>
        <v>108341556</v>
      </c>
    </row>
    <row r="35" spans="1:3" s="64" customFormat="1">
      <c r="A35" s="7" t="s">
        <v>266</v>
      </c>
      <c r="C35" s="53">
        <v>0</v>
      </c>
    </row>
    <row r="36" spans="1:3">
      <c r="A36" s="7" t="s">
        <v>4</v>
      </c>
      <c r="B36" s="64"/>
      <c r="C36" s="53">
        <v>0</v>
      </c>
    </row>
    <row r="37" spans="1:3">
      <c r="A37" s="7" t="s">
        <v>5</v>
      </c>
      <c r="B37" s="64"/>
      <c r="C37" s="53">
        <v>0</v>
      </c>
    </row>
    <row r="38" spans="1:3">
      <c r="A38" s="7" t="s">
        <v>6</v>
      </c>
      <c r="B38" s="64"/>
      <c r="C38" s="53">
        <v>0</v>
      </c>
    </row>
    <row r="39" spans="1:3">
      <c r="A39" s="7" t="s">
        <v>7</v>
      </c>
      <c r="B39" s="64"/>
      <c r="C39" s="53">
        <v>0</v>
      </c>
    </row>
    <row r="40" spans="1:3">
      <c r="A40" s="7" t="s">
        <v>8</v>
      </c>
      <c r="B40" s="64"/>
      <c r="C40" s="53">
        <v>0</v>
      </c>
    </row>
    <row r="41" spans="1:3">
      <c r="A41" s="7" t="s">
        <v>9</v>
      </c>
      <c r="B41" s="64"/>
      <c r="C41" s="53">
        <v>0</v>
      </c>
    </row>
    <row r="42" spans="1:3">
      <c r="A42" s="7" t="s">
        <v>10</v>
      </c>
      <c r="B42" s="64"/>
      <c r="C42" s="53">
        <v>0</v>
      </c>
    </row>
    <row r="43" spans="1:3">
      <c r="A43" s="7" t="s">
        <v>11</v>
      </c>
      <c r="B43" s="64"/>
      <c r="C43" s="53">
        <v>0</v>
      </c>
    </row>
    <row r="44" spans="1:3">
      <c r="A44" s="7" t="s">
        <v>12</v>
      </c>
      <c r="B44" s="64"/>
      <c r="C44" s="53">
        <v>0</v>
      </c>
    </row>
    <row r="45" spans="1:3">
      <c r="A45" s="7" t="s">
        <v>13</v>
      </c>
      <c r="B45" s="64"/>
      <c r="C45" s="53">
        <v>0</v>
      </c>
    </row>
    <row r="46" spans="1:3">
      <c r="A46" s="7" t="s">
        <v>14</v>
      </c>
      <c r="B46" s="64"/>
      <c r="C46" s="53">
        <v>0</v>
      </c>
    </row>
    <row r="47" spans="1:3">
      <c r="A47" s="8" t="s">
        <v>407</v>
      </c>
      <c r="B47" s="8"/>
      <c r="C47" s="1">
        <f>ROUND(AVERAGE(C34:C46),0)</f>
        <v>8333966</v>
      </c>
    </row>
  </sheetData>
  <printOptions horizontalCentered="1"/>
  <pageMargins left="0.17" right="0.17" top="1" bottom="0.75" header="0.3" footer="0.3"/>
  <pageSetup orientation="portrait" r:id="rId1"/>
  <headerFooter>
    <oddFooter>&amp;C&amp;F -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58D8-ECB8-47CA-BB5E-F2CB66175EFE}">
  <dimension ref="A1:P90"/>
  <sheetViews>
    <sheetView view="pageBreakPreview" zoomScale="80" zoomScaleNormal="70" zoomScaleSheetLayoutView="80" workbookViewId="0"/>
  </sheetViews>
  <sheetFormatPr defaultRowHeight="15.75"/>
  <cols>
    <col min="1" max="1" width="6.7109375" style="159" customWidth="1"/>
    <col min="2" max="2" width="11.7109375" style="159" customWidth="1"/>
    <col min="3" max="3" width="9.7109375" style="159" customWidth="1"/>
    <col min="4" max="4" width="15.5703125" style="159" bestFit="1" customWidth="1"/>
    <col min="5" max="5" width="10.7109375" style="159" customWidth="1"/>
    <col min="6" max="6" width="9.7109375" style="159" customWidth="1"/>
    <col min="7" max="7" width="2.7109375" style="159" customWidth="1"/>
    <col min="8" max="9" width="14.7109375" style="159" customWidth="1"/>
    <col min="10" max="10" width="28" style="159" customWidth="1"/>
    <col min="11" max="11" width="17.28515625" style="159" customWidth="1"/>
    <col min="12" max="12" width="16.28515625" style="159" customWidth="1"/>
    <col min="13" max="13" width="30.85546875" style="159" customWidth="1"/>
    <col min="14" max="14" width="29.5703125" style="159" customWidth="1"/>
    <col min="15" max="15" width="28.5703125" style="159" customWidth="1"/>
    <col min="16" max="16" width="25.140625" style="159" customWidth="1"/>
    <col min="17" max="17" width="49.140625" style="159" customWidth="1"/>
    <col min="18" max="16384" width="9.140625" style="159"/>
  </cols>
  <sheetData>
    <row r="1" spans="1:16" s="158" customFormat="1">
      <c r="B1" s="255" t="s">
        <v>326</v>
      </c>
      <c r="C1" s="255"/>
      <c r="D1" s="255"/>
      <c r="E1" s="255"/>
      <c r="F1" s="255"/>
      <c r="G1" s="255"/>
      <c r="H1" s="255"/>
      <c r="I1" s="255"/>
      <c r="J1" s="255"/>
      <c r="K1" s="255"/>
    </row>
    <row r="2" spans="1:16" s="158" customFormat="1">
      <c r="B2" s="256" t="s">
        <v>196</v>
      </c>
      <c r="C2" s="256"/>
      <c r="D2" s="256"/>
      <c r="E2" s="256"/>
      <c r="F2" s="256"/>
      <c r="G2" s="256"/>
      <c r="H2" s="256"/>
      <c r="I2" s="256"/>
      <c r="J2" s="256"/>
      <c r="K2" s="256"/>
    </row>
    <row r="3" spans="1:16" s="158" customFormat="1">
      <c r="B3" s="256" t="s">
        <v>267</v>
      </c>
      <c r="C3" s="256"/>
      <c r="D3" s="256"/>
      <c r="E3" s="256"/>
      <c r="F3" s="256"/>
      <c r="G3" s="256"/>
      <c r="H3" s="256"/>
      <c r="I3" s="256"/>
      <c r="J3" s="256"/>
      <c r="K3" s="256"/>
    </row>
    <row r="4" spans="1:16">
      <c r="B4" s="160" t="s">
        <v>327</v>
      </c>
      <c r="C4" s="161" t="s">
        <v>262</v>
      </c>
      <c r="D4" s="162"/>
      <c r="J4" s="160"/>
      <c r="K4" s="163"/>
    </row>
    <row r="5" spans="1:16">
      <c r="B5" s="257" t="s">
        <v>328</v>
      </c>
      <c r="C5" s="257"/>
      <c r="D5" s="257"/>
      <c r="E5" s="257"/>
      <c r="F5" s="257"/>
      <c r="G5" s="257"/>
      <c r="H5" s="257"/>
      <c r="I5" s="257"/>
      <c r="J5" s="257"/>
      <c r="K5" s="163"/>
      <c r="L5" s="257" t="s">
        <v>329</v>
      </c>
      <c r="M5" s="257"/>
      <c r="N5" s="257"/>
      <c r="O5" s="257"/>
      <c r="P5" s="257"/>
    </row>
    <row r="6" spans="1:16">
      <c r="A6" s="159">
        <v>1</v>
      </c>
      <c r="B6" s="164" t="s">
        <v>197</v>
      </c>
      <c r="H6" s="165"/>
      <c r="I6" s="165"/>
      <c r="J6" s="165"/>
      <c r="K6" s="165"/>
      <c r="L6" s="164" t="s">
        <v>197</v>
      </c>
      <c r="M6" s="166"/>
      <c r="N6" s="166"/>
      <c r="O6" s="166"/>
      <c r="P6" s="166"/>
    </row>
    <row r="7" spans="1:16">
      <c r="A7" s="159">
        <f>+A6+1</f>
        <v>2</v>
      </c>
      <c r="B7" s="247" t="s">
        <v>330</v>
      </c>
      <c r="C7" s="248"/>
      <c r="D7" s="248"/>
      <c r="E7" s="248"/>
      <c r="F7" s="249"/>
      <c r="G7" s="167"/>
      <c r="H7" s="250" t="s">
        <v>331</v>
      </c>
      <c r="I7" s="251"/>
      <c r="J7" s="252"/>
      <c r="K7" s="165"/>
      <c r="L7" s="253" t="s">
        <v>332</v>
      </c>
      <c r="M7" s="254"/>
      <c r="N7" s="254"/>
      <c r="O7" s="254"/>
      <c r="P7" s="254"/>
    </row>
    <row r="8" spans="1:16">
      <c r="B8" s="168" t="s">
        <v>333</v>
      </c>
      <c r="C8" s="168" t="s">
        <v>334</v>
      </c>
      <c r="D8" s="168" t="s">
        <v>335</v>
      </c>
      <c r="E8" s="168" t="s">
        <v>336</v>
      </c>
      <c r="F8" s="168" t="s">
        <v>337</v>
      </c>
      <c r="G8" s="167"/>
      <c r="H8" s="168" t="s">
        <v>338</v>
      </c>
      <c r="I8" s="168" t="s">
        <v>339</v>
      </c>
      <c r="J8" s="168" t="s">
        <v>340</v>
      </c>
      <c r="K8" s="169"/>
      <c r="L8" s="170" t="s">
        <v>341</v>
      </c>
      <c r="M8" s="170" t="s">
        <v>342</v>
      </c>
      <c r="N8" s="170" t="s">
        <v>343</v>
      </c>
      <c r="O8" s="170" t="s">
        <v>344</v>
      </c>
      <c r="P8" s="170" t="s">
        <v>345</v>
      </c>
    </row>
    <row r="9" spans="1:16" ht="287.25" customHeight="1">
      <c r="A9" s="159">
        <f>+A7+1</f>
        <v>3</v>
      </c>
      <c r="B9" s="171" t="s">
        <v>346</v>
      </c>
      <c r="C9" s="171" t="s">
        <v>347</v>
      </c>
      <c r="D9" s="171" t="s">
        <v>348</v>
      </c>
      <c r="E9" s="171" t="s">
        <v>349</v>
      </c>
      <c r="F9" s="171" t="s">
        <v>350</v>
      </c>
      <c r="G9" s="172"/>
      <c r="H9" s="171" t="s">
        <v>351</v>
      </c>
      <c r="I9" s="171" t="s">
        <v>352</v>
      </c>
      <c r="J9" s="171" t="s">
        <v>353</v>
      </c>
      <c r="K9" s="172"/>
      <c r="L9" s="173" t="s">
        <v>354</v>
      </c>
      <c r="M9" s="173" t="s">
        <v>355</v>
      </c>
      <c r="N9" s="173" t="s">
        <v>356</v>
      </c>
      <c r="O9" s="173" t="s">
        <v>357</v>
      </c>
      <c r="P9" s="173" t="s">
        <v>358</v>
      </c>
    </row>
    <row r="10" spans="1:16">
      <c r="A10" s="159">
        <f t="shared" ref="A10:A73" si="0">+A9+1</f>
        <v>4</v>
      </c>
      <c r="C10" s="172"/>
      <c r="D10" s="172"/>
      <c r="E10" s="172"/>
      <c r="F10" s="172"/>
      <c r="G10" s="172"/>
      <c r="H10" s="172"/>
      <c r="I10" s="172"/>
      <c r="J10" s="172"/>
      <c r="K10" s="172"/>
    </row>
    <row r="11" spans="1:16">
      <c r="A11" s="159">
        <f t="shared" si="0"/>
        <v>5</v>
      </c>
      <c r="B11" s="174" t="s">
        <v>359</v>
      </c>
      <c r="C11" s="175"/>
      <c r="D11" s="176"/>
      <c r="E11" s="176"/>
      <c r="F11" s="176"/>
      <c r="G11" s="176"/>
      <c r="H11" s="177"/>
      <c r="I11" s="177"/>
      <c r="J11" s="178">
        <v>0</v>
      </c>
      <c r="K11" s="176"/>
      <c r="L11" s="174" t="s">
        <v>359</v>
      </c>
      <c r="M11" s="179"/>
      <c r="N11" s="179"/>
      <c r="O11" s="179"/>
      <c r="P11" s="180"/>
    </row>
    <row r="12" spans="1:16">
      <c r="A12" s="159">
        <f t="shared" si="0"/>
        <v>6</v>
      </c>
      <c r="B12" s="175" t="s">
        <v>195</v>
      </c>
      <c r="C12" s="181">
        <v>31</v>
      </c>
      <c r="D12" s="182">
        <f t="shared" ref="D12:D20" si="1">D13+C13</f>
        <v>335</v>
      </c>
      <c r="E12" s="176">
        <f>SUM(C12:C23)</f>
        <v>365</v>
      </c>
      <c r="F12" s="183">
        <f>D12/E12</f>
        <v>0.9178082191780822</v>
      </c>
      <c r="G12" s="176"/>
      <c r="H12" s="178">
        <v>0</v>
      </c>
      <c r="I12" s="177">
        <f>+H12*F12</f>
        <v>0</v>
      </c>
      <c r="J12" s="177">
        <f t="shared" ref="J12:J23" si="2">+I12+J11</f>
        <v>0</v>
      </c>
      <c r="K12" s="176"/>
      <c r="L12" s="180"/>
      <c r="M12" s="179">
        <f>L12-H12</f>
        <v>0</v>
      </c>
      <c r="N12" s="179">
        <f>IF(AND(H12&gt;=0,L12&gt;=0),IF(M12&gt;=0,I12+M12,L12/H12*I12),IF(AND(H12&lt;0,L12&lt;0),IF(M12&lt;0,I12+M12,L12/H12*I12),0))</f>
        <v>0</v>
      </c>
      <c r="O12" s="179">
        <f>IF(AND(H12&gt;=0,L12&lt;0),L12,IF(AND(H12&lt;0,L12&gt;=0),L12,0))</f>
        <v>0</v>
      </c>
      <c r="P12" s="179">
        <f t="shared" ref="P12:P23" si="3">P11+N12+O12</f>
        <v>0</v>
      </c>
    </row>
    <row r="13" spans="1:16">
      <c r="A13" s="159">
        <f t="shared" si="0"/>
        <v>7</v>
      </c>
      <c r="B13" s="175" t="s">
        <v>4</v>
      </c>
      <c r="C13" s="178">
        <v>28</v>
      </c>
      <c r="D13" s="182">
        <f t="shared" si="1"/>
        <v>307</v>
      </c>
      <c r="E13" s="176">
        <f>E12</f>
        <v>365</v>
      </c>
      <c r="F13" s="183">
        <f t="shared" ref="F13:F23" si="4">D13/E13</f>
        <v>0.84109589041095889</v>
      </c>
      <c r="G13" s="176"/>
      <c r="H13" s="181">
        <f>H12</f>
        <v>0</v>
      </c>
      <c r="I13" s="177">
        <f t="shared" ref="I13:I23" si="5">+H13*F13</f>
        <v>0</v>
      </c>
      <c r="J13" s="177">
        <f t="shared" si="2"/>
        <v>0</v>
      </c>
      <c r="K13" s="176"/>
      <c r="L13" s="180"/>
      <c r="M13" s="179">
        <f>L13-H13</f>
        <v>0</v>
      </c>
      <c r="N13" s="179">
        <f t="shared" ref="N13:N23" si="6">IF(AND(H13&gt;=0,L13&gt;=0),IF(M13&gt;=0,I13+M13,L13/H13*I13),IF(AND(H13&lt;0,L13&lt;0),IF(M13&lt;0,I13+M13,L13/H13*I13),0))</f>
        <v>0</v>
      </c>
      <c r="O13" s="179">
        <f t="shared" ref="O13:O23" si="7">IF(AND(H13&gt;=0,L13&lt;0),L13,IF(AND(H13&lt;0,L13&gt;=0),L13,0))</f>
        <v>0</v>
      </c>
      <c r="P13" s="179">
        <f t="shared" si="3"/>
        <v>0</v>
      </c>
    </row>
    <row r="14" spans="1:16">
      <c r="A14" s="159">
        <f t="shared" si="0"/>
        <v>8</v>
      </c>
      <c r="B14" s="175" t="s">
        <v>5</v>
      </c>
      <c r="C14" s="181">
        <v>31</v>
      </c>
      <c r="D14" s="182">
        <f t="shared" si="1"/>
        <v>276</v>
      </c>
      <c r="E14" s="176">
        <f>E13</f>
        <v>365</v>
      </c>
      <c r="F14" s="183">
        <f t="shared" si="4"/>
        <v>0.75616438356164384</v>
      </c>
      <c r="G14" s="176"/>
      <c r="H14" s="181">
        <f t="shared" ref="H14:H23" si="8">H13</f>
        <v>0</v>
      </c>
      <c r="I14" s="177">
        <f t="shared" si="5"/>
        <v>0</v>
      </c>
      <c r="J14" s="177">
        <f t="shared" si="2"/>
        <v>0</v>
      </c>
      <c r="K14" s="176"/>
      <c r="L14" s="180"/>
      <c r="M14" s="179">
        <f>L14-H14</f>
        <v>0</v>
      </c>
      <c r="N14" s="179">
        <f t="shared" si="6"/>
        <v>0</v>
      </c>
      <c r="O14" s="179">
        <f t="shared" si="7"/>
        <v>0</v>
      </c>
      <c r="P14" s="179">
        <f t="shared" si="3"/>
        <v>0</v>
      </c>
    </row>
    <row r="15" spans="1:16">
      <c r="A15" s="159">
        <f t="shared" si="0"/>
        <v>9</v>
      </c>
      <c r="B15" s="175" t="s">
        <v>6</v>
      </c>
      <c r="C15" s="181">
        <v>30</v>
      </c>
      <c r="D15" s="182">
        <f t="shared" si="1"/>
        <v>246</v>
      </c>
      <c r="E15" s="176">
        <f t="shared" ref="E15:E23" si="9">E14</f>
        <v>365</v>
      </c>
      <c r="F15" s="183">
        <f t="shared" si="4"/>
        <v>0.67397260273972603</v>
      </c>
      <c r="G15" s="176"/>
      <c r="H15" s="181">
        <f t="shared" si="8"/>
        <v>0</v>
      </c>
      <c r="I15" s="177">
        <f t="shared" si="5"/>
        <v>0</v>
      </c>
      <c r="J15" s="177">
        <f t="shared" si="2"/>
        <v>0</v>
      </c>
      <c r="K15" s="176"/>
      <c r="L15" s="180"/>
      <c r="M15" s="179">
        <f t="shared" ref="M15:M23" si="10">L15-H15</f>
        <v>0</v>
      </c>
      <c r="N15" s="179">
        <f t="shared" si="6"/>
        <v>0</v>
      </c>
      <c r="O15" s="179">
        <f t="shared" si="7"/>
        <v>0</v>
      </c>
      <c r="P15" s="179">
        <f t="shared" si="3"/>
        <v>0</v>
      </c>
    </row>
    <row r="16" spans="1:16">
      <c r="A16" s="159">
        <f t="shared" si="0"/>
        <v>10</v>
      </c>
      <c r="B16" s="175" t="s">
        <v>7</v>
      </c>
      <c r="C16" s="181">
        <v>31</v>
      </c>
      <c r="D16" s="182">
        <f t="shared" si="1"/>
        <v>215</v>
      </c>
      <c r="E16" s="176">
        <f t="shared" si="9"/>
        <v>365</v>
      </c>
      <c r="F16" s="183">
        <f t="shared" si="4"/>
        <v>0.58904109589041098</v>
      </c>
      <c r="G16" s="176"/>
      <c r="H16" s="181">
        <f t="shared" si="8"/>
        <v>0</v>
      </c>
      <c r="I16" s="177">
        <f t="shared" si="5"/>
        <v>0</v>
      </c>
      <c r="J16" s="177">
        <f t="shared" si="2"/>
        <v>0</v>
      </c>
      <c r="K16" s="176"/>
      <c r="L16" s="180"/>
      <c r="M16" s="179">
        <f t="shared" si="10"/>
        <v>0</v>
      </c>
      <c r="N16" s="179">
        <f>IF(AND(H16&gt;=0,L16&gt;=0),IF(M16&gt;=0,I16+M16,L16/H16*I16),IF(AND(H16&lt;0,L16&lt;0),IF(M16&lt;0,I16+M16,L16/H16*I16),0))</f>
        <v>0</v>
      </c>
      <c r="O16" s="179">
        <f t="shared" si="7"/>
        <v>0</v>
      </c>
      <c r="P16" s="179">
        <f t="shared" si="3"/>
        <v>0</v>
      </c>
    </row>
    <row r="17" spans="1:16">
      <c r="A17" s="159">
        <f t="shared" si="0"/>
        <v>11</v>
      </c>
      <c r="B17" s="175" t="s">
        <v>8</v>
      </c>
      <c r="C17" s="181">
        <v>30</v>
      </c>
      <c r="D17" s="182">
        <f t="shared" si="1"/>
        <v>185</v>
      </c>
      <c r="E17" s="176">
        <f t="shared" si="9"/>
        <v>365</v>
      </c>
      <c r="F17" s="183">
        <f t="shared" si="4"/>
        <v>0.50684931506849318</v>
      </c>
      <c r="G17" s="176"/>
      <c r="H17" s="181">
        <f t="shared" si="8"/>
        <v>0</v>
      </c>
      <c r="I17" s="177">
        <f t="shared" si="5"/>
        <v>0</v>
      </c>
      <c r="J17" s="177">
        <f t="shared" si="2"/>
        <v>0</v>
      </c>
      <c r="K17" s="176"/>
      <c r="L17" s="180"/>
      <c r="M17" s="179">
        <f t="shared" si="10"/>
        <v>0</v>
      </c>
      <c r="N17" s="179">
        <f t="shared" si="6"/>
        <v>0</v>
      </c>
      <c r="O17" s="179">
        <f t="shared" si="7"/>
        <v>0</v>
      </c>
      <c r="P17" s="179">
        <f t="shared" si="3"/>
        <v>0</v>
      </c>
    </row>
    <row r="18" spans="1:16">
      <c r="A18" s="159">
        <f t="shared" si="0"/>
        <v>12</v>
      </c>
      <c r="B18" s="175" t="s">
        <v>9</v>
      </c>
      <c r="C18" s="181">
        <v>31</v>
      </c>
      <c r="D18" s="182">
        <f t="shared" si="1"/>
        <v>154</v>
      </c>
      <c r="E18" s="176">
        <f t="shared" si="9"/>
        <v>365</v>
      </c>
      <c r="F18" s="183">
        <f t="shared" si="4"/>
        <v>0.42191780821917807</v>
      </c>
      <c r="G18" s="176"/>
      <c r="H18" s="181">
        <f t="shared" si="8"/>
        <v>0</v>
      </c>
      <c r="I18" s="177">
        <f t="shared" si="5"/>
        <v>0</v>
      </c>
      <c r="J18" s="177">
        <f t="shared" si="2"/>
        <v>0</v>
      </c>
      <c r="K18" s="176"/>
      <c r="L18" s="180"/>
      <c r="M18" s="179">
        <f t="shared" si="10"/>
        <v>0</v>
      </c>
      <c r="N18" s="179">
        <f t="shared" si="6"/>
        <v>0</v>
      </c>
      <c r="O18" s="179">
        <f t="shared" si="7"/>
        <v>0</v>
      </c>
      <c r="P18" s="179">
        <f t="shared" si="3"/>
        <v>0</v>
      </c>
    </row>
    <row r="19" spans="1:16">
      <c r="A19" s="159">
        <f t="shared" si="0"/>
        <v>13</v>
      </c>
      <c r="B19" s="175" t="s">
        <v>10</v>
      </c>
      <c r="C19" s="181">
        <v>31</v>
      </c>
      <c r="D19" s="182">
        <f t="shared" si="1"/>
        <v>123</v>
      </c>
      <c r="E19" s="176">
        <f t="shared" si="9"/>
        <v>365</v>
      </c>
      <c r="F19" s="183">
        <f t="shared" si="4"/>
        <v>0.33698630136986302</v>
      </c>
      <c r="G19" s="176"/>
      <c r="H19" s="181">
        <f t="shared" si="8"/>
        <v>0</v>
      </c>
      <c r="I19" s="177">
        <f t="shared" si="5"/>
        <v>0</v>
      </c>
      <c r="J19" s="177">
        <f t="shared" si="2"/>
        <v>0</v>
      </c>
      <c r="K19" s="176"/>
      <c r="L19" s="180"/>
      <c r="M19" s="179">
        <f t="shared" si="10"/>
        <v>0</v>
      </c>
      <c r="N19" s="179">
        <f t="shared" si="6"/>
        <v>0</v>
      </c>
      <c r="O19" s="179">
        <f t="shared" si="7"/>
        <v>0</v>
      </c>
      <c r="P19" s="179">
        <f t="shared" si="3"/>
        <v>0</v>
      </c>
    </row>
    <row r="20" spans="1:16">
      <c r="A20" s="159">
        <f t="shared" si="0"/>
        <v>14</v>
      </c>
      <c r="B20" s="175" t="s">
        <v>11</v>
      </c>
      <c r="C20" s="181">
        <v>30</v>
      </c>
      <c r="D20" s="182">
        <f t="shared" si="1"/>
        <v>93</v>
      </c>
      <c r="E20" s="176">
        <f t="shared" si="9"/>
        <v>365</v>
      </c>
      <c r="F20" s="183">
        <f t="shared" si="4"/>
        <v>0.25479452054794521</v>
      </c>
      <c r="G20" s="176"/>
      <c r="H20" s="181">
        <f t="shared" si="8"/>
        <v>0</v>
      </c>
      <c r="I20" s="177">
        <f t="shared" si="5"/>
        <v>0</v>
      </c>
      <c r="J20" s="177">
        <f t="shared" si="2"/>
        <v>0</v>
      </c>
      <c r="K20" s="176"/>
      <c r="L20" s="180"/>
      <c r="M20" s="179">
        <f t="shared" si="10"/>
        <v>0</v>
      </c>
      <c r="N20" s="179">
        <f t="shared" si="6"/>
        <v>0</v>
      </c>
      <c r="O20" s="179">
        <f t="shared" si="7"/>
        <v>0</v>
      </c>
      <c r="P20" s="179">
        <f t="shared" si="3"/>
        <v>0</v>
      </c>
    </row>
    <row r="21" spans="1:16">
      <c r="A21" s="159">
        <f t="shared" si="0"/>
        <v>15</v>
      </c>
      <c r="B21" s="175" t="s">
        <v>12</v>
      </c>
      <c r="C21" s="181">
        <v>31</v>
      </c>
      <c r="D21" s="182">
        <f>D22+C22</f>
        <v>62</v>
      </c>
      <c r="E21" s="176">
        <f t="shared" si="9"/>
        <v>365</v>
      </c>
      <c r="F21" s="183">
        <f t="shared" si="4"/>
        <v>0.16986301369863013</v>
      </c>
      <c r="G21" s="176"/>
      <c r="H21" s="181">
        <f t="shared" si="8"/>
        <v>0</v>
      </c>
      <c r="I21" s="177">
        <f t="shared" si="5"/>
        <v>0</v>
      </c>
      <c r="J21" s="177">
        <f t="shared" si="2"/>
        <v>0</v>
      </c>
      <c r="K21" s="176"/>
      <c r="L21" s="180"/>
      <c r="M21" s="179">
        <f t="shared" si="10"/>
        <v>0</v>
      </c>
      <c r="N21" s="179">
        <f t="shared" si="6"/>
        <v>0</v>
      </c>
      <c r="O21" s="179">
        <f t="shared" si="7"/>
        <v>0</v>
      </c>
      <c r="P21" s="179">
        <f t="shared" si="3"/>
        <v>0</v>
      </c>
    </row>
    <row r="22" spans="1:16">
      <c r="A22" s="159">
        <f t="shared" si="0"/>
        <v>16</v>
      </c>
      <c r="B22" s="175" t="s">
        <v>13</v>
      </c>
      <c r="C22" s="181">
        <v>30</v>
      </c>
      <c r="D22" s="182">
        <f>D23+C23</f>
        <v>32</v>
      </c>
      <c r="E22" s="176">
        <f t="shared" si="9"/>
        <v>365</v>
      </c>
      <c r="F22" s="183">
        <f t="shared" si="4"/>
        <v>8.7671232876712329E-2</v>
      </c>
      <c r="G22" s="176"/>
      <c r="H22" s="181">
        <f t="shared" si="8"/>
        <v>0</v>
      </c>
      <c r="I22" s="177">
        <f t="shared" si="5"/>
        <v>0</v>
      </c>
      <c r="J22" s="177">
        <f t="shared" si="2"/>
        <v>0</v>
      </c>
      <c r="K22" s="176"/>
      <c r="L22" s="180"/>
      <c r="M22" s="179">
        <f t="shared" si="10"/>
        <v>0</v>
      </c>
      <c r="N22" s="179">
        <f t="shared" si="6"/>
        <v>0</v>
      </c>
      <c r="O22" s="179">
        <f t="shared" si="7"/>
        <v>0</v>
      </c>
      <c r="P22" s="179">
        <f t="shared" si="3"/>
        <v>0</v>
      </c>
    </row>
    <row r="23" spans="1:16">
      <c r="A23" s="159">
        <f t="shared" si="0"/>
        <v>17</v>
      </c>
      <c r="B23" s="175" t="s">
        <v>14</v>
      </c>
      <c r="C23" s="181">
        <v>31</v>
      </c>
      <c r="D23" s="182">
        <v>1</v>
      </c>
      <c r="E23" s="176">
        <f t="shared" si="9"/>
        <v>365</v>
      </c>
      <c r="F23" s="183">
        <f t="shared" si="4"/>
        <v>2.7397260273972603E-3</v>
      </c>
      <c r="G23" s="176"/>
      <c r="H23" s="181">
        <f t="shared" si="8"/>
        <v>0</v>
      </c>
      <c r="I23" s="177">
        <f t="shared" si="5"/>
        <v>0</v>
      </c>
      <c r="J23" s="177">
        <f t="shared" si="2"/>
        <v>0</v>
      </c>
      <c r="K23" s="176"/>
      <c r="L23" s="180"/>
      <c r="M23" s="179">
        <f t="shared" si="10"/>
        <v>0</v>
      </c>
      <c r="N23" s="179">
        <f t="shared" si="6"/>
        <v>0</v>
      </c>
      <c r="O23" s="179">
        <f t="shared" si="7"/>
        <v>0</v>
      </c>
      <c r="P23" s="179">
        <f t="shared" si="3"/>
        <v>0</v>
      </c>
    </row>
    <row r="24" spans="1:16">
      <c r="A24" s="159">
        <f t="shared" si="0"/>
        <v>18</v>
      </c>
      <c r="B24" s="184" t="s">
        <v>22</v>
      </c>
      <c r="C24" s="185">
        <f>SUM(C12:C23)</f>
        <v>365</v>
      </c>
      <c r="D24" s="184"/>
      <c r="E24" s="184"/>
      <c r="F24" s="186"/>
      <c r="G24" s="176"/>
      <c r="H24" s="187">
        <f>SUM(H12:H23)</f>
        <v>0</v>
      </c>
      <c r="I24" s="187">
        <f>SUM(I12:I23)</f>
        <v>0</v>
      </c>
      <c r="J24" s="186"/>
      <c r="K24" s="188"/>
      <c r="L24" s="189">
        <f>SUM(L12:L23)</f>
        <v>0</v>
      </c>
      <c r="M24" s="189">
        <f>SUM(M12:M23)</f>
        <v>0</v>
      </c>
      <c r="N24" s="189">
        <f t="shared" ref="N24:O24" si="11">SUM(N12:N23)</f>
        <v>0</v>
      </c>
      <c r="O24" s="189">
        <f t="shared" si="11"/>
        <v>0</v>
      </c>
      <c r="P24" s="189"/>
    </row>
    <row r="25" spans="1:16">
      <c r="B25" s="190"/>
      <c r="C25" s="190"/>
      <c r="D25" s="190"/>
      <c r="E25" s="190"/>
      <c r="F25" s="188"/>
      <c r="G25" s="188"/>
      <c r="H25" s="191"/>
      <c r="I25" s="192"/>
      <c r="J25" s="188"/>
      <c r="K25" s="188"/>
    </row>
    <row r="26" spans="1:16">
      <c r="A26" s="159">
        <f>+A24+1</f>
        <v>19</v>
      </c>
      <c r="B26" s="159" t="s">
        <v>258</v>
      </c>
      <c r="F26" s="159" t="s">
        <v>198</v>
      </c>
      <c r="G26" s="188"/>
      <c r="I26" s="188"/>
      <c r="J26" s="181">
        <v>16088361.133675283</v>
      </c>
      <c r="L26" s="159" t="s">
        <v>258</v>
      </c>
      <c r="N26" s="159" t="s">
        <v>198</v>
      </c>
      <c r="P26" s="180"/>
    </row>
    <row r="27" spans="1:16">
      <c r="A27" s="159">
        <f>+A26+1</f>
        <v>20</v>
      </c>
      <c r="B27" s="159" t="s">
        <v>360</v>
      </c>
      <c r="F27" s="159" t="s">
        <v>361</v>
      </c>
      <c r="G27" s="188"/>
      <c r="I27" s="188"/>
      <c r="J27" s="181">
        <f>J26-J28</f>
        <v>16088361.133675283</v>
      </c>
      <c r="L27" s="159" t="str">
        <f>B27</f>
        <v>Less non Prorated (non-Property-related) Items</v>
      </c>
      <c r="N27" s="159" t="s">
        <v>361</v>
      </c>
      <c r="P27" s="180"/>
    </row>
    <row r="28" spans="1:16">
      <c r="A28" s="159">
        <f t="shared" ref="A28:A34" si="12">+A27+1</f>
        <v>21</v>
      </c>
      <c r="B28" s="159" t="s">
        <v>362</v>
      </c>
      <c r="F28" s="159" t="s">
        <v>363</v>
      </c>
      <c r="G28" s="188"/>
      <c r="I28" s="188"/>
      <c r="J28" s="177">
        <f>J11</f>
        <v>0</v>
      </c>
      <c r="K28" s="177"/>
      <c r="L28" s="159" t="s">
        <v>362</v>
      </c>
      <c r="M28" s="177"/>
      <c r="N28" s="159" t="s">
        <v>364</v>
      </c>
      <c r="O28" s="177"/>
      <c r="P28" s="177">
        <f>P11</f>
        <v>0</v>
      </c>
    </row>
    <row r="29" spans="1:16">
      <c r="A29" s="159">
        <f t="shared" si="12"/>
        <v>22</v>
      </c>
      <c r="B29" s="159" t="s">
        <v>259</v>
      </c>
      <c r="F29" s="159" t="s">
        <v>199</v>
      </c>
      <c r="G29" s="188"/>
      <c r="I29" s="188"/>
      <c r="J29" s="181">
        <v>16139873.453675283</v>
      </c>
      <c r="L29" s="159" t="s">
        <v>259</v>
      </c>
      <c r="N29" s="159" t="s">
        <v>199</v>
      </c>
      <c r="P29" s="180"/>
    </row>
    <row r="30" spans="1:16">
      <c r="A30" s="159">
        <f t="shared" si="12"/>
        <v>23</v>
      </c>
      <c r="B30" s="159" t="str">
        <f>+B27</f>
        <v>Less non Prorated (non-Property-related) Items</v>
      </c>
      <c r="F30" s="159" t="s">
        <v>365</v>
      </c>
      <c r="G30" s="188"/>
      <c r="I30" s="188"/>
      <c r="J30" s="177">
        <f>+J29-J31</f>
        <v>16139873.453675283</v>
      </c>
      <c r="L30" s="159" t="str">
        <f>+L27</f>
        <v>Less non Prorated (non-Property-related) Items</v>
      </c>
      <c r="N30" s="159" t="s">
        <v>365</v>
      </c>
      <c r="P30" s="179">
        <f>+P29-P31</f>
        <v>0</v>
      </c>
    </row>
    <row r="31" spans="1:16">
      <c r="A31" s="159">
        <f t="shared" si="12"/>
        <v>24</v>
      </c>
      <c r="B31" s="159" t="s">
        <v>366</v>
      </c>
      <c r="F31" s="159" t="s">
        <v>367</v>
      </c>
      <c r="G31" s="188"/>
      <c r="I31" s="188"/>
      <c r="J31" s="177">
        <f>+J23</f>
        <v>0</v>
      </c>
      <c r="L31" s="159" t="s">
        <v>366</v>
      </c>
      <c r="N31" s="159" t="s">
        <v>368</v>
      </c>
      <c r="P31" s="179">
        <f>+P23</f>
        <v>0</v>
      </c>
    </row>
    <row r="32" spans="1:16">
      <c r="A32" s="159">
        <f t="shared" si="12"/>
        <v>25</v>
      </c>
      <c r="B32" s="159" t="s">
        <v>200</v>
      </c>
      <c r="F32" s="159" t="s">
        <v>369</v>
      </c>
      <c r="G32" s="188"/>
      <c r="I32" s="172"/>
      <c r="J32" s="187">
        <f>(J28+J31)/2+(J27+J30)/2</f>
        <v>16114117.293675283</v>
      </c>
      <c r="L32" s="159" t="s">
        <v>200</v>
      </c>
      <c r="N32" s="159" t="s">
        <v>369</v>
      </c>
      <c r="P32" s="193">
        <f>(P28+P31)/2+(P27+P30)/2</f>
        <v>0</v>
      </c>
    </row>
    <row r="33" spans="1:16">
      <c r="A33" s="159">
        <f t="shared" si="12"/>
        <v>26</v>
      </c>
      <c r="B33" s="159" t="s">
        <v>370</v>
      </c>
      <c r="F33" s="159" t="s">
        <v>371</v>
      </c>
      <c r="G33" s="188"/>
      <c r="I33" s="172"/>
      <c r="J33" s="181">
        <v>0</v>
      </c>
      <c r="L33" s="159" t="s">
        <v>370</v>
      </c>
      <c r="N33" s="159" t="s">
        <v>371</v>
      </c>
      <c r="P33" s="180"/>
    </row>
    <row r="34" spans="1:16">
      <c r="A34" s="159">
        <f t="shared" si="12"/>
        <v>27</v>
      </c>
      <c r="B34" s="159" t="s">
        <v>372</v>
      </c>
      <c r="F34" s="159" t="s">
        <v>373</v>
      </c>
      <c r="J34" s="194">
        <f>+J32-J33</f>
        <v>16114117.293675283</v>
      </c>
      <c r="L34" s="159" t="s">
        <v>372</v>
      </c>
      <c r="N34" s="159" t="s">
        <v>373</v>
      </c>
      <c r="P34" s="195">
        <f>+P32-P33</f>
        <v>0</v>
      </c>
    </row>
    <row r="36" spans="1:16">
      <c r="A36" s="159">
        <f>+A34+1</f>
        <v>28</v>
      </c>
      <c r="B36" s="164" t="s">
        <v>201</v>
      </c>
      <c r="L36" s="164" t="s">
        <v>201</v>
      </c>
    </row>
    <row r="37" spans="1:16">
      <c r="A37" s="159">
        <f t="shared" si="0"/>
        <v>29</v>
      </c>
      <c r="B37" s="247" t="s">
        <v>330</v>
      </c>
      <c r="C37" s="248"/>
      <c r="D37" s="248"/>
      <c r="E37" s="248"/>
      <c r="F37" s="249"/>
      <c r="G37" s="167"/>
      <c r="H37" s="250" t="s">
        <v>331</v>
      </c>
      <c r="I37" s="251"/>
      <c r="J37" s="252"/>
      <c r="K37" s="165"/>
      <c r="L37" s="253" t="s">
        <v>332</v>
      </c>
      <c r="M37" s="254"/>
      <c r="N37" s="254"/>
      <c r="O37" s="254"/>
      <c r="P37" s="254"/>
    </row>
    <row r="38" spans="1:16">
      <c r="B38" s="168" t="s">
        <v>333</v>
      </c>
      <c r="C38" s="168" t="s">
        <v>334</v>
      </c>
      <c r="D38" s="168" t="s">
        <v>335</v>
      </c>
      <c r="E38" s="168" t="s">
        <v>336</v>
      </c>
      <c r="F38" s="168" t="s">
        <v>337</v>
      </c>
      <c r="G38" s="167"/>
      <c r="H38" s="168" t="s">
        <v>338</v>
      </c>
      <c r="I38" s="168" t="s">
        <v>339</v>
      </c>
      <c r="J38" s="168" t="s">
        <v>340</v>
      </c>
      <c r="K38" s="169"/>
      <c r="L38" s="170" t="s">
        <v>341</v>
      </c>
      <c r="M38" s="170" t="s">
        <v>342</v>
      </c>
      <c r="N38" s="170" t="s">
        <v>343</v>
      </c>
      <c r="O38" s="170" t="s">
        <v>344</v>
      </c>
      <c r="P38" s="170" t="s">
        <v>345</v>
      </c>
    </row>
    <row r="39" spans="1:16" ht="316.5" customHeight="1">
      <c r="A39" s="159">
        <f>+A37+1</f>
        <v>30</v>
      </c>
      <c r="B39" s="171" t="s">
        <v>346</v>
      </c>
      <c r="C39" s="171" t="s">
        <v>347</v>
      </c>
      <c r="D39" s="171" t="s">
        <v>348</v>
      </c>
      <c r="E39" s="171" t="s">
        <v>374</v>
      </c>
      <c r="F39" s="171" t="s">
        <v>375</v>
      </c>
      <c r="G39" s="172"/>
      <c r="H39" s="171" t="s">
        <v>351</v>
      </c>
      <c r="I39" s="171" t="s">
        <v>376</v>
      </c>
      <c r="J39" s="171" t="s">
        <v>377</v>
      </c>
      <c r="K39" s="172"/>
      <c r="L39" s="173" t="s">
        <v>354</v>
      </c>
      <c r="M39" s="173" t="s">
        <v>378</v>
      </c>
      <c r="N39" s="173" t="s">
        <v>356</v>
      </c>
      <c r="O39" s="173" t="s">
        <v>357</v>
      </c>
      <c r="P39" s="173" t="s">
        <v>379</v>
      </c>
    </row>
    <row r="40" spans="1:16">
      <c r="A40" s="159">
        <f t="shared" si="0"/>
        <v>31</v>
      </c>
      <c r="C40" s="172"/>
      <c r="D40" s="172"/>
      <c r="E40" s="172"/>
      <c r="F40" s="172"/>
      <c r="G40" s="172"/>
      <c r="H40" s="172"/>
      <c r="I40" s="172"/>
      <c r="J40" s="172"/>
      <c r="K40" s="172"/>
      <c r="L40" s="166"/>
      <c r="M40" s="166"/>
      <c r="N40" s="166"/>
      <c r="O40" s="166"/>
      <c r="P40" s="166"/>
    </row>
    <row r="41" spans="1:16">
      <c r="A41" s="159">
        <f t="shared" si="0"/>
        <v>32</v>
      </c>
      <c r="B41" s="174" t="s">
        <v>380</v>
      </c>
      <c r="C41" s="175"/>
      <c r="D41" s="176"/>
      <c r="E41" s="176"/>
      <c r="F41" s="176"/>
      <c r="G41" s="176"/>
      <c r="H41" s="177"/>
      <c r="I41" s="177"/>
      <c r="J41" s="178">
        <v>-242274171.64999998</v>
      </c>
      <c r="K41" s="176"/>
      <c r="L41" s="174" t="s">
        <v>380</v>
      </c>
      <c r="M41" s="179"/>
      <c r="N41" s="179"/>
      <c r="O41" s="179"/>
      <c r="P41" s="180"/>
    </row>
    <row r="42" spans="1:16">
      <c r="A42" s="159">
        <f t="shared" si="0"/>
        <v>33</v>
      </c>
      <c r="B42" s="175" t="s">
        <v>195</v>
      </c>
      <c r="C42" s="181">
        <v>31</v>
      </c>
      <c r="D42" s="182">
        <f t="shared" ref="D42:D50" si="13">D43+C43</f>
        <v>335</v>
      </c>
      <c r="E42" s="176">
        <f>SUM(C42:C53)</f>
        <v>365</v>
      </c>
      <c r="F42" s="183">
        <f>D42/E42</f>
        <v>0.9178082191780822</v>
      </c>
      <c r="G42" s="176"/>
      <c r="H42" s="178">
        <v>-1377958</v>
      </c>
      <c r="I42" s="177">
        <f>+H42*F42</f>
        <v>-1264701.1780821919</v>
      </c>
      <c r="J42" s="177">
        <f t="shared" ref="J42:J53" si="14">+I42+J41</f>
        <v>-243538872.82808217</v>
      </c>
      <c r="K42" s="196"/>
      <c r="L42" s="180"/>
      <c r="M42" s="179">
        <f>L42-H42</f>
        <v>1377958</v>
      </c>
      <c r="N42" s="179">
        <f>IF(AND(H42&gt;=0,L42&gt;=0),IF(M42&gt;=0,I42+M42,L42/H42*I42),IF(AND(H42&lt;0,L42&lt;0),IF(M42&lt;0,I42+M42,L42/H42*I42),0))</f>
        <v>0</v>
      </c>
      <c r="O42" s="179">
        <f>IF(AND(H42&gt;=0,L42&lt;0),L42,IF(AND(H42&lt;0,L42&gt;=0),L42,0))</f>
        <v>0</v>
      </c>
      <c r="P42" s="179">
        <f t="shared" ref="P42:P53" si="15">P41+N42+O42</f>
        <v>0</v>
      </c>
    </row>
    <row r="43" spans="1:16">
      <c r="A43" s="159">
        <f t="shared" si="0"/>
        <v>34</v>
      </c>
      <c r="B43" s="175" t="s">
        <v>4</v>
      </c>
      <c r="C43" s="178">
        <v>28</v>
      </c>
      <c r="D43" s="182">
        <f t="shared" si="13"/>
        <v>307</v>
      </c>
      <c r="E43" s="176">
        <f>E42</f>
        <v>365</v>
      </c>
      <c r="F43" s="183">
        <f t="shared" ref="F43:F53" si="16">D43/E43</f>
        <v>0.84109589041095889</v>
      </c>
      <c r="G43" s="176"/>
      <c r="H43" s="181">
        <f t="shared" ref="H43:H53" si="17">+H42</f>
        <v>-1377958</v>
      </c>
      <c r="I43" s="177">
        <f t="shared" ref="I43:I53" si="18">+H43*F43</f>
        <v>-1158994.810958904</v>
      </c>
      <c r="J43" s="177">
        <f t="shared" si="14"/>
        <v>-244697867.63904107</v>
      </c>
      <c r="K43" s="196"/>
      <c r="L43" s="180"/>
      <c r="M43" s="179">
        <f>L43-H43</f>
        <v>1377958</v>
      </c>
      <c r="N43" s="179">
        <f t="shared" ref="N43:N53" si="19">IF(AND(H43&gt;=0,L43&gt;=0),IF(M43&gt;=0,I43+M43,L43/H43*I43),IF(AND(H43&lt;0,L43&lt;0),IF(M43&lt;0,I43+M43,L43/H43*I43),0))</f>
        <v>0</v>
      </c>
      <c r="O43" s="179">
        <f t="shared" ref="O43:O53" si="20">IF(AND(H43&gt;=0,L43&lt;0),L43,IF(AND(H43&lt;0,L43&gt;=0),L43,0))</f>
        <v>0</v>
      </c>
      <c r="P43" s="179">
        <f t="shared" si="15"/>
        <v>0</v>
      </c>
    </row>
    <row r="44" spans="1:16">
      <c r="A44" s="159">
        <f t="shared" si="0"/>
        <v>35</v>
      </c>
      <c r="B44" s="175" t="s">
        <v>5</v>
      </c>
      <c r="C44" s="181">
        <v>31</v>
      </c>
      <c r="D44" s="182">
        <f t="shared" si="13"/>
        <v>276</v>
      </c>
      <c r="E44" s="176">
        <f t="shared" ref="E44:E53" si="21">E43</f>
        <v>365</v>
      </c>
      <c r="F44" s="183">
        <f t="shared" si="16"/>
        <v>0.75616438356164384</v>
      </c>
      <c r="G44" s="176"/>
      <c r="H44" s="181">
        <f t="shared" si="17"/>
        <v>-1377958</v>
      </c>
      <c r="I44" s="177">
        <f t="shared" si="18"/>
        <v>-1041962.7616438356</v>
      </c>
      <c r="J44" s="177">
        <f t="shared" si="14"/>
        <v>-245739830.40068489</v>
      </c>
      <c r="K44" s="176"/>
      <c r="L44" s="180"/>
      <c r="M44" s="179">
        <f t="shared" ref="M44:M53" si="22">L44-H44</f>
        <v>1377958</v>
      </c>
      <c r="N44" s="179">
        <f t="shared" si="19"/>
        <v>0</v>
      </c>
      <c r="O44" s="179">
        <f t="shared" si="20"/>
        <v>0</v>
      </c>
      <c r="P44" s="179">
        <f t="shared" si="15"/>
        <v>0</v>
      </c>
    </row>
    <row r="45" spans="1:16">
      <c r="A45" s="159">
        <f t="shared" si="0"/>
        <v>36</v>
      </c>
      <c r="B45" s="175" t="s">
        <v>6</v>
      </c>
      <c r="C45" s="181">
        <v>30</v>
      </c>
      <c r="D45" s="182">
        <f t="shared" si="13"/>
        <v>246</v>
      </c>
      <c r="E45" s="176">
        <f t="shared" si="21"/>
        <v>365</v>
      </c>
      <c r="F45" s="183">
        <f t="shared" si="16"/>
        <v>0.67397260273972603</v>
      </c>
      <c r="G45" s="176"/>
      <c r="H45" s="181">
        <f t="shared" si="17"/>
        <v>-1377958</v>
      </c>
      <c r="I45" s="177">
        <f t="shared" si="18"/>
        <v>-928705.93972602743</v>
      </c>
      <c r="J45" s="177">
        <f>+I45+J44</f>
        <v>-246668536.34041092</v>
      </c>
      <c r="K45" s="176"/>
      <c r="L45" s="180"/>
      <c r="M45" s="179">
        <f t="shared" si="22"/>
        <v>1377958</v>
      </c>
      <c r="N45" s="179">
        <f t="shared" si="19"/>
        <v>0</v>
      </c>
      <c r="O45" s="179">
        <f t="shared" si="20"/>
        <v>0</v>
      </c>
      <c r="P45" s="179">
        <f t="shared" si="15"/>
        <v>0</v>
      </c>
    </row>
    <row r="46" spans="1:16">
      <c r="A46" s="159">
        <f t="shared" si="0"/>
        <v>37</v>
      </c>
      <c r="B46" s="175" t="s">
        <v>7</v>
      </c>
      <c r="C46" s="181">
        <v>31</v>
      </c>
      <c r="D46" s="182">
        <f t="shared" si="13"/>
        <v>215</v>
      </c>
      <c r="E46" s="176">
        <f t="shared" si="21"/>
        <v>365</v>
      </c>
      <c r="F46" s="183">
        <f t="shared" si="16"/>
        <v>0.58904109589041098</v>
      </c>
      <c r="G46" s="176"/>
      <c r="H46" s="181">
        <f t="shared" si="17"/>
        <v>-1377958</v>
      </c>
      <c r="I46" s="177">
        <f t="shared" si="18"/>
        <v>-811673.89041095891</v>
      </c>
      <c r="J46" s="177">
        <f t="shared" si="14"/>
        <v>-247480210.23082188</v>
      </c>
      <c r="K46" s="176"/>
      <c r="L46" s="180"/>
      <c r="M46" s="179">
        <f t="shared" si="22"/>
        <v>1377958</v>
      </c>
      <c r="N46" s="179">
        <f t="shared" si="19"/>
        <v>0</v>
      </c>
      <c r="O46" s="179">
        <f t="shared" si="20"/>
        <v>0</v>
      </c>
      <c r="P46" s="179">
        <f t="shared" si="15"/>
        <v>0</v>
      </c>
    </row>
    <row r="47" spans="1:16">
      <c r="A47" s="159">
        <f t="shared" si="0"/>
        <v>38</v>
      </c>
      <c r="B47" s="175" t="s">
        <v>8</v>
      </c>
      <c r="C47" s="181">
        <v>30</v>
      </c>
      <c r="D47" s="182">
        <f t="shared" si="13"/>
        <v>185</v>
      </c>
      <c r="E47" s="176">
        <f t="shared" si="21"/>
        <v>365</v>
      </c>
      <c r="F47" s="183">
        <f t="shared" si="16"/>
        <v>0.50684931506849318</v>
      </c>
      <c r="G47" s="176"/>
      <c r="H47" s="181">
        <f t="shared" si="17"/>
        <v>-1377958</v>
      </c>
      <c r="I47" s="177">
        <f t="shared" si="18"/>
        <v>-698417.06849315076</v>
      </c>
      <c r="J47" s="177">
        <f t="shared" si="14"/>
        <v>-248178627.29931504</v>
      </c>
      <c r="K47" s="176"/>
      <c r="L47" s="180"/>
      <c r="M47" s="179">
        <f t="shared" si="22"/>
        <v>1377958</v>
      </c>
      <c r="N47" s="179">
        <f t="shared" si="19"/>
        <v>0</v>
      </c>
      <c r="O47" s="179">
        <f t="shared" si="20"/>
        <v>0</v>
      </c>
      <c r="P47" s="179">
        <f t="shared" si="15"/>
        <v>0</v>
      </c>
    </row>
    <row r="48" spans="1:16">
      <c r="A48" s="159">
        <f t="shared" si="0"/>
        <v>39</v>
      </c>
      <c r="B48" s="175" t="s">
        <v>9</v>
      </c>
      <c r="C48" s="181">
        <v>31</v>
      </c>
      <c r="D48" s="182">
        <f t="shared" si="13"/>
        <v>154</v>
      </c>
      <c r="E48" s="176">
        <f t="shared" si="21"/>
        <v>365</v>
      </c>
      <c r="F48" s="183">
        <f t="shared" si="16"/>
        <v>0.42191780821917807</v>
      </c>
      <c r="G48" s="176"/>
      <c r="H48" s="181">
        <f t="shared" si="17"/>
        <v>-1377958</v>
      </c>
      <c r="I48" s="177">
        <f t="shared" si="18"/>
        <v>-581385.01917808212</v>
      </c>
      <c r="J48" s="177">
        <f t="shared" si="14"/>
        <v>-248760012.31849313</v>
      </c>
      <c r="K48" s="176"/>
      <c r="L48" s="180"/>
      <c r="M48" s="179">
        <f t="shared" si="22"/>
        <v>1377958</v>
      </c>
      <c r="N48" s="179">
        <f t="shared" si="19"/>
        <v>0</v>
      </c>
      <c r="O48" s="179">
        <f t="shared" si="20"/>
        <v>0</v>
      </c>
      <c r="P48" s="179">
        <f t="shared" si="15"/>
        <v>0</v>
      </c>
    </row>
    <row r="49" spans="1:16">
      <c r="A49" s="159">
        <f t="shared" si="0"/>
        <v>40</v>
      </c>
      <c r="B49" s="175" t="s">
        <v>10</v>
      </c>
      <c r="C49" s="181">
        <v>31</v>
      </c>
      <c r="D49" s="182">
        <f t="shared" si="13"/>
        <v>123</v>
      </c>
      <c r="E49" s="176">
        <f t="shared" si="21"/>
        <v>365</v>
      </c>
      <c r="F49" s="183">
        <f t="shared" si="16"/>
        <v>0.33698630136986302</v>
      </c>
      <c r="G49" s="176"/>
      <c r="H49" s="181">
        <f t="shared" si="17"/>
        <v>-1377958</v>
      </c>
      <c r="I49" s="177">
        <f t="shared" si="18"/>
        <v>-464352.96986301371</v>
      </c>
      <c r="J49" s="177">
        <f t="shared" si="14"/>
        <v>-249224365.28835616</v>
      </c>
      <c r="K49" s="176"/>
      <c r="L49" s="180"/>
      <c r="M49" s="179">
        <f t="shared" si="22"/>
        <v>1377958</v>
      </c>
      <c r="N49" s="179">
        <f t="shared" si="19"/>
        <v>0</v>
      </c>
      <c r="O49" s="179">
        <f t="shared" si="20"/>
        <v>0</v>
      </c>
      <c r="P49" s="179">
        <f t="shared" si="15"/>
        <v>0</v>
      </c>
    </row>
    <row r="50" spans="1:16">
      <c r="A50" s="159">
        <f t="shared" si="0"/>
        <v>41</v>
      </c>
      <c r="B50" s="175" t="s">
        <v>11</v>
      </c>
      <c r="C50" s="181">
        <v>30</v>
      </c>
      <c r="D50" s="182">
        <f t="shared" si="13"/>
        <v>93</v>
      </c>
      <c r="E50" s="176">
        <f t="shared" si="21"/>
        <v>365</v>
      </c>
      <c r="F50" s="183">
        <f t="shared" si="16"/>
        <v>0.25479452054794521</v>
      </c>
      <c r="G50" s="176"/>
      <c r="H50" s="181">
        <f t="shared" si="17"/>
        <v>-1377958</v>
      </c>
      <c r="I50" s="177">
        <f t="shared" si="18"/>
        <v>-351096.14794520551</v>
      </c>
      <c r="J50" s="177">
        <f t="shared" si="14"/>
        <v>-249575461.43630135</v>
      </c>
      <c r="K50" s="176"/>
      <c r="L50" s="180"/>
      <c r="M50" s="179">
        <f t="shared" si="22"/>
        <v>1377958</v>
      </c>
      <c r="N50" s="179">
        <f t="shared" si="19"/>
        <v>0</v>
      </c>
      <c r="O50" s="179">
        <f t="shared" si="20"/>
        <v>0</v>
      </c>
      <c r="P50" s="179">
        <f t="shared" si="15"/>
        <v>0</v>
      </c>
    </row>
    <row r="51" spans="1:16">
      <c r="A51" s="159">
        <f t="shared" si="0"/>
        <v>42</v>
      </c>
      <c r="B51" s="175" t="s">
        <v>12</v>
      </c>
      <c r="C51" s="181">
        <v>31</v>
      </c>
      <c r="D51" s="182">
        <f>D52+C52</f>
        <v>62</v>
      </c>
      <c r="E51" s="176">
        <f t="shared" si="21"/>
        <v>365</v>
      </c>
      <c r="F51" s="183">
        <f t="shared" si="16"/>
        <v>0.16986301369863013</v>
      </c>
      <c r="G51" s="176"/>
      <c r="H51" s="181">
        <f t="shared" si="17"/>
        <v>-1377958</v>
      </c>
      <c r="I51" s="177">
        <f t="shared" si="18"/>
        <v>-234064.09863013698</v>
      </c>
      <c r="J51" s="177">
        <f t="shared" si="14"/>
        <v>-249809525.53493148</v>
      </c>
      <c r="K51" s="176"/>
      <c r="L51" s="180"/>
      <c r="M51" s="179">
        <f t="shared" si="22"/>
        <v>1377958</v>
      </c>
      <c r="N51" s="179">
        <f t="shared" si="19"/>
        <v>0</v>
      </c>
      <c r="O51" s="179">
        <f t="shared" si="20"/>
        <v>0</v>
      </c>
      <c r="P51" s="179">
        <f t="shared" si="15"/>
        <v>0</v>
      </c>
    </row>
    <row r="52" spans="1:16">
      <c r="A52" s="159">
        <f t="shared" si="0"/>
        <v>43</v>
      </c>
      <c r="B52" s="175" t="s">
        <v>13</v>
      </c>
      <c r="C52" s="181">
        <v>30</v>
      </c>
      <c r="D52" s="182">
        <f>D53+C53</f>
        <v>32</v>
      </c>
      <c r="E52" s="176">
        <f t="shared" si="21"/>
        <v>365</v>
      </c>
      <c r="F52" s="183">
        <f t="shared" si="16"/>
        <v>8.7671232876712329E-2</v>
      </c>
      <c r="G52" s="176"/>
      <c r="H52" s="181">
        <f t="shared" si="17"/>
        <v>-1377958</v>
      </c>
      <c r="I52" s="177">
        <f t="shared" si="18"/>
        <v>-120807.27671232876</v>
      </c>
      <c r="J52" s="177">
        <f t="shared" si="14"/>
        <v>-249930332.81164381</v>
      </c>
      <c r="K52" s="176"/>
      <c r="L52" s="180"/>
      <c r="M52" s="179">
        <f t="shared" si="22"/>
        <v>1377958</v>
      </c>
      <c r="N52" s="179">
        <f t="shared" si="19"/>
        <v>0</v>
      </c>
      <c r="O52" s="179">
        <f t="shared" si="20"/>
        <v>0</v>
      </c>
      <c r="P52" s="179">
        <f t="shared" si="15"/>
        <v>0</v>
      </c>
    </row>
    <row r="53" spans="1:16">
      <c r="A53" s="159">
        <f t="shared" si="0"/>
        <v>44</v>
      </c>
      <c r="B53" s="175" t="s">
        <v>14</v>
      </c>
      <c r="C53" s="181">
        <v>31</v>
      </c>
      <c r="D53" s="182">
        <v>1</v>
      </c>
      <c r="E53" s="176">
        <f t="shared" si="21"/>
        <v>365</v>
      </c>
      <c r="F53" s="183">
        <f t="shared" si="16"/>
        <v>2.7397260273972603E-3</v>
      </c>
      <c r="G53" s="176"/>
      <c r="H53" s="197">
        <f t="shared" si="17"/>
        <v>-1377958</v>
      </c>
      <c r="I53" s="177">
        <f t="shared" si="18"/>
        <v>-3775.2273972602738</v>
      </c>
      <c r="J53" s="177">
        <f t="shared" si="14"/>
        <v>-249934108.03904107</v>
      </c>
      <c r="K53" s="176"/>
      <c r="L53" s="180"/>
      <c r="M53" s="179">
        <f t="shared" si="22"/>
        <v>1377958</v>
      </c>
      <c r="N53" s="179">
        <f t="shared" si="19"/>
        <v>0</v>
      </c>
      <c r="O53" s="179">
        <f t="shared" si="20"/>
        <v>0</v>
      </c>
      <c r="P53" s="179">
        <f t="shared" si="15"/>
        <v>0</v>
      </c>
    </row>
    <row r="54" spans="1:16">
      <c r="A54" s="159">
        <f t="shared" si="0"/>
        <v>45</v>
      </c>
      <c r="B54" s="184" t="s">
        <v>22</v>
      </c>
      <c r="C54" s="185">
        <f>SUM(C42:C53)</f>
        <v>365</v>
      </c>
      <c r="D54" s="184"/>
      <c r="E54" s="184"/>
      <c r="F54" s="186"/>
      <c r="G54" s="176"/>
      <c r="H54" s="187">
        <f>SUM(H42:H53)</f>
        <v>-16535496</v>
      </c>
      <c r="I54" s="187">
        <f>SUM(I42:I53)</f>
        <v>-7659936.389041096</v>
      </c>
      <c r="J54" s="186"/>
      <c r="K54" s="188"/>
      <c r="L54" s="189">
        <f>SUM(L42:L53)</f>
        <v>0</v>
      </c>
      <c r="M54" s="189">
        <f t="shared" ref="M54:O54" si="23">SUM(M42:M53)</f>
        <v>16535496</v>
      </c>
      <c r="N54" s="189">
        <f t="shared" si="23"/>
        <v>0</v>
      </c>
      <c r="O54" s="189">
        <f t="shared" si="23"/>
        <v>0</v>
      </c>
      <c r="P54" s="189"/>
    </row>
    <row r="55" spans="1:16">
      <c r="B55" s="190"/>
      <c r="C55" s="190"/>
      <c r="D55" s="190"/>
      <c r="E55" s="190"/>
      <c r="F55" s="188"/>
      <c r="G55" s="188"/>
      <c r="H55" s="191"/>
      <c r="I55" s="192"/>
      <c r="J55" s="188"/>
      <c r="K55" s="188"/>
    </row>
    <row r="56" spans="1:16">
      <c r="A56" s="159">
        <f>+A54+1</f>
        <v>46</v>
      </c>
      <c r="B56" s="159" t="s">
        <v>258</v>
      </c>
      <c r="F56" s="198" t="s">
        <v>381</v>
      </c>
      <c r="G56" s="188"/>
      <c r="I56" s="188"/>
      <c r="J56" s="181">
        <f>+J41</f>
        <v>-242274171.64999998</v>
      </c>
      <c r="L56" s="159" t="s">
        <v>258</v>
      </c>
      <c r="N56" s="198" t="s">
        <v>381</v>
      </c>
      <c r="P56" s="180"/>
    </row>
    <row r="57" spans="1:16">
      <c r="A57" s="159">
        <f t="shared" si="0"/>
        <v>47</v>
      </c>
      <c r="B57" s="159" t="s">
        <v>259</v>
      </c>
      <c r="F57" s="198" t="s">
        <v>261</v>
      </c>
      <c r="G57" s="188"/>
      <c r="I57" s="188"/>
      <c r="J57" s="181">
        <f>+J53</f>
        <v>-249934108.03904107</v>
      </c>
      <c r="K57" s="199"/>
      <c r="L57" s="159" t="s">
        <v>259</v>
      </c>
      <c r="N57" s="198" t="s">
        <v>261</v>
      </c>
      <c r="O57" s="160"/>
      <c r="P57" s="180"/>
    </row>
    <row r="58" spans="1:16">
      <c r="A58" s="159">
        <f t="shared" si="0"/>
        <v>48</v>
      </c>
      <c r="B58" s="159" t="s">
        <v>200</v>
      </c>
      <c r="F58" s="200" t="s">
        <v>382</v>
      </c>
      <c r="G58" s="188"/>
      <c r="I58" s="172"/>
      <c r="J58" s="187">
        <f>(J56+J57)/2</f>
        <v>-246104139.84452051</v>
      </c>
      <c r="K58" s="177"/>
      <c r="L58" s="159" t="s">
        <v>200</v>
      </c>
      <c r="M58" s="177"/>
      <c r="N58" s="200" t="s">
        <v>382</v>
      </c>
      <c r="O58" s="177"/>
      <c r="P58" s="187">
        <f>(P56+P57)/2</f>
        <v>0</v>
      </c>
    </row>
    <row r="59" spans="1:16">
      <c r="A59" s="159">
        <f>+A58+1</f>
        <v>49</v>
      </c>
      <c r="B59" s="159" t="s">
        <v>370</v>
      </c>
      <c r="F59" s="159" t="s">
        <v>371</v>
      </c>
      <c r="G59" s="188"/>
      <c r="I59" s="172"/>
      <c r="J59" s="181">
        <v>0</v>
      </c>
      <c r="L59" s="159" t="s">
        <v>370</v>
      </c>
      <c r="N59" s="159" t="s">
        <v>371</v>
      </c>
      <c r="P59" s="180">
        <v>0</v>
      </c>
    </row>
    <row r="60" spans="1:16">
      <c r="A60" s="159">
        <f>+A59+1</f>
        <v>50</v>
      </c>
      <c r="B60" s="159" t="s">
        <v>383</v>
      </c>
      <c r="F60" s="200" t="s">
        <v>384</v>
      </c>
      <c r="J60" s="194">
        <f>+J58-J59</f>
        <v>-246104139.84452051</v>
      </c>
      <c r="L60" s="159" t="s">
        <v>383</v>
      </c>
      <c r="N60" s="200" t="s">
        <v>384</v>
      </c>
      <c r="P60" s="195">
        <f>P58-P59</f>
        <v>0</v>
      </c>
    </row>
    <row r="61" spans="1:16">
      <c r="J61" s="201"/>
      <c r="P61" s="179"/>
    </row>
    <row r="62" spans="1:16">
      <c r="A62" s="159">
        <v>51</v>
      </c>
      <c r="B62" s="164" t="s">
        <v>202</v>
      </c>
      <c r="H62" s="165"/>
      <c r="I62" s="165"/>
      <c r="J62" s="165"/>
      <c r="K62" s="165"/>
      <c r="L62" s="164" t="s">
        <v>202</v>
      </c>
      <c r="M62" s="166"/>
      <c r="N62" s="166"/>
      <c r="O62" s="166"/>
      <c r="P62" s="166"/>
    </row>
    <row r="63" spans="1:16">
      <c r="A63" s="159">
        <f>+A62+1</f>
        <v>52</v>
      </c>
      <c r="B63" s="247" t="s">
        <v>330</v>
      </c>
      <c r="C63" s="248"/>
      <c r="D63" s="248"/>
      <c r="E63" s="248"/>
      <c r="F63" s="249"/>
      <c r="G63" s="167"/>
      <c r="H63" s="250" t="s">
        <v>331</v>
      </c>
      <c r="I63" s="251"/>
      <c r="J63" s="252"/>
      <c r="K63" s="165"/>
      <c r="L63" s="253" t="s">
        <v>332</v>
      </c>
      <c r="M63" s="254"/>
      <c r="N63" s="254"/>
      <c r="O63" s="254"/>
      <c r="P63" s="254"/>
    </row>
    <row r="64" spans="1:16">
      <c r="B64" s="168" t="s">
        <v>333</v>
      </c>
      <c r="C64" s="168" t="s">
        <v>334</v>
      </c>
      <c r="D64" s="168" t="s">
        <v>335</v>
      </c>
      <c r="E64" s="168" t="s">
        <v>336</v>
      </c>
      <c r="F64" s="168" t="s">
        <v>337</v>
      </c>
      <c r="G64" s="167"/>
      <c r="H64" s="168" t="s">
        <v>338</v>
      </c>
      <c r="I64" s="168" t="s">
        <v>339</v>
      </c>
      <c r="J64" s="168" t="s">
        <v>340</v>
      </c>
      <c r="K64" s="169"/>
      <c r="L64" s="170" t="s">
        <v>341</v>
      </c>
      <c r="M64" s="170" t="s">
        <v>342</v>
      </c>
      <c r="N64" s="170" t="s">
        <v>343</v>
      </c>
      <c r="O64" s="170" t="s">
        <v>344</v>
      </c>
      <c r="P64" s="170" t="s">
        <v>345</v>
      </c>
    </row>
    <row r="65" spans="1:16" ht="291.75" customHeight="1">
      <c r="A65" s="159">
        <f>+A63+1</f>
        <v>53</v>
      </c>
      <c r="B65" s="171" t="s">
        <v>346</v>
      </c>
      <c r="C65" s="171" t="s">
        <v>347</v>
      </c>
      <c r="D65" s="171" t="s">
        <v>348</v>
      </c>
      <c r="E65" s="171" t="s">
        <v>385</v>
      </c>
      <c r="F65" s="171" t="s">
        <v>386</v>
      </c>
      <c r="G65" s="172"/>
      <c r="H65" s="171" t="s">
        <v>351</v>
      </c>
      <c r="I65" s="171" t="s">
        <v>387</v>
      </c>
      <c r="J65" s="171" t="s">
        <v>388</v>
      </c>
      <c r="K65" s="172"/>
      <c r="L65" s="173" t="s">
        <v>354</v>
      </c>
      <c r="M65" s="173" t="s">
        <v>378</v>
      </c>
      <c r="N65" s="173" t="s">
        <v>356</v>
      </c>
      <c r="O65" s="173" t="s">
        <v>357</v>
      </c>
      <c r="P65" s="173" t="s">
        <v>389</v>
      </c>
    </row>
    <row r="66" spans="1:16">
      <c r="A66" s="159">
        <f t="shared" si="0"/>
        <v>54</v>
      </c>
      <c r="C66" s="172"/>
      <c r="D66" s="172"/>
      <c r="E66" s="172"/>
      <c r="F66" s="172"/>
      <c r="G66" s="172"/>
      <c r="H66" s="172"/>
      <c r="I66" s="172"/>
      <c r="J66" s="172"/>
      <c r="K66" s="172"/>
    </row>
    <row r="67" spans="1:16">
      <c r="A67" s="159">
        <f t="shared" si="0"/>
        <v>55</v>
      </c>
      <c r="B67" s="174" t="s">
        <v>390</v>
      </c>
      <c r="C67" s="175"/>
      <c r="D67" s="176"/>
      <c r="E67" s="176"/>
      <c r="F67" s="176"/>
      <c r="G67" s="176"/>
      <c r="H67" s="177"/>
      <c r="I67" s="177"/>
      <c r="J67" s="178">
        <v>0</v>
      </c>
      <c r="K67" s="176"/>
      <c r="L67" s="174" t="s">
        <v>390</v>
      </c>
      <c r="M67" s="179"/>
      <c r="N67" s="179"/>
      <c r="O67" s="179"/>
      <c r="P67" s="180"/>
    </row>
    <row r="68" spans="1:16">
      <c r="A68" s="159">
        <f t="shared" si="0"/>
        <v>56</v>
      </c>
      <c r="B68" s="175" t="s">
        <v>195</v>
      </c>
      <c r="C68" s="181">
        <v>31</v>
      </c>
      <c r="D68" s="182">
        <f t="shared" ref="D68:D76" si="24">D69+C69</f>
        <v>335</v>
      </c>
      <c r="E68" s="176">
        <f>SUM(C68:C79)</f>
        <v>365</v>
      </c>
      <c r="F68" s="183">
        <f>D68/E68</f>
        <v>0.9178082191780822</v>
      </c>
      <c r="G68" s="176"/>
      <c r="H68" s="178">
        <v>0</v>
      </c>
      <c r="I68" s="177">
        <f>+H68*F68</f>
        <v>0</v>
      </c>
      <c r="J68" s="177">
        <f t="shared" ref="J68:J79" si="25">+I68+J67</f>
        <v>0</v>
      </c>
      <c r="K68" s="176"/>
      <c r="L68" s="180"/>
      <c r="M68" s="179">
        <f>L68-H68</f>
        <v>0</v>
      </c>
      <c r="N68" s="179">
        <f>IF(AND(H68&gt;=0,L68&gt;=0),IF(M68&gt;=0,I68+M68,L68/H68*I68),IF(AND(H68&lt;0,L68&lt;0),IF(M68&lt;0,I68+M68,L68/H68*I68),0))</f>
        <v>0</v>
      </c>
      <c r="O68" s="179">
        <f>IF(AND(H68&gt;=0,L68&lt;0),L68,IF(AND(H68&lt;0,L68&gt;=0),L68,0))</f>
        <v>0</v>
      </c>
      <c r="P68" s="179">
        <f t="shared" ref="P68:P79" si="26">P67+N68+O68</f>
        <v>0</v>
      </c>
    </row>
    <row r="69" spans="1:16">
      <c r="A69" s="159">
        <f t="shared" si="0"/>
        <v>57</v>
      </c>
      <c r="B69" s="175" t="s">
        <v>4</v>
      </c>
      <c r="C69" s="178">
        <v>28</v>
      </c>
      <c r="D69" s="182">
        <f t="shared" si="24"/>
        <v>307</v>
      </c>
      <c r="E69" s="176">
        <f>E68</f>
        <v>365</v>
      </c>
      <c r="F69" s="183">
        <f t="shared" ref="F69:F79" si="27">D69/E69</f>
        <v>0.84109589041095889</v>
      </c>
      <c r="G69" s="176"/>
      <c r="H69" s="181"/>
      <c r="I69" s="177">
        <f>+H69*F69</f>
        <v>0</v>
      </c>
      <c r="J69" s="177">
        <f t="shared" si="25"/>
        <v>0</v>
      </c>
      <c r="K69" s="176"/>
      <c r="L69" s="180"/>
      <c r="M69" s="179">
        <f>L69-H69</f>
        <v>0</v>
      </c>
      <c r="N69" s="179">
        <f t="shared" ref="N69:N71" si="28">IF(AND(H69&gt;=0,L69&gt;=0),IF(M69&gt;=0,I69+M69,L69/H69*I69),IF(AND(H69&lt;0,L69&lt;0),IF(M69&lt;0,I69+M69,L69/H69*I69),0))</f>
        <v>0</v>
      </c>
      <c r="O69" s="179">
        <f t="shared" ref="O69:O79" si="29">IF(AND(H69&gt;=0,L69&lt;0),L69,IF(AND(H69&lt;0,L69&gt;=0),L69,0))</f>
        <v>0</v>
      </c>
      <c r="P69" s="179">
        <f t="shared" si="26"/>
        <v>0</v>
      </c>
    </row>
    <row r="70" spans="1:16">
      <c r="A70" s="159">
        <f t="shared" si="0"/>
        <v>58</v>
      </c>
      <c r="B70" s="175" t="s">
        <v>5</v>
      </c>
      <c r="C70" s="181">
        <v>31</v>
      </c>
      <c r="D70" s="182">
        <f t="shared" si="24"/>
        <v>276</v>
      </c>
      <c r="E70" s="176">
        <f t="shared" ref="E70:E79" si="30">E69</f>
        <v>365</v>
      </c>
      <c r="F70" s="183">
        <f t="shared" si="27"/>
        <v>0.75616438356164384</v>
      </c>
      <c r="G70" s="176"/>
      <c r="H70" s="181"/>
      <c r="I70" s="177">
        <f>+H70*F70</f>
        <v>0</v>
      </c>
      <c r="J70" s="177">
        <f>+I70+J69</f>
        <v>0</v>
      </c>
      <c r="K70" s="176"/>
      <c r="L70" s="180"/>
      <c r="M70" s="179">
        <f>L70-H70</f>
        <v>0</v>
      </c>
      <c r="N70" s="179">
        <f t="shared" si="28"/>
        <v>0</v>
      </c>
      <c r="O70" s="179">
        <f t="shared" si="29"/>
        <v>0</v>
      </c>
      <c r="P70" s="179">
        <f t="shared" si="26"/>
        <v>0</v>
      </c>
    </row>
    <row r="71" spans="1:16">
      <c r="A71" s="159">
        <f t="shared" si="0"/>
        <v>59</v>
      </c>
      <c r="B71" s="175" t="s">
        <v>6</v>
      </c>
      <c r="C71" s="181">
        <v>30</v>
      </c>
      <c r="D71" s="182">
        <f t="shared" si="24"/>
        <v>246</v>
      </c>
      <c r="E71" s="176">
        <f t="shared" si="30"/>
        <v>365</v>
      </c>
      <c r="F71" s="183">
        <f t="shared" si="27"/>
        <v>0.67397260273972603</v>
      </c>
      <c r="G71" s="176"/>
      <c r="H71" s="181"/>
      <c r="I71" s="177">
        <f t="shared" ref="I71:I79" si="31">+H71*F71</f>
        <v>0</v>
      </c>
      <c r="J71" s="177">
        <f t="shared" si="25"/>
        <v>0</v>
      </c>
      <c r="K71" s="176"/>
      <c r="L71" s="180"/>
      <c r="M71" s="179">
        <f t="shared" ref="M71:M79" si="32">L71-H71</f>
        <v>0</v>
      </c>
      <c r="N71" s="179">
        <f t="shared" si="28"/>
        <v>0</v>
      </c>
      <c r="O71" s="179">
        <f t="shared" si="29"/>
        <v>0</v>
      </c>
      <c r="P71" s="179">
        <f t="shared" si="26"/>
        <v>0</v>
      </c>
    </row>
    <row r="72" spans="1:16">
      <c r="A72" s="159">
        <f t="shared" si="0"/>
        <v>60</v>
      </c>
      <c r="B72" s="175" t="s">
        <v>7</v>
      </c>
      <c r="C72" s="181">
        <v>31</v>
      </c>
      <c r="D72" s="182">
        <f t="shared" si="24"/>
        <v>215</v>
      </c>
      <c r="E72" s="176">
        <f t="shared" si="30"/>
        <v>365</v>
      </c>
      <c r="F72" s="183">
        <f t="shared" si="27"/>
        <v>0.58904109589041098</v>
      </c>
      <c r="G72" s="176"/>
      <c r="H72" s="181"/>
      <c r="I72" s="177">
        <f t="shared" si="31"/>
        <v>0</v>
      </c>
      <c r="J72" s="177">
        <f t="shared" si="25"/>
        <v>0</v>
      </c>
      <c r="K72" s="176"/>
      <c r="L72" s="180"/>
      <c r="M72" s="179">
        <f>L72-H72</f>
        <v>0</v>
      </c>
      <c r="N72" s="179">
        <f>IF(AND(H72&gt;=0,L72&gt;=0),IF(M72&gt;=0,I72+M72,L72/H72*I72),IF(AND(H72&lt;0,L72&lt;0),IF(M72&lt;0,I72+M72,L72/H72*I72),0))</f>
        <v>0</v>
      </c>
      <c r="O72" s="179">
        <f t="shared" si="29"/>
        <v>0</v>
      </c>
      <c r="P72" s="179">
        <f t="shared" si="26"/>
        <v>0</v>
      </c>
    </row>
    <row r="73" spans="1:16">
      <c r="A73" s="159">
        <f t="shared" si="0"/>
        <v>61</v>
      </c>
      <c r="B73" s="175" t="s">
        <v>8</v>
      </c>
      <c r="C73" s="181">
        <v>30</v>
      </c>
      <c r="D73" s="182">
        <f t="shared" si="24"/>
        <v>185</v>
      </c>
      <c r="E73" s="176">
        <f t="shared" si="30"/>
        <v>365</v>
      </c>
      <c r="F73" s="183">
        <f t="shared" si="27"/>
        <v>0.50684931506849318</v>
      </c>
      <c r="G73" s="176"/>
      <c r="H73" s="181"/>
      <c r="I73" s="177">
        <f t="shared" si="31"/>
        <v>0</v>
      </c>
      <c r="J73" s="177">
        <f t="shared" si="25"/>
        <v>0</v>
      </c>
      <c r="K73" s="176"/>
      <c r="L73" s="180"/>
      <c r="M73" s="179">
        <f t="shared" si="32"/>
        <v>0</v>
      </c>
      <c r="N73" s="179">
        <f t="shared" ref="N73:N79" si="33">IF(AND(H73&gt;=0,L73&gt;=0),IF(M73&gt;=0,I73+M73,L73/H73*I73),IF(AND(H73&lt;0,L73&lt;0),IF(M73&lt;0,I73+M73,L73/H73*I73),0))</f>
        <v>0</v>
      </c>
      <c r="O73" s="179">
        <f t="shared" si="29"/>
        <v>0</v>
      </c>
      <c r="P73" s="179">
        <f t="shared" si="26"/>
        <v>0</v>
      </c>
    </row>
    <row r="74" spans="1:16">
      <c r="A74" s="159">
        <f t="shared" ref="A74:A80" si="34">+A73+1</f>
        <v>62</v>
      </c>
      <c r="B74" s="175" t="s">
        <v>9</v>
      </c>
      <c r="C74" s="181">
        <v>31</v>
      </c>
      <c r="D74" s="182">
        <f t="shared" si="24"/>
        <v>154</v>
      </c>
      <c r="E74" s="176">
        <f t="shared" si="30"/>
        <v>365</v>
      </c>
      <c r="F74" s="183">
        <f t="shared" si="27"/>
        <v>0.42191780821917807</v>
      </c>
      <c r="G74" s="176"/>
      <c r="H74" s="181"/>
      <c r="I74" s="177">
        <f t="shared" si="31"/>
        <v>0</v>
      </c>
      <c r="J74" s="177">
        <f t="shared" si="25"/>
        <v>0</v>
      </c>
      <c r="K74" s="176"/>
      <c r="L74" s="180"/>
      <c r="M74" s="179">
        <f t="shared" si="32"/>
        <v>0</v>
      </c>
      <c r="N74" s="179">
        <f t="shared" si="33"/>
        <v>0</v>
      </c>
      <c r="O74" s="179">
        <f t="shared" si="29"/>
        <v>0</v>
      </c>
      <c r="P74" s="179">
        <f t="shared" si="26"/>
        <v>0</v>
      </c>
    </row>
    <row r="75" spans="1:16">
      <c r="A75" s="159">
        <f t="shared" si="34"/>
        <v>63</v>
      </c>
      <c r="B75" s="175" t="s">
        <v>10</v>
      </c>
      <c r="C75" s="181">
        <v>31</v>
      </c>
      <c r="D75" s="182">
        <f t="shared" si="24"/>
        <v>123</v>
      </c>
      <c r="E75" s="176">
        <f t="shared" si="30"/>
        <v>365</v>
      </c>
      <c r="F75" s="183">
        <f t="shared" si="27"/>
        <v>0.33698630136986302</v>
      </c>
      <c r="G75" s="176"/>
      <c r="H75" s="181"/>
      <c r="I75" s="177">
        <f t="shared" si="31"/>
        <v>0</v>
      </c>
      <c r="J75" s="177">
        <f t="shared" si="25"/>
        <v>0</v>
      </c>
      <c r="K75" s="176"/>
      <c r="L75" s="180"/>
      <c r="M75" s="179">
        <f t="shared" si="32"/>
        <v>0</v>
      </c>
      <c r="N75" s="179">
        <f t="shared" si="33"/>
        <v>0</v>
      </c>
      <c r="O75" s="179">
        <f t="shared" si="29"/>
        <v>0</v>
      </c>
      <c r="P75" s="179">
        <f t="shared" si="26"/>
        <v>0</v>
      </c>
    </row>
    <row r="76" spans="1:16">
      <c r="A76" s="159">
        <f t="shared" si="34"/>
        <v>64</v>
      </c>
      <c r="B76" s="175" t="s">
        <v>11</v>
      </c>
      <c r="C76" s="181">
        <v>30</v>
      </c>
      <c r="D76" s="182">
        <f t="shared" si="24"/>
        <v>93</v>
      </c>
      <c r="E76" s="176">
        <f t="shared" si="30"/>
        <v>365</v>
      </c>
      <c r="F76" s="183">
        <f t="shared" si="27"/>
        <v>0.25479452054794521</v>
      </c>
      <c r="G76" s="176"/>
      <c r="H76" s="181"/>
      <c r="I76" s="177">
        <f t="shared" si="31"/>
        <v>0</v>
      </c>
      <c r="J76" s="177">
        <f t="shared" si="25"/>
        <v>0</v>
      </c>
      <c r="K76" s="176"/>
      <c r="L76" s="180"/>
      <c r="M76" s="179">
        <f t="shared" si="32"/>
        <v>0</v>
      </c>
      <c r="N76" s="179">
        <f t="shared" si="33"/>
        <v>0</v>
      </c>
      <c r="O76" s="179">
        <f t="shared" si="29"/>
        <v>0</v>
      </c>
      <c r="P76" s="179">
        <f t="shared" si="26"/>
        <v>0</v>
      </c>
    </row>
    <row r="77" spans="1:16">
      <c r="A77" s="159">
        <f t="shared" si="34"/>
        <v>65</v>
      </c>
      <c r="B77" s="175" t="s">
        <v>12</v>
      </c>
      <c r="C77" s="181">
        <v>31</v>
      </c>
      <c r="D77" s="182">
        <f>D78+C78</f>
        <v>62</v>
      </c>
      <c r="E77" s="176">
        <f t="shared" si="30"/>
        <v>365</v>
      </c>
      <c r="F77" s="183">
        <f t="shared" si="27"/>
        <v>0.16986301369863013</v>
      </c>
      <c r="G77" s="176"/>
      <c r="H77" s="181"/>
      <c r="I77" s="177">
        <f t="shared" si="31"/>
        <v>0</v>
      </c>
      <c r="J77" s="177">
        <f t="shared" si="25"/>
        <v>0</v>
      </c>
      <c r="K77" s="176"/>
      <c r="L77" s="180"/>
      <c r="M77" s="179">
        <f t="shared" si="32"/>
        <v>0</v>
      </c>
      <c r="N77" s="179">
        <f t="shared" si="33"/>
        <v>0</v>
      </c>
      <c r="O77" s="179">
        <f t="shared" si="29"/>
        <v>0</v>
      </c>
      <c r="P77" s="179">
        <f t="shared" si="26"/>
        <v>0</v>
      </c>
    </row>
    <row r="78" spans="1:16">
      <c r="A78" s="159">
        <f t="shared" si="34"/>
        <v>66</v>
      </c>
      <c r="B78" s="175" t="s">
        <v>13</v>
      </c>
      <c r="C78" s="181">
        <v>30</v>
      </c>
      <c r="D78" s="182">
        <f>D79+C79</f>
        <v>32</v>
      </c>
      <c r="E78" s="176">
        <f t="shared" si="30"/>
        <v>365</v>
      </c>
      <c r="F78" s="183">
        <f t="shared" si="27"/>
        <v>8.7671232876712329E-2</v>
      </c>
      <c r="G78" s="176"/>
      <c r="H78" s="181"/>
      <c r="I78" s="177">
        <f t="shared" si="31"/>
        <v>0</v>
      </c>
      <c r="J78" s="177">
        <f t="shared" si="25"/>
        <v>0</v>
      </c>
      <c r="K78" s="176"/>
      <c r="L78" s="180"/>
      <c r="M78" s="179">
        <f t="shared" si="32"/>
        <v>0</v>
      </c>
      <c r="N78" s="179">
        <f t="shared" si="33"/>
        <v>0</v>
      </c>
      <c r="O78" s="179">
        <f t="shared" si="29"/>
        <v>0</v>
      </c>
      <c r="P78" s="179">
        <f t="shared" si="26"/>
        <v>0</v>
      </c>
    </row>
    <row r="79" spans="1:16">
      <c r="A79" s="159">
        <f t="shared" si="34"/>
        <v>67</v>
      </c>
      <c r="B79" s="175" t="s">
        <v>14</v>
      </c>
      <c r="C79" s="181">
        <v>31</v>
      </c>
      <c r="D79" s="182">
        <v>1</v>
      </c>
      <c r="E79" s="176">
        <f t="shared" si="30"/>
        <v>365</v>
      </c>
      <c r="F79" s="183">
        <f t="shared" si="27"/>
        <v>2.7397260273972603E-3</v>
      </c>
      <c r="G79" s="176"/>
      <c r="H79" s="181"/>
      <c r="I79" s="177">
        <f t="shared" si="31"/>
        <v>0</v>
      </c>
      <c r="J79" s="177">
        <f t="shared" si="25"/>
        <v>0</v>
      </c>
      <c r="K79" s="176"/>
      <c r="L79" s="180"/>
      <c r="M79" s="179">
        <f t="shared" si="32"/>
        <v>0</v>
      </c>
      <c r="N79" s="179">
        <f t="shared" si="33"/>
        <v>0</v>
      </c>
      <c r="O79" s="179">
        <f t="shared" si="29"/>
        <v>0</v>
      </c>
      <c r="P79" s="179">
        <f t="shared" si="26"/>
        <v>0</v>
      </c>
    </row>
    <row r="80" spans="1:16">
      <c r="A80" s="159">
        <f t="shared" si="34"/>
        <v>68</v>
      </c>
      <c r="B80" s="184" t="s">
        <v>22</v>
      </c>
      <c r="C80" s="185">
        <f>SUM(C68:C79)</f>
        <v>365</v>
      </c>
      <c r="D80" s="184"/>
      <c r="E80" s="184"/>
      <c r="F80" s="186"/>
      <c r="G80" s="176"/>
      <c r="H80" s="187">
        <f>SUM(H68:H79)</f>
        <v>0</v>
      </c>
      <c r="I80" s="187">
        <f>SUM(I68:I79)</f>
        <v>0</v>
      </c>
      <c r="J80" s="186"/>
      <c r="K80" s="188"/>
      <c r="L80" s="189">
        <f>SUM(L68:L79)</f>
        <v>0</v>
      </c>
      <c r="M80" s="189">
        <f>SUM(M68:M79)</f>
        <v>0</v>
      </c>
      <c r="N80" s="189">
        <f t="shared" ref="N80:O80" si="35">SUM(N68:N79)</f>
        <v>0</v>
      </c>
      <c r="O80" s="189">
        <f t="shared" si="35"/>
        <v>0</v>
      </c>
      <c r="P80" s="189"/>
    </row>
    <row r="81" spans="1:16">
      <c r="B81" s="190"/>
      <c r="C81" s="190"/>
      <c r="D81" s="190"/>
      <c r="E81" s="190"/>
      <c r="F81" s="188"/>
      <c r="G81" s="188"/>
      <c r="H81" s="191"/>
      <c r="I81" s="192"/>
      <c r="J81" s="188"/>
      <c r="K81" s="188"/>
    </row>
    <row r="82" spans="1:16">
      <c r="A82" s="159">
        <f>+A80+1</f>
        <v>69</v>
      </c>
      <c r="B82" s="159" t="s">
        <v>258</v>
      </c>
      <c r="F82" s="159" t="s">
        <v>260</v>
      </c>
      <c r="G82" s="188"/>
      <c r="I82" s="188"/>
      <c r="J82" s="181">
        <v>-16570747.949999999</v>
      </c>
      <c r="L82" s="159" t="s">
        <v>258</v>
      </c>
      <c r="N82" s="159" t="str">
        <f>F82</f>
        <v>276.9.b</v>
      </c>
      <c r="P82" s="180"/>
    </row>
    <row r="83" spans="1:16">
      <c r="A83" s="159">
        <f>+A82+1</f>
        <v>70</v>
      </c>
      <c r="B83" s="159" t="s">
        <v>360</v>
      </c>
      <c r="F83" s="159" t="s">
        <v>391</v>
      </c>
      <c r="G83" s="188"/>
      <c r="I83" s="188"/>
      <c r="J83" s="181">
        <f>J82-J84</f>
        <v>-16570747.949999999</v>
      </c>
      <c r="L83" s="159" t="s">
        <v>360</v>
      </c>
      <c r="N83" s="159" t="s">
        <v>391</v>
      </c>
      <c r="P83" s="180"/>
    </row>
    <row r="84" spans="1:16">
      <c r="A84" s="159">
        <f t="shared" ref="A84:A90" si="36">+A83+1</f>
        <v>71</v>
      </c>
      <c r="B84" s="159" t="s">
        <v>362</v>
      </c>
      <c r="F84" s="159" t="s">
        <v>392</v>
      </c>
      <c r="G84" s="188"/>
      <c r="I84" s="188"/>
      <c r="J84" s="177">
        <f>J67</f>
        <v>0</v>
      </c>
      <c r="K84" s="177"/>
      <c r="L84" s="159" t="s">
        <v>362</v>
      </c>
      <c r="M84" s="177"/>
      <c r="N84" s="159" t="s">
        <v>393</v>
      </c>
      <c r="O84" s="177"/>
      <c r="P84" s="177">
        <f>P67</f>
        <v>0</v>
      </c>
    </row>
    <row r="85" spans="1:16">
      <c r="A85" s="159">
        <f t="shared" si="36"/>
        <v>72</v>
      </c>
      <c r="B85" s="159" t="s">
        <v>259</v>
      </c>
      <c r="F85" s="159" t="s">
        <v>394</v>
      </c>
      <c r="G85" s="188"/>
      <c r="I85" s="188"/>
      <c r="J85" s="181">
        <v>-16303610.91</v>
      </c>
      <c r="L85" s="159" t="s">
        <v>259</v>
      </c>
      <c r="N85" s="159" t="str">
        <f>F85</f>
        <v>277.9.k</v>
      </c>
      <c r="P85" s="180"/>
    </row>
    <row r="86" spans="1:16">
      <c r="A86" s="159">
        <f t="shared" si="36"/>
        <v>73</v>
      </c>
      <c r="B86" s="159" t="str">
        <f>+B83</f>
        <v>Less non Prorated (non-Property-related) Items</v>
      </c>
      <c r="F86" s="159" t="s">
        <v>395</v>
      </c>
      <c r="G86" s="188"/>
      <c r="I86" s="188"/>
      <c r="J86" s="177">
        <f>+J85-J87</f>
        <v>-16303610.91</v>
      </c>
      <c r="L86" s="159" t="s">
        <v>360</v>
      </c>
      <c r="N86" s="159" t="s">
        <v>395</v>
      </c>
      <c r="P86" s="179">
        <f>+P85-P87</f>
        <v>0</v>
      </c>
    </row>
    <row r="87" spans="1:16">
      <c r="A87" s="159">
        <f t="shared" si="36"/>
        <v>74</v>
      </c>
      <c r="B87" s="159" t="s">
        <v>366</v>
      </c>
      <c r="F87" s="159" t="s">
        <v>396</v>
      </c>
      <c r="G87" s="188"/>
      <c r="I87" s="188"/>
      <c r="J87" s="177">
        <f>+J79</f>
        <v>0</v>
      </c>
      <c r="L87" s="159" t="s">
        <v>366</v>
      </c>
      <c r="N87" s="159" t="s">
        <v>397</v>
      </c>
      <c r="P87" s="179">
        <f>+P79</f>
        <v>0</v>
      </c>
    </row>
    <row r="88" spans="1:16">
      <c r="A88" s="159">
        <f t="shared" si="36"/>
        <v>75</v>
      </c>
      <c r="B88" s="159" t="s">
        <v>200</v>
      </c>
      <c r="F88" s="159" t="s">
        <v>398</v>
      </c>
      <c r="G88" s="188"/>
      <c r="I88" s="172"/>
      <c r="J88" s="187">
        <f>(J84+J87)/2+(J83+J86)/2</f>
        <v>-16437179.43</v>
      </c>
      <c r="L88" s="159" t="s">
        <v>200</v>
      </c>
      <c r="N88" s="159" t="s">
        <v>398</v>
      </c>
      <c r="P88" s="193">
        <f>(P84+P87)/2+(P83+P86)/2</f>
        <v>0</v>
      </c>
    </row>
    <row r="89" spans="1:16">
      <c r="A89" s="159">
        <f t="shared" si="36"/>
        <v>76</v>
      </c>
      <c r="B89" s="159" t="s">
        <v>370</v>
      </c>
      <c r="F89" s="159" t="s">
        <v>371</v>
      </c>
      <c r="G89" s="188"/>
      <c r="I89" s="172"/>
      <c r="J89" s="181">
        <v>0</v>
      </c>
      <c r="L89" s="159" t="s">
        <v>370</v>
      </c>
      <c r="N89" s="159" t="s">
        <v>371</v>
      </c>
      <c r="P89" s="180"/>
    </row>
    <row r="90" spans="1:16">
      <c r="A90" s="159">
        <f t="shared" si="36"/>
        <v>77</v>
      </c>
      <c r="B90" s="159" t="s">
        <v>399</v>
      </c>
      <c r="F90" s="159" t="s">
        <v>400</v>
      </c>
      <c r="J90" s="194">
        <f>+J88-J89</f>
        <v>-16437179.43</v>
      </c>
      <c r="L90" s="159" t="s">
        <v>399</v>
      </c>
      <c r="N90" s="159" t="s">
        <v>400</v>
      </c>
      <c r="P90" s="195">
        <f>+P88-P89</f>
        <v>0</v>
      </c>
    </row>
  </sheetData>
  <mergeCells count="14">
    <mergeCell ref="B7:F7"/>
    <mergeCell ref="H7:J7"/>
    <mergeCell ref="L7:P7"/>
    <mergeCell ref="B1:K1"/>
    <mergeCell ref="B2:K2"/>
    <mergeCell ref="B3:K3"/>
    <mergeCell ref="B5:J5"/>
    <mergeCell ref="L5:P5"/>
    <mergeCell ref="B37:F37"/>
    <mergeCell ref="H37:J37"/>
    <mergeCell ref="L37:P37"/>
    <mergeCell ref="B63:F63"/>
    <mergeCell ref="H63:J63"/>
    <mergeCell ref="L63:P63"/>
  </mergeCells>
  <printOptions horizontalCentered="1"/>
  <pageMargins left="0.45" right="0.45" top="0.5" bottom="0.5" header="0.3" footer="0.3"/>
  <pageSetup scale="75" fitToHeight="3" orientation="portrait" r:id="rId1"/>
  <headerFooter>
    <oddFooter>&amp;L&amp;6{W0138293.1 }</oddFooter>
  </headerFooter>
  <rowBreaks count="2" manualBreakCount="2">
    <brk id="35" max="9" man="1"/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showGridLines="0" workbookViewId="0"/>
  </sheetViews>
  <sheetFormatPr defaultRowHeight="12.75"/>
  <cols>
    <col min="1" max="1" width="13.5703125" bestFit="1" customWidth="1"/>
    <col min="2" max="2" width="2.7109375" customWidth="1"/>
    <col min="3" max="3" width="10.28515625" style="64" bestFit="1" customWidth="1"/>
    <col min="4" max="4" width="2.7109375" style="64" customWidth="1"/>
    <col min="5" max="5" width="11.7109375" style="16" bestFit="1" customWidth="1"/>
  </cols>
  <sheetData>
    <row r="1" spans="1:5">
      <c r="A1" s="3" t="s">
        <v>0</v>
      </c>
      <c r="B1" s="11"/>
      <c r="C1" s="11"/>
      <c r="D1" s="11"/>
      <c r="E1" s="11"/>
    </row>
    <row r="2" spans="1:5">
      <c r="A2" s="3" t="s">
        <v>2</v>
      </c>
      <c r="B2" s="11"/>
      <c r="C2" s="11"/>
      <c r="D2" s="11"/>
      <c r="E2" s="11"/>
    </row>
    <row r="3" spans="1:5">
      <c r="A3" s="3" t="s">
        <v>118</v>
      </c>
      <c r="B3" s="11"/>
      <c r="C3" s="11"/>
      <c r="D3" s="11"/>
      <c r="E3" s="11"/>
    </row>
    <row r="4" spans="1:5">
      <c r="A4" s="3" t="s">
        <v>262</v>
      </c>
      <c r="B4" s="11"/>
      <c r="C4" s="11"/>
      <c r="D4" s="11"/>
      <c r="E4" s="11"/>
    </row>
    <row r="5" spans="1:5">
      <c r="E5" s="64"/>
    </row>
    <row r="7" spans="1:5">
      <c r="A7" s="12"/>
      <c r="C7" s="9" t="s">
        <v>100</v>
      </c>
      <c r="D7" s="9"/>
      <c r="E7" s="9" t="s">
        <v>100</v>
      </c>
    </row>
    <row r="8" spans="1:5">
      <c r="A8" s="12"/>
      <c r="C8" s="4">
        <v>281</v>
      </c>
      <c r="D8" s="9"/>
      <c r="E8" s="4">
        <v>255</v>
      </c>
    </row>
    <row r="9" spans="1:5">
      <c r="A9" s="70" t="s">
        <v>223</v>
      </c>
      <c r="B9" s="8"/>
      <c r="C9" s="13">
        <v>-1343616</v>
      </c>
      <c r="D9" s="13"/>
      <c r="E9" s="13">
        <v>-3612063</v>
      </c>
    </row>
    <row r="10" spans="1:5">
      <c r="A10" s="70" t="s">
        <v>262</v>
      </c>
      <c r="B10" s="8"/>
      <c r="C10" s="51">
        <v>-1673151</v>
      </c>
      <c r="D10" s="51"/>
      <c r="E10" s="51">
        <v>-5271938</v>
      </c>
    </row>
    <row r="11" spans="1:5" s="64" customFormat="1">
      <c r="A11" s="70"/>
      <c r="B11" s="8"/>
      <c r="C11" s="51"/>
      <c r="D11" s="51"/>
      <c r="E11" s="51"/>
    </row>
    <row r="12" spans="1:5" s="8" customFormat="1">
      <c r="A12" s="83" t="s">
        <v>15</v>
      </c>
      <c r="C12" s="13">
        <f>ROUND(AVERAGE(C9:C10),0)</f>
        <v>-1508384</v>
      </c>
      <c r="E12" s="13">
        <f>ROUND(AVERAGE(E9:E10),0)</f>
        <v>-4442001</v>
      </c>
    </row>
    <row r="13" spans="1:5">
      <c r="C13" s="1"/>
      <c r="D13" s="1"/>
      <c r="E13" s="1"/>
    </row>
    <row r="14" spans="1:5">
      <c r="C14" s="1"/>
      <c r="D14" s="1"/>
      <c r="E14" s="1"/>
    </row>
    <row r="15" spans="1:5">
      <c r="C15" s="1"/>
      <c r="D15" s="1"/>
      <c r="E15" s="1"/>
    </row>
    <row r="16" spans="1:5">
      <c r="C16" s="1"/>
      <c r="D16" s="1"/>
      <c r="E16" s="1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2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2.7109375" customWidth="1"/>
    <col min="4" max="4" width="2.7109375" customWidth="1"/>
    <col min="5" max="5" width="14.85546875" bestFit="1" customWidth="1"/>
    <col min="6" max="6" width="2.7109375" customWidth="1"/>
    <col min="7" max="7" width="16.28515625" style="16" bestFit="1" customWidth="1"/>
    <col min="8" max="8" width="2.7109375" customWidth="1"/>
    <col min="9" max="9" width="15.7109375" customWidth="1"/>
    <col min="10" max="10" width="2.7109375" customWidth="1"/>
    <col min="11" max="11" width="11.42578125" bestFit="1" customWidth="1"/>
    <col min="12" max="12" width="2.7109375" customWidth="1"/>
  </cols>
  <sheetData>
    <row r="1" spans="1:16">
      <c r="A1" s="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6">
      <c r="A2" s="3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6">
      <c r="A3" s="3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6">
      <c r="A4" s="3" t="s">
        <v>262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6">
      <c r="G5"/>
    </row>
    <row r="7" spans="1:16">
      <c r="A7" t="s">
        <v>268</v>
      </c>
      <c r="G7" s="69">
        <v>17868676.809999999</v>
      </c>
    </row>
    <row r="8" spans="1:16">
      <c r="A8" t="s">
        <v>269</v>
      </c>
      <c r="G8" s="19">
        <f>K44</f>
        <v>0.93416999999999994</v>
      </c>
    </row>
    <row r="9" spans="1:16" ht="13.5" thickBot="1">
      <c r="A9" t="s">
        <v>275</v>
      </c>
      <c r="G9" s="39">
        <f>ROUND(G7*G8,0)</f>
        <v>16692382</v>
      </c>
      <c r="L9" s="1"/>
      <c r="M9" s="1"/>
      <c r="N9" s="1"/>
      <c r="O9" s="1"/>
      <c r="P9" s="1"/>
    </row>
    <row r="10" spans="1:16" ht="13.5" thickTop="1">
      <c r="L10" s="1"/>
      <c r="M10" s="1"/>
      <c r="N10" s="1"/>
      <c r="O10" s="1"/>
      <c r="P10" s="1"/>
    </row>
    <row r="11" spans="1:16">
      <c r="A11" s="12"/>
      <c r="C11" s="9" t="s">
        <v>23</v>
      </c>
      <c r="D11" s="9"/>
      <c r="E11" s="9" t="s">
        <v>33</v>
      </c>
      <c r="L11" s="1"/>
      <c r="M11" s="1"/>
      <c r="N11" s="1"/>
      <c r="O11" s="1"/>
      <c r="P11" s="1"/>
    </row>
    <row r="12" spans="1:16">
      <c r="A12" s="12"/>
      <c r="C12" s="4" t="s">
        <v>32</v>
      </c>
      <c r="D12" s="9"/>
      <c r="E12" s="4" t="s">
        <v>17</v>
      </c>
      <c r="L12" s="1"/>
      <c r="M12" s="1"/>
      <c r="N12" s="1"/>
      <c r="O12" s="1"/>
      <c r="P12" s="1"/>
    </row>
    <row r="13" spans="1:16">
      <c r="A13" s="7" t="s">
        <v>265</v>
      </c>
      <c r="C13" s="10">
        <f>$G$9</f>
        <v>16692382</v>
      </c>
      <c r="D13" s="10"/>
      <c r="E13" s="10">
        <f t="shared" ref="E13:E25" si="0">ROUND(C13*$G$44,0)</f>
        <v>154071</v>
      </c>
      <c r="L13" s="1"/>
      <c r="M13" s="1"/>
      <c r="N13" s="1"/>
      <c r="O13" s="1"/>
      <c r="P13" s="1"/>
    </row>
    <row r="14" spans="1:16">
      <c r="A14" s="7" t="s">
        <v>266</v>
      </c>
      <c r="C14" s="1">
        <f t="shared" ref="C14:C25" si="1">$G$9</f>
        <v>16692382</v>
      </c>
      <c r="D14" s="1"/>
      <c r="E14" s="1">
        <f t="shared" si="0"/>
        <v>154071</v>
      </c>
      <c r="L14" s="1"/>
      <c r="M14" s="1"/>
      <c r="N14" s="1"/>
      <c r="O14" s="1"/>
      <c r="P14" s="1"/>
    </row>
    <row r="15" spans="1:16">
      <c r="A15" s="7" t="s">
        <v>4</v>
      </c>
      <c r="C15" s="1">
        <f t="shared" si="1"/>
        <v>16692382</v>
      </c>
      <c r="D15" s="1"/>
      <c r="E15" s="1">
        <f t="shared" si="0"/>
        <v>154071</v>
      </c>
      <c r="L15" s="1"/>
      <c r="M15" s="1"/>
      <c r="N15" s="1"/>
      <c r="O15" s="1"/>
      <c r="P15" s="1"/>
    </row>
    <row r="16" spans="1:16">
      <c r="A16" s="7" t="s">
        <v>5</v>
      </c>
      <c r="C16" s="1">
        <f t="shared" si="1"/>
        <v>16692382</v>
      </c>
      <c r="D16" s="1"/>
      <c r="E16" s="1">
        <f t="shared" si="0"/>
        <v>154071</v>
      </c>
      <c r="L16" s="1"/>
      <c r="M16" s="1"/>
      <c r="N16" s="1"/>
      <c r="O16" s="1"/>
      <c r="P16" s="1"/>
    </row>
    <row r="17" spans="1:16">
      <c r="A17" s="7" t="s">
        <v>6</v>
      </c>
      <c r="C17" s="1">
        <f t="shared" si="1"/>
        <v>16692382</v>
      </c>
      <c r="D17" s="1"/>
      <c r="E17" s="1">
        <f t="shared" si="0"/>
        <v>154071</v>
      </c>
      <c r="L17" s="1"/>
      <c r="M17" s="1"/>
      <c r="N17" s="1"/>
      <c r="O17" s="1"/>
      <c r="P17" s="1"/>
    </row>
    <row r="18" spans="1:16">
      <c r="A18" s="7" t="s">
        <v>7</v>
      </c>
      <c r="C18" s="1">
        <f t="shared" si="1"/>
        <v>16692382</v>
      </c>
      <c r="D18" s="1"/>
      <c r="E18" s="1">
        <f t="shared" si="0"/>
        <v>154071</v>
      </c>
      <c r="L18" s="1"/>
      <c r="M18" s="1"/>
      <c r="N18" s="1"/>
      <c r="O18" s="1"/>
      <c r="P18" s="1"/>
    </row>
    <row r="19" spans="1:16">
      <c r="A19" s="7" t="s">
        <v>8</v>
      </c>
      <c r="C19" s="1">
        <f t="shared" si="1"/>
        <v>16692382</v>
      </c>
      <c r="D19" s="1"/>
      <c r="E19" s="1">
        <f t="shared" si="0"/>
        <v>154071</v>
      </c>
      <c r="L19" s="1"/>
      <c r="M19" s="1"/>
      <c r="N19" s="1"/>
      <c r="O19" s="1"/>
      <c r="P19" s="1"/>
    </row>
    <row r="20" spans="1:16">
      <c r="A20" s="7" t="s">
        <v>9</v>
      </c>
      <c r="C20" s="1">
        <f t="shared" si="1"/>
        <v>16692382</v>
      </c>
      <c r="D20" s="1"/>
      <c r="E20" s="1">
        <f t="shared" si="0"/>
        <v>154071</v>
      </c>
      <c r="L20" s="1"/>
      <c r="M20" s="1"/>
      <c r="N20" s="1"/>
      <c r="O20" s="1"/>
      <c r="P20" s="1"/>
    </row>
    <row r="21" spans="1:16">
      <c r="A21" s="7" t="s">
        <v>10</v>
      </c>
      <c r="C21" s="1">
        <f t="shared" si="1"/>
        <v>16692382</v>
      </c>
      <c r="D21" s="1"/>
      <c r="E21" s="1">
        <f t="shared" si="0"/>
        <v>154071</v>
      </c>
      <c r="L21" s="1"/>
      <c r="M21" s="1"/>
      <c r="N21" s="1"/>
      <c r="O21" s="1"/>
      <c r="P21" s="1"/>
    </row>
    <row r="22" spans="1:16">
      <c r="A22" s="7" t="s">
        <v>11</v>
      </c>
      <c r="C22" s="1">
        <f t="shared" si="1"/>
        <v>16692382</v>
      </c>
      <c r="D22" s="1"/>
      <c r="E22" s="1">
        <f t="shared" si="0"/>
        <v>154071</v>
      </c>
      <c r="L22" s="1"/>
      <c r="M22" s="1"/>
      <c r="N22" s="1"/>
      <c r="O22" s="1"/>
      <c r="P22" s="1"/>
    </row>
    <row r="23" spans="1:16">
      <c r="A23" s="7" t="s">
        <v>12</v>
      </c>
      <c r="C23" s="1">
        <f t="shared" si="1"/>
        <v>16692382</v>
      </c>
      <c r="D23" s="1"/>
      <c r="E23" s="1">
        <f t="shared" si="0"/>
        <v>154071</v>
      </c>
      <c r="L23" s="1"/>
      <c r="M23" s="1"/>
      <c r="N23" s="1"/>
      <c r="O23" s="1"/>
      <c r="P23" s="1"/>
    </row>
    <row r="24" spans="1:16">
      <c r="A24" s="7" t="s">
        <v>13</v>
      </c>
      <c r="C24" s="1">
        <f t="shared" si="1"/>
        <v>16692382</v>
      </c>
      <c r="D24" s="1"/>
      <c r="E24" s="1">
        <f t="shared" si="0"/>
        <v>154071</v>
      </c>
      <c r="L24" s="1"/>
      <c r="M24" s="1"/>
      <c r="N24" s="1"/>
      <c r="O24" s="1"/>
      <c r="P24" s="1"/>
    </row>
    <row r="25" spans="1:16">
      <c r="A25" s="7" t="s">
        <v>14</v>
      </c>
      <c r="C25" s="1">
        <f t="shared" si="1"/>
        <v>16692382</v>
      </c>
      <c r="D25" s="1"/>
      <c r="E25" s="1">
        <f t="shared" si="0"/>
        <v>154071</v>
      </c>
    </row>
    <row r="26" spans="1:16">
      <c r="A26" t="s">
        <v>15</v>
      </c>
      <c r="C26" s="13"/>
      <c r="D26" s="1"/>
      <c r="E26" s="77">
        <f>ROUND(AVERAGE(E13:E25),0)</f>
        <v>154071</v>
      </c>
      <c r="I26" s="1"/>
    </row>
    <row r="27" spans="1:16">
      <c r="I27" s="1"/>
    </row>
    <row r="28" spans="1:16">
      <c r="C28" s="17" t="s">
        <v>34</v>
      </c>
      <c r="E28" s="9" t="s">
        <v>33</v>
      </c>
      <c r="I28" s="17" t="s">
        <v>41</v>
      </c>
    </row>
    <row r="29" spans="1:16">
      <c r="C29" s="17" t="s">
        <v>31</v>
      </c>
      <c r="E29" s="9" t="s">
        <v>17</v>
      </c>
      <c r="G29" s="9" t="s">
        <v>36</v>
      </c>
      <c r="I29" s="17" t="s">
        <v>31</v>
      </c>
      <c r="K29" s="9" t="s">
        <v>89</v>
      </c>
    </row>
    <row r="30" spans="1:16">
      <c r="C30" s="18" t="s">
        <v>38</v>
      </c>
      <c r="E30" s="4" t="s">
        <v>416</v>
      </c>
      <c r="G30" s="4" t="s">
        <v>37</v>
      </c>
      <c r="I30" s="18" t="s">
        <v>415</v>
      </c>
      <c r="K30" s="4" t="s">
        <v>32</v>
      </c>
    </row>
    <row r="31" spans="1:16">
      <c r="A31" s="7" t="s">
        <v>270</v>
      </c>
      <c r="C31" s="1">
        <v>12536172.960000001</v>
      </c>
      <c r="E31" s="1">
        <v>65636</v>
      </c>
      <c r="F31" s="1"/>
      <c r="G31" s="1"/>
      <c r="I31" s="53">
        <v>13422242</v>
      </c>
      <c r="K31" s="19">
        <f>ROUND(C31/I31,5)</f>
        <v>0.93398999999999999</v>
      </c>
    </row>
    <row r="32" spans="1:16">
      <c r="A32" s="7" t="s">
        <v>184</v>
      </c>
      <c r="C32" s="1">
        <v>12324443.73</v>
      </c>
      <c r="E32" s="1">
        <v>117764</v>
      </c>
      <c r="F32" s="1"/>
      <c r="G32" s="1"/>
      <c r="I32" s="53">
        <v>13183727.6</v>
      </c>
      <c r="K32" s="19">
        <f t="shared" ref="K32:K43" si="2">ROUND(C32/I32,5)</f>
        <v>0.93481999999999998</v>
      </c>
    </row>
    <row r="33" spans="1:14">
      <c r="A33" s="7" t="s">
        <v>4</v>
      </c>
      <c r="C33" s="1">
        <v>12378419.580000002</v>
      </c>
      <c r="E33" s="1">
        <v>118280</v>
      </c>
      <c r="F33" s="1"/>
      <c r="G33" s="1"/>
      <c r="I33" s="53">
        <v>13144895.640000001</v>
      </c>
      <c r="K33" s="19">
        <f t="shared" si="2"/>
        <v>0.94169000000000003</v>
      </c>
    </row>
    <row r="34" spans="1:14">
      <c r="A34" s="7" t="s">
        <v>5</v>
      </c>
      <c r="C34" s="1">
        <v>12933306.57</v>
      </c>
      <c r="E34" s="1">
        <v>123582</v>
      </c>
      <c r="F34" s="1"/>
      <c r="G34" s="1"/>
      <c r="I34" s="53">
        <v>13719423.369999999</v>
      </c>
      <c r="K34" s="19">
        <f t="shared" si="2"/>
        <v>0.94269999999999998</v>
      </c>
    </row>
    <row r="35" spans="1:14">
      <c r="A35" s="7" t="s">
        <v>6</v>
      </c>
      <c r="C35" s="1">
        <v>12856972.879999999</v>
      </c>
      <c r="E35" s="1">
        <v>122852</v>
      </c>
      <c r="F35" s="1"/>
      <c r="G35" s="1"/>
      <c r="I35" s="53">
        <v>13809271.960000001</v>
      </c>
      <c r="K35" s="19">
        <f t="shared" si="2"/>
        <v>0.93103999999999998</v>
      </c>
    </row>
    <row r="36" spans="1:14">
      <c r="A36" s="7" t="s">
        <v>7</v>
      </c>
      <c r="C36" s="1">
        <v>12863596.84</v>
      </c>
      <c r="E36" s="1">
        <v>122916</v>
      </c>
      <c r="F36" s="1"/>
      <c r="G36" s="1"/>
      <c r="I36" s="53">
        <v>13873641.02</v>
      </c>
      <c r="K36" s="19">
        <f t="shared" si="2"/>
        <v>0.92720000000000002</v>
      </c>
    </row>
    <row r="37" spans="1:14">
      <c r="A37" s="7" t="s">
        <v>8</v>
      </c>
      <c r="C37" s="1">
        <v>12926943.429999998</v>
      </c>
      <c r="E37" s="1">
        <v>123521</v>
      </c>
      <c r="F37" s="1"/>
      <c r="G37" s="1"/>
      <c r="I37" s="53">
        <v>13891568.98</v>
      </c>
      <c r="K37" s="19">
        <f t="shared" si="2"/>
        <v>0.93056000000000005</v>
      </c>
    </row>
    <row r="38" spans="1:14">
      <c r="A38" s="7" t="s">
        <v>9</v>
      </c>
      <c r="C38" s="1">
        <v>12934162.439999999</v>
      </c>
      <c r="E38" s="1">
        <v>123590</v>
      </c>
      <c r="F38" s="1"/>
      <c r="G38" s="1"/>
      <c r="I38" s="53">
        <v>13859517.34</v>
      </c>
      <c r="K38" s="19">
        <f t="shared" si="2"/>
        <v>0.93323</v>
      </c>
    </row>
    <row r="39" spans="1:14">
      <c r="A39" s="7" t="s">
        <v>10</v>
      </c>
      <c r="C39" s="1">
        <v>12877763.17</v>
      </c>
      <c r="E39" s="1">
        <v>123051</v>
      </c>
      <c r="F39" s="1"/>
      <c r="G39" s="1"/>
      <c r="I39" s="53">
        <v>13805534.68</v>
      </c>
      <c r="K39" s="19">
        <f t="shared" si="2"/>
        <v>0.93279999999999996</v>
      </c>
    </row>
    <row r="40" spans="1:14">
      <c r="A40" s="7" t="s">
        <v>11</v>
      </c>
      <c r="C40" s="1">
        <v>12838105.530000001</v>
      </c>
      <c r="E40" s="1">
        <v>122672</v>
      </c>
      <c r="F40" s="1"/>
      <c r="G40" s="1"/>
      <c r="I40" s="53">
        <v>13731627.300000001</v>
      </c>
      <c r="K40" s="19">
        <f t="shared" si="2"/>
        <v>0.93493000000000004</v>
      </c>
    </row>
    <row r="41" spans="1:14">
      <c r="A41" s="7" t="s">
        <v>12</v>
      </c>
      <c r="C41" s="1">
        <v>12689967.630000001</v>
      </c>
      <c r="E41" s="1">
        <v>121256</v>
      </c>
      <c r="F41" s="1"/>
      <c r="G41" s="1"/>
      <c r="I41" s="53">
        <v>13563948.17</v>
      </c>
      <c r="K41" s="19">
        <f t="shared" si="2"/>
        <v>0.93557000000000001</v>
      </c>
    </row>
    <row r="42" spans="1:14">
      <c r="A42" s="7" t="s">
        <v>13</v>
      </c>
      <c r="C42" s="1">
        <v>12516196.299999999</v>
      </c>
      <c r="E42" s="1">
        <v>119596</v>
      </c>
      <c r="F42" s="1"/>
      <c r="G42" s="1"/>
      <c r="I42" s="53">
        <v>13406412.560000001</v>
      </c>
      <c r="K42" s="19">
        <f t="shared" si="2"/>
        <v>0.93359999999999999</v>
      </c>
    </row>
    <row r="43" spans="1:14">
      <c r="A43" s="7" t="s">
        <v>14</v>
      </c>
      <c r="C43" s="1">
        <v>11724449.629999999</v>
      </c>
      <c r="E43" s="1">
        <v>112031</v>
      </c>
      <c r="F43" s="1"/>
      <c r="G43" s="1"/>
      <c r="I43" s="53">
        <v>12578031.960000001</v>
      </c>
      <c r="K43" s="19">
        <f t="shared" si="2"/>
        <v>0.93213999999999997</v>
      </c>
    </row>
    <row r="44" spans="1:14" ht="13.5" thickBot="1">
      <c r="A44" t="s">
        <v>15</v>
      </c>
      <c r="C44" s="2">
        <f>ROUND(AVERAGE(C31:C43),0)</f>
        <v>12646192</v>
      </c>
      <c r="E44" s="2">
        <f>ROUND(AVERAGE(E31:E43),0)</f>
        <v>116673</v>
      </c>
      <c r="F44" s="1"/>
      <c r="G44" s="20">
        <f>ROUND(E44/C44,5)</f>
        <v>9.2300000000000004E-3</v>
      </c>
      <c r="I44" s="13"/>
      <c r="K44" s="20">
        <f>ROUND(AVERAGE(K31:K43),5)</f>
        <v>0.93416999999999994</v>
      </c>
    </row>
    <row r="45" spans="1:14" ht="13.5" thickTop="1">
      <c r="C45" s="16"/>
      <c r="E45" s="1"/>
      <c r="F45" s="1"/>
      <c r="G45" s="1"/>
    </row>
    <row r="47" spans="1:14">
      <c r="A47" s="64"/>
      <c r="B47" s="64"/>
      <c r="C47" s="64"/>
      <c r="D47" s="64"/>
      <c r="E47" s="64"/>
      <c r="F47" s="64"/>
      <c r="H47" s="64"/>
      <c r="I47" s="64"/>
      <c r="J47" s="64"/>
      <c r="K47" s="64"/>
      <c r="L47" s="64"/>
      <c r="M47" s="64"/>
      <c r="N47" s="64"/>
    </row>
    <row r="48" spans="1:14">
      <c r="A48" s="64"/>
      <c r="B48" s="64"/>
      <c r="C48" s="64"/>
      <c r="D48" s="64"/>
      <c r="E48" s="64"/>
      <c r="F48" s="64"/>
      <c r="H48" s="64"/>
      <c r="I48" s="64"/>
      <c r="J48" s="64"/>
      <c r="K48" s="64"/>
      <c r="L48" s="64"/>
      <c r="M48" s="64"/>
      <c r="N48" s="64"/>
    </row>
    <row r="49" spans="1:14">
      <c r="A49" s="64"/>
      <c r="B49" s="64"/>
      <c r="C49" s="64"/>
      <c r="D49" s="64"/>
      <c r="E49" s="64"/>
      <c r="F49" s="64"/>
      <c r="H49" s="64"/>
      <c r="I49" s="64"/>
      <c r="J49" s="64"/>
      <c r="K49" s="64"/>
      <c r="L49" s="64"/>
      <c r="M49" s="64"/>
      <c r="N49" s="64"/>
    </row>
    <row r="50" spans="1:14">
      <c r="A50" s="64"/>
      <c r="B50" s="64"/>
      <c r="C50" s="64"/>
      <c r="D50" s="64"/>
      <c r="E50" s="64"/>
      <c r="F50" s="64"/>
      <c r="H50" s="64"/>
      <c r="I50" s="64"/>
      <c r="J50" s="64"/>
      <c r="K50" s="64"/>
      <c r="L50" s="64"/>
      <c r="M50" s="64"/>
      <c r="N50" s="64"/>
    </row>
    <row r="51" spans="1:14" hidden="1">
      <c r="A51" s="64"/>
      <c r="B51" s="64"/>
      <c r="C51" s="64"/>
      <c r="D51" s="64"/>
      <c r="E51" s="64"/>
      <c r="F51" s="64"/>
      <c r="H51" s="64"/>
      <c r="I51" s="64"/>
      <c r="J51" s="64"/>
      <c r="K51" s="64"/>
      <c r="L51" s="64"/>
      <c r="M51" s="64"/>
      <c r="N51" s="64"/>
    </row>
    <row r="52" spans="1:14" s="64" customFormat="1">
      <c r="G52" s="16"/>
    </row>
    <row r="53" spans="1:14" s="64" customFormat="1">
      <c r="G53" s="16"/>
    </row>
    <row r="54" spans="1:14" s="64" customFormat="1">
      <c r="G54" s="16"/>
    </row>
    <row r="55" spans="1:14" s="64" customFormat="1">
      <c r="G55" s="16"/>
    </row>
    <row r="56" spans="1:14">
      <c r="A56" s="64"/>
      <c r="B56" s="64"/>
      <c r="C56" s="64"/>
      <c r="D56" s="64"/>
      <c r="E56" s="64"/>
      <c r="F56" s="64"/>
      <c r="H56" s="64"/>
      <c r="I56" s="64"/>
      <c r="J56" s="64"/>
      <c r="K56" s="64"/>
      <c r="L56" s="64"/>
      <c r="M56" s="64"/>
      <c r="N56" s="64"/>
    </row>
    <row r="57" spans="1:14">
      <c r="A57" s="64"/>
      <c r="B57" s="64"/>
      <c r="C57" s="64"/>
      <c r="D57" s="64"/>
      <c r="E57" s="64"/>
      <c r="F57" s="64"/>
      <c r="H57" s="64"/>
      <c r="I57" s="64"/>
      <c r="J57" s="64"/>
      <c r="K57" s="64"/>
      <c r="L57" s="64"/>
      <c r="M57" s="64"/>
      <c r="N57" s="64"/>
    </row>
    <row r="58" spans="1:14">
      <c r="A58" s="64"/>
      <c r="B58" s="64"/>
      <c r="C58" s="64"/>
      <c r="D58" s="64"/>
      <c r="E58" s="64"/>
      <c r="F58" s="64"/>
      <c r="H58" s="64"/>
      <c r="I58" s="64"/>
      <c r="J58" s="64"/>
      <c r="K58" s="64"/>
      <c r="L58" s="64"/>
      <c r="M58" s="64"/>
      <c r="N58" s="64"/>
    </row>
    <row r="59" spans="1:14">
      <c r="A59" s="64"/>
      <c r="B59" s="64"/>
      <c r="C59" s="64"/>
      <c r="D59" s="64"/>
      <c r="E59" s="64"/>
      <c r="F59" s="64"/>
      <c r="H59" s="64"/>
      <c r="I59" s="64"/>
      <c r="J59" s="64"/>
      <c r="K59" s="64"/>
      <c r="L59" s="64"/>
      <c r="M59" s="64"/>
      <c r="N59" s="64"/>
    </row>
    <row r="60" spans="1:14">
      <c r="A60" s="64"/>
      <c r="B60" s="64"/>
      <c r="C60" s="64"/>
      <c r="D60" s="64"/>
      <c r="E60" s="64"/>
      <c r="F60" s="64"/>
      <c r="H60" s="64"/>
      <c r="I60" s="64"/>
      <c r="J60" s="64"/>
      <c r="K60" s="64"/>
      <c r="L60" s="64"/>
      <c r="M60" s="64"/>
      <c r="N60" s="64"/>
    </row>
    <row r="61" spans="1:14">
      <c r="A61" s="64"/>
      <c r="B61" s="64"/>
      <c r="C61" s="64"/>
      <c r="D61" s="64"/>
      <c r="E61" s="64"/>
      <c r="F61" s="64"/>
      <c r="H61" s="64"/>
      <c r="I61" s="64"/>
      <c r="J61" s="64"/>
      <c r="K61" s="64"/>
      <c r="L61" s="64"/>
      <c r="M61" s="64"/>
      <c r="N61" s="64"/>
    </row>
    <row r="62" spans="1:14">
      <c r="A62" s="64"/>
      <c r="B62" s="64"/>
      <c r="C62" s="64"/>
      <c r="D62" s="64"/>
      <c r="E62" s="64"/>
      <c r="F62" s="64"/>
      <c r="H62" s="64"/>
      <c r="I62" s="64"/>
      <c r="J62" s="64"/>
      <c r="K62" s="64"/>
      <c r="L62" s="64"/>
      <c r="M62" s="64"/>
      <c r="N62" s="64"/>
    </row>
    <row r="63" spans="1:14">
      <c r="A63" s="64"/>
      <c r="B63" s="64"/>
      <c r="C63" s="64"/>
      <c r="D63" s="64"/>
      <c r="E63" s="64"/>
      <c r="F63" s="64"/>
      <c r="H63" s="64"/>
      <c r="I63" s="64"/>
      <c r="J63" s="64"/>
      <c r="K63" s="64"/>
      <c r="L63" s="64"/>
      <c r="M63" s="64"/>
      <c r="N63" s="64"/>
    </row>
    <row r="64" spans="1:14">
      <c r="A64" s="64"/>
      <c r="B64" s="64"/>
      <c r="C64" s="64"/>
      <c r="D64" s="64"/>
      <c r="E64" s="64"/>
      <c r="F64" s="64"/>
      <c r="H64" s="64"/>
      <c r="I64" s="64"/>
      <c r="J64" s="64"/>
      <c r="K64" s="64"/>
      <c r="L64" s="64"/>
      <c r="M64" s="64"/>
      <c r="N64" s="64"/>
    </row>
    <row r="65" spans="1:14">
      <c r="A65" s="64"/>
      <c r="B65" s="64"/>
      <c r="C65" s="64"/>
      <c r="D65" s="64"/>
      <c r="E65" s="64"/>
      <c r="F65" s="64"/>
      <c r="H65" s="64"/>
      <c r="I65" s="64"/>
      <c r="J65" s="64"/>
      <c r="K65" s="64"/>
      <c r="L65" s="64"/>
      <c r="M65" s="64"/>
      <c r="N65" s="64"/>
    </row>
    <row r="66" spans="1:14">
      <c r="A66" s="64"/>
      <c r="B66" s="64"/>
      <c r="C66" s="64"/>
      <c r="D66" s="64"/>
      <c r="E66" s="64"/>
      <c r="F66" s="64"/>
      <c r="H66" s="64"/>
      <c r="I66" s="64"/>
      <c r="J66" s="64"/>
      <c r="K66" s="64"/>
      <c r="L66" s="64"/>
      <c r="M66" s="64"/>
      <c r="N66" s="64"/>
    </row>
    <row r="67" spans="1:14">
      <c r="A67" s="64"/>
      <c r="B67" s="64"/>
      <c r="C67" s="64"/>
      <c r="D67" s="64"/>
      <c r="E67" s="64"/>
      <c r="F67" s="64"/>
      <c r="H67" s="64"/>
      <c r="I67" s="64"/>
      <c r="J67" s="64"/>
      <c r="K67" s="64"/>
      <c r="L67" s="64"/>
      <c r="M67" s="64"/>
      <c r="N67" s="64"/>
    </row>
    <row r="68" spans="1:14">
      <c r="A68" s="64"/>
      <c r="B68" s="64"/>
      <c r="C68" s="64"/>
      <c r="D68" s="64"/>
      <c r="E68" s="64"/>
      <c r="F68" s="64"/>
      <c r="H68" s="64"/>
      <c r="I68" s="64"/>
      <c r="J68" s="64"/>
      <c r="K68" s="64"/>
      <c r="L68" s="64"/>
      <c r="M68" s="64"/>
      <c r="N68" s="64"/>
    </row>
    <row r="69" spans="1:14">
      <c r="A69" s="64"/>
      <c r="B69" s="64"/>
      <c r="C69" s="64"/>
      <c r="D69" s="64"/>
      <c r="E69" s="64"/>
      <c r="F69" s="64"/>
      <c r="H69" s="64"/>
      <c r="I69" s="64"/>
      <c r="J69" s="64"/>
      <c r="K69" s="64"/>
      <c r="L69" s="64"/>
      <c r="M69" s="64"/>
      <c r="N69" s="64"/>
    </row>
    <row r="70" spans="1:14">
      <c r="A70" s="64"/>
      <c r="B70" s="64"/>
      <c r="C70" s="64"/>
      <c r="D70" s="64"/>
      <c r="E70" s="64"/>
      <c r="F70" s="64"/>
      <c r="H70" s="64"/>
      <c r="I70" s="64"/>
      <c r="J70" s="64"/>
      <c r="K70" s="64"/>
      <c r="L70" s="64"/>
      <c r="M70" s="64"/>
      <c r="N70" s="64"/>
    </row>
    <row r="71" spans="1:14">
      <c r="A71" s="64"/>
      <c r="B71" s="64"/>
      <c r="C71" s="64"/>
      <c r="D71" s="64"/>
      <c r="E71" s="64"/>
      <c r="F71" s="64"/>
      <c r="H71" s="64"/>
      <c r="I71" s="64"/>
      <c r="J71" s="64"/>
      <c r="K71" s="64"/>
      <c r="L71" s="64"/>
      <c r="M71" s="64"/>
      <c r="N71" s="64"/>
    </row>
    <row r="72" spans="1:14">
      <c r="A72" s="64"/>
      <c r="B72" s="64"/>
      <c r="C72" s="64"/>
      <c r="D72" s="64"/>
      <c r="E72" s="64"/>
      <c r="F72" s="64"/>
      <c r="H72" s="64"/>
      <c r="I72" s="64"/>
      <c r="J72" s="64"/>
      <c r="K72" s="64"/>
      <c r="L72" s="64"/>
      <c r="M72" s="64"/>
      <c r="N72" s="64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3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0.7109375" bestFit="1" customWidth="1"/>
    <col min="4" max="4" width="2.7109375" customWidth="1"/>
    <col min="5" max="5" width="12.140625" bestFit="1" customWidth="1"/>
    <col min="6" max="6" width="2.7109375" customWidth="1"/>
    <col min="7" max="7" width="13.7109375" style="16" bestFit="1" customWidth="1"/>
    <col min="8" max="8" width="2.7109375" customWidth="1"/>
    <col min="9" max="9" width="11.42578125" bestFit="1" customWidth="1"/>
    <col min="10" max="10" width="2.7109375" customWidth="1"/>
    <col min="11" max="11" width="11.42578125" bestFit="1" customWidth="1"/>
    <col min="12" max="12" width="2.7109375" customWidth="1"/>
  </cols>
  <sheetData>
    <row r="1" spans="1:9">
      <c r="A1" s="3" t="s">
        <v>0</v>
      </c>
      <c r="B1" s="11"/>
      <c r="C1" s="11"/>
      <c r="D1" s="11"/>
      <c r="E1" s="11"/>
      <c r="F1" s="11"/>
      <c r="G1" s="11"/>
      <c r="H1" s="11"/>
      <c r="I1" s="11"/>
    </row>
    <row r="2" spans="1:9">
      <c r="A2" s="3" t="s">
        <v>2</v>
      </c>
      <c r="B2" s="11"/>
      <c r="C2" s="11"/>
      <c r="D2" s="11"/>
      <c r="E2" s="11"/>
      <c r="F2" s="11"/>
      <c r="G2" s="11"/>
      <c r="H2" s="11"/>
      <c r="I2" s="11"/>
    </row>
    <row r="3" spans="1:9">
      <c r="A3" s="3" t="s">
        <v>39</v>
      </c>
      <c r="B3" s="11"/>
      <c r="C3" s="11"/>
      <c r="D3" s="11"/>
      <c r="E3" s="11"/>
      <c r="F3" s="11"/>
      <c r="G3" s="11"/>
      <c r="H3" s="11"/>
      <c r="I3" s="11"/>
    </row>
    <row r="4" spans="1:9">
      <c r="A4" s="3" t="s">
        <v>262</v>
      </c>
      <c r="B4" s="11"/>
      <c r="C4" s="11"/>
      <c r="D4" s="11"/>
      <c r="E4" s="11"/>
      <c r="F4" s="11"/>
      <c r="G4" s="11"/>
      <c r="H4" s="11"/>
      <c r="I4" s="11"/>
    </row>
    <row r="5" spans="1:9">
      <c r="G5"/>
    </row>
    <row r="7" spans="1:9">
      <c r="A7" s="40"/>
      <c r="C7" s="41" t="s">
        <v>41</v>
      </c>
      <c r="D7" s="41"/>
      <c r="E7" s="42"/>
      <c r="F7" s="41"/>
      <c r="G7" s="41"/>
      <c r="I7" s="9" t="s">
        <v>23</v>
      </c>
    </row>
    <row r="8" spans="1:9">
      <c r="A8" s="9"/>
      <c r="C8" s="4" t="s">
        <v>90</v>
      </c>
      <c r="E8" s="18" t="s">
        <v>60</v>
      </c>
      <c r="G8" s="4" t="s">
        <v>22</v>
      </c>
      <c r="I8" s="4" t="s">
        <v>32</v>
      </c>
    </row>
    <row r="9" spans="1:9">
      <c r="A9" s="7" t="s">
        <v>265</v>
      </c>
      <c r="C9" s="129">
        <v>2007247</v>
      </c>
      <c r="D9" s="69"/>
      <c r="E9" s="69">
        <v>394656</v>
      </c>
      <c r="F9" s="10"/>
      <c r="G9" s="10">
        <f>SUM(C9:E9)</f>
        <v>2401903</v>
      </c>
      <c r="I9" s="10">
        <f>ROUND(G9*$I$41,0)</f>
        <v>2341543</v>
      </c>
    </row>
    <row r="10" spans="1:9">
      <c r="A10" s="7" t="s">
        <v>266</v>
      </c>
      <c r="C10" s="53">
        <f>C9</f>
        <v>2007247</v>
      </c>
      <c r="D10" s="53"/>
      <c r="E10" s="53">
        <f>E9</f>
        <v>394656</v>
      </c>
      <c r="G10" s="1">
        <f t="shared" ref="G10:G21" si="0">SUM(C10:E10)</f>
        <v>2401903</v>
      </c>
      <c r="I10" s="1">
        <f t="shared" ref="I10:I21" si="1">ROUND(G10*$I$41,0)</f>
        <v>2341543</v>
      </c>
    </row>
    <row r="11" spans="1:9">
      <c r="A11" s="7" t="s">
        <v>4</v>
      </c>
      <c r="C11" s="53">
        <f t="shared" ref="C11:C21" si="2">C10</f>
        <v>2007247</v>
      </c>
      <c r="D11" s="53"/>
      <c r="E11" s="53">
        <f t="shared" ref="E11:E21" si="3">E10</f>
        <v>394656</v>
      </c>
      <c r="G11" s="1">
        <f t="shared" si="0"/>
        <v>2401903</v>
      </c>
      <c r="I11" s="1">
        <f t="shared" si="1"/>
        <v>2341543</v>
      </c>
    </row>
    <row r="12" spans="1:9">
      <c r="A12" s="7" t="s">
        <v>5</v>
      </c>
      <c r="C12" s="53">
        <f t="shared" si="2"/>
        <v>2007247</v>
      </c>
      <c r="D12" s="53"/>
      <c r="E12" s="53">
        <f t="shared" si="3"/>
        <v>394656</v>
      </c>
      <c r="G12" s="1">
        <f t="shared" si="0"/>
        <v>2401903</v>
      </c>
      <c r="I12" s="1">
        <f t="shared" si="1"/>
        <v>2341543</v>
      </c>
    </row>
    <row r="13" spans="1:9">
      <c r="A13" s="7" t="s">
        <v>6</v>
      </c>
      <c r="C13" s="53">
        <f t="shared" si="2"/>
        <v>2007247</v>
      </c>
      <c r="D13" s="53"/>
      <c r="E13" s="53">
        <f t="shared" si="3"/>
        <v>394656</v>
      </c>
      <c r="G13" s="1">
        <f t="shared" si="0"/>
        <v>2401903</v>
      </c>
      <c r="I13" s="1">
        <f t="shared" si="1"/>
        <v>2341543</v>
      </c>
    </row>
    <row r="14" spans="1:9">
      <c r="A14" s="7" t="s">
        <v>7</v>
      </c>
      <c r="C14" s="53">
        <f t="shared" si="2"/>
        <v>2007247</v>
      </c>
      <c r="D14" s="53"/>
      <c r="E14" s="53">
        <f t="shared" si="3"/>
        <v>394656</v>
      </c>
      <c r="G14" s="1">
        <f t="shared" si="0"/>
        <v>2401903</v>
      </c>
      <c r="I14" s="1">
        <f t="shared" si="1"/>
        <v>2341543</v>
      </c>
    </row>
    <row r="15" spans="1:9">
      <c r="A15" s="7" t="s">
        <v>8</v>
      </c>
      <c r="C15" s="53">
        <f t="shared" si="2"/>
        <v>2007247</v>
      </c>
      <c r="D15" s="53"/>
      <c r="E15" s="53">
        <f t="shared" si="3"/>
        <v>394656</v>
      </c>
      <c r="G15" s="1">
        <f t="shared" si="0"/>
        <v>2401903</v>
      </c>
      <c r="I15" s="1">
        <f t="shared" si="1"/>
        <v>2341543</v>
      </c>
    </row>
    <row r="16" spans="1:9">
      <c r="A16" s="7" t="s">
        <v>9</v>
      </c>
      <c r="C16" s="53">
        <f t="shared" si="2"/>
        <v>2007247</v>
      </c>
      <c r="D16" s="53"/>
      <c r="E16" s="53">
        <f t="shared" si="3"/>
        <v>394656</v>
      </c>
      <c r="G16" s="1">
        <f t="shared" si="0"/>
        <v>2401903</v>
      </c>
      <c r="I16" s="1">
        <f t="shared" si="1"/>
        <v>2341543</v>
      </c>
    </row>
    <row r="17" spans="1:9">
      <c r="A17" s="7" t="s">
        <v>10</v>
      </c>
      <c r="C17" s="53">
        <f t="shared" si="2"/>
        <v>2007247</v>
      </c>
      <c r="D17" s="53"/>
      <c r="E17" s="53">
        <f t="shared" si="3"/>
        <v>394656</v>
      </c>
      <c r="G17" s="1">
        <f t="shared" si="0"/>
        <v>2401903</v>
      </c>
      <c r="I17" s="1">
        <f t="shared" si="1"/>
        <v>2341543</v>
      </c>
    </row>
    <row r="18" spans="1:9">
      <c r="A18" s="7" t="s">
        <v>11</v>
      </c>
      <c r="C18" s="53">
        <f t="shared" si="2"/>
        <v>2007247</v>
      </c>
      <c r="D18" s="53"/>
      <c r="E18" s="53">
        <f t="shared" si="3"/>
        <v>394656</v>
      </c>
      <c r="G18" s="1">
        <f t="shared" si="0"/>
        <v>2401903</v>
      </c>
      <c r="I18" s="1">
        <f t="shared" si="1"/>
        <v>2341543</v>
      </c>
    </row>
    <row r="19" spans="1:9">
      <c r="A19" s="7" t="s">
        <v>12</v>
      </c>
      <c r="C19" s="53">
        <f t="shared" si="2"/>
        <v>2007247</v>
      </c>
      <c r="D19" s="53"/>
      <c r="E19" s="53">
        <f t="shared" si="3"/>
        <v>394656</v>
      </c>
      <c r="G19" s="1">
        <f t="shared" si="0"/>
        <v>2401903</v>
      </c>
      <c r="I19" s="1">
        <f t="shared" si="1"/>
        <v>2341543</v>
      </c>
    </row>
    <row r="20" spans="1:9">
      <c r="A20" s="7" t="s">
        <v>13</v>
      </c>
      <c r="C20" s="53">
        <f t="shared" si="2"/>
        <v>2007247</v>
      </c>
      <c r="D20" s="53"/>
      <c r="E20" s="53">
        <f t="shared" si="3"/>
        <v>394656</v>
      </c>
      <c r="G20" s="1">
        <f t="shared" si="0"/>
        <v>2401903</v>
      </c>
      <c r="I20" s="1">
        <f t="shared" si="1"/>
        <v>2341543</v>
      </c>
    </row>
    <row r="21" spans="1:9">
      <c r="A21" s="7" t="s">
        <v>14</v>
      </c>
      <c r="C21" s="53">
        <f t="shared" si="2"/>
        <v>2007247</v>
      </c>
      <c r="D21" s="53"/>
      <c r="E21" s="53">
        <f t="shared" si="3"/>
        <v>394656</v>
      </c>
      <c r="G21" s="1">
        <f t="shared" si="0"/>
        <v>2401903</v>
      </c>
      <c r="I21" s="1">
        <f t="shared" si="1"/>
        <v>2341543</v>
      </c>
    </row>
    <row r="22" spans="1:9">
      <c r="A22" s="93" t="s">
        <v>15</v>
      </c>
      <c r="B22" s="94"/>
      <c r="C22" s="95"/>
      <c r="D22" s="95"/>
      <c r="E22" s="95"/>
      <c r="F22" s="94"/>
      <c r="G22" s="95"/>
      <c r="H22" s="94"/>
      <c r="I22" s="96">
        <f>ROUND(AVERAGE(I9:I21),0)</f>
        <v>2341543</v>
      </c>
    </row>
    <row r="23" spans="1:9">
      <c r="C23" s="1"/>
      <c r="D23" s="1"/>
      <c r="E23" s="1"/>
      <c r="F23" s="1"/>
      <c r="G23" s="1"/>
      <c r="I23" s="1"/>
    </row>
    <row r="24" spans="1:9">
      <c r="C24" s="1"/>
      <c r="D24" s="1"/>
      <c r="E24" s="1"/>
      <c r="F24" s="1"/>
      <c r="G24" s="1"/>
    </row>
    <row r="25" spans="1:9">
      <c r="A25" s="41" t="s">
        <v>271</v>
      </c>
      <c r="B25" s="41"/>
      <c r="C25" s="41"/>
      <c r="D25" s="41"/>
      <c r="E25" s="41"/>
      <c r="F25" s="41"/>
      <c r="G25" s="42"/>
      <c r="H25" s="41"/>
      <c r="I25" s="41"/>
    </row>
    <row r="26" spans="1:9">
      <c r="C26" s="9" t="s">
        <v>22</v>
      </c>
      <c r="E26" s="9" t="s">
        <v>24</v>
      </c>
      <c r="G26" s="9" t="s">
        <v>23</v>
      </c>
      <c r="I26" s="17" t="s">
        <v>89</v>
      </c>
    </row>
    <row r="27" spans="1:9">
      <c r="C27" s="4" t="s">
        <v>25</v>
      </c>
      <c r="E27" s="4" t="s">
        <v>88</v>
      </c>
      <c r="G27" s="4" t="s">
        <v>32</v>
      </c>
      <c r="I27" s="18" t="s">
        <v>32</v>
      </c>
    </row>
    <row r="28" spans="1:9">
      <c r="A28" s="7" t="s">
        <v>270</v>
      </c>
      <c r="C28" s="1">
        <f>E28+G28</f>
        <v>1627234</v>
      </c>
      <c r="D28" s="1"/>
      <c r="E28" s="53">
        <v>17219</v>
      </c>
      <c r="F28" s="23"/>
      <c r="G28" s="53">
        <v>1610015</v>
      </c>
      <c r="I28" s="19">
        <f>ROUND(G28/C28,5)</f>
        <v>0.98941999999999997</v>
      </c>
    </row>
    <row r="29" spans="1:9">
      <c r="A29" s="7" t="s">
        <v>184</v>
      </c>
      <c r="C29" s="1">
        <f t="shared" ref="C29:C40" si="4">E29+G29</f>
        <v>2312062</v>
      </c>
      <c r="D29" s="1"/>
      <c r="E29" s="53">
        <v>64196</v>
      </c>
      <c r="F29" s="23"/>
      <c r="G29" s="53">
        <v>2247866</v>
      </c>
      <c r="I29" s="19">
        <f t="shared" ref="I29:I40" si="5">ROUND(G29/C29,5)</f>
        <v>0.97223000000000004</v>
      </c>
    </row>
    <row r="30" spans="1:9">
      <c r="A30" s="7" t="s">
        <v>4</v>
      </c>
      <c r="C30" s="1">
        <f t="shared" si="4"/>
        <v>3096363</v>
      </c>
      <c r="D30" s="1"/>
      <c r="E30" s="53">
        <v>104973</v>
      </c>
      <c r="F30" s="23"/>
      <c r="G30" s="53">
        <v>2991390</v>
      </c>
      <c r="I30" s="19">
        <f t="shared" si="5"/>
        <v>0.96609999999999996</v>
      </c>
    </row>
    <row r="31" spans="1:9">
      <c r="A31" s="7" t="s">
        <v>5</v>
      </c>
      <c r="C31" s="1">
        <f t="shared" si="4"/>
        <v>2800952</v>
      </c>
      <c r="D31" s="1"/>
      <c r="E31" s="53">
        <v>96304</v>
      </c>
      <c r="F31" s="23"/>
      <c r="G31" s="53">
        <v>2704648</v>
      </c>
      <c r="I31" s="19">
        <f t="shared" si="5"/>
        <v>0.96562000000000003</v>
      </c>
    </row>
    <row r="32" spans="1:9">
      <c r="A32" s="7" t="s">
        <v>6</v>
      </c>
      <c r="C32" s="1">
        <f t="shared" si="4"/>
        <v>2750624</v>
      </c>
      <c r="D32" s="1"/>
      <c r="E32" s="53">
        <v>85773</v>
      </c>
      <c r="F32" s="23"/>
      <c r="G32" s="53">
        <v>2664851</v>
      </c>
      <c r="I32" s="19">
        <f t="shared" si="5"/>
        <v>0.96882000000000001</v>
      </c>
    </row>
    <row r="33" spans="1:11">
      <c r="A33" s="7" t="s">
        <v>7</v>
      </c>
      <c r="C33" s="1">
        <f t="shared" si="4"/>
        <v>2433737</v>
      </c>
      <c r="D33" s="1"/>
      <c r="E33" s="53">
        <v>74873</v>
      </c>
      <c r="F33" s="23"/>
      <c r="G33" s="53">
        <v>2358864</v>
      </c>
      <c r="I33" s="19">
        <f t="shared" si="5"/>
        <v>0.96923999999999999</v>
      </c>
    </row>
    <row r="34" spans="1:11">
      <c r="A34" s="7" t="s">
        <v>8</v>
      </c>
      <c r="C34" s="1">
        <f t="shared" si="4"/>
        <v>2110988</v>
      </c>
      <c r="D34" s="1"/>
      <c r="E34" s="53">
        <v>63973</v>
      </c>
      <c r="F34" s="23"/>
      <c r="G34" s="53">
        <v>2047015</v>
      </c>
      <c r="I34" s="19">
        <f t="shared" si="5"/>
        <v>0.96970000000000001</v>
      </c>
    </row>
    <row r="35" spans="1:11">
      <c r="A35" s="7" t="s">
        <v>9</v>
      </c>
      <c r="C35" s="1">
        <f t="shared" si="4"/>
        <v>1800044</v>
      </c>
      <c r="D35" s="1"/>
      <c r="E35" s="53">
        <v>53073</v>
      </c>
      <c r="F35" s="23"/>
      <c r="G35" s="53">
        <v>1746971</v>
      </c>
      <c r="I35" s="19">
        <f t="shared" si="5"/>
        <v>0.97052000000000005</v>
      </c>
    </row>
    <row r="36" spans="1:11">
      <c r="A36" s="7" t="s">
        <v>10</v>
      </c>
      <c r="C36" s="1">
        <f t="shared" si="4"/>
        <v>1574156</v>
      </c>
      <c r="D36" s="1"/>
      <c r="E36" s="53">
        <v>42173</v>
      </c>
      <c r="F36" s="23"/>
      <c r="G36" s="53">
        <v>1531983</v>
      </c>
      <c r="I36" s="19">
        <f t="shared" si="5"/>
        <v>0.97321000000000002</v>
      </c>
    </row>
    <row r="37" spans="1:11">
      <c r="A37" s="7" t="s">
        <v>11</v>
      </c>
      <c r="C37" s="1">
        <f t="shared" si="4"/>
        <v>1259220</v>
      </c>
      <c r="D37" s="1"/>
      <c r="E37" s="53">
        <v>31273</v>
      </c>
      <c r="F37" s="23"/>
      <c r="G37" s="53">
        <v>1227947</v>
      </c>
      <c r="I37" s="19">
        <f t="shared" si="5"/>
        <v>0.97516000000000003</v>
      </c>
    </row>
    <row r="38" spans="1:11">
      <c r="A38" s="7" t="s">
        <v>12</v>
      </c>
      <c r="C38" s="1">
        <f t="shared" si="4"/>
        <v>920428</v>
      </c>
      <c r="D38" s="1"/>
      <c r="E38" s="53">
        <v>20373</v>
      </c>
      <c r="F38" s="23"/>
      <c r="G38" s="53">
        <v>900055</v>
      </c>
      <c r="I38" s="19">
        <f t="shared" si="5"/>
        <v>0.97787000000000002</v>
      </c>
    </row>
    <row r="39" spans="1:11">
      <c r="A39" s="7" t="s">
        <v>13</v>
      </c>
      <c r="C39" s="1">
        <f t="shared" si="4"/>
        <v>1231017</v>
      </c>
      <c r="D39" s="1"/>
      <c r="E39" s="53">
        <v>21815</v>
      </c>
      <c r="F39" s="23"/>
      <c r="G39" s="53">
        <v>1209202</v>
      </c>
      <c r="I39" s="19">
        <f t="shared" si="5"/>
        <v>0.98228000000000004</v>
      </c>
    </row>
    <row r="40" spans="1:11">
      <c r="A40" s="7" t="s">
        <v>14</v>
      </c>
      <c r="C40" s="1">
        <f t="shared" si="4"/>
        <v>1607122</v>
      </c>
      <c r="D40" s="1"/>
      <c r="E40" s="53">
        <v>10929</v>
      </c>
      <c r="F40" s="23"/>
      <c r="G40" s="53">
        <v>1596193</v>
      </c>
      <c r="I40" s="19">
        <f t="shared" si="5"/>
        <v>0.99319999999999997</v>
      </c>
    </row>
    <row r="41" spans="1:11">
      <c r="C41" s="1"/>
      <c r="D41" s="1"/>
      <c r="E41" s="1"/>
      <c r="G41" s="19"/>
      <c r="I41" s="20">
        <f>ROUND(AVERAGE(I28:I40),5)</f>
        <v>0.97487000000000001</v>
      </c>
    </row>
    <row r="42" spans="1:11">
      <c r="E42" s="64"/>
      <c r="F42" s="64"/>
      <c r="H42" s="64"/>
      <c r="I42" s="64"/>
      <c r="J42" s="64"/>
      <c r="K42" s="64"/>
    </row>
    <row r="43" spans="1:11">
      <c r="C43" s="1"/>
      <c r="D43" s="1"/>
      <c r="E43" s="64"/>
      <c r="F43" s="64"/>
      <c r="H43" s="64"/>
      <c r="I43" s="64"/>
      <c r="J43" s="64"/>
      <c r="K43" s="64"/>
    </row>
    <row r="44" spans="1:11">
      <c r="C44" s="1"/>
      <c r="D44" s="1"/>
      <c r="E44" s="64"/>
      <c r="F44" s="64"/>
      <c r="H44" s="64"/>
      <c r="I44" s="64"/>
      <c r="J44" s="64"/>
      <c r="K44" s="64"/>
    </row>
    <row r="45" spans="1:11">
      <c r="C45" s="1"/>
      <c r="D45" s="1"/>
      <c r="E45" s="64"/>
      <c r="F45" s="64"/>
      <c r="H45" s="64"/>
      <c r="I45" s="64"/>
      <c r="J45" s="64"/>
      <c r="K45" s="64"/>
    </row>
    <row r="46" spans="1:11">
      <c r="C46" s="1"/>
      <c r="D46" s="1"/>
      <c r="E46" s="64"/>
      <c r="F46" s="64"/>
      <c r="H46" s="64"/>
      <c r="I46" s="64"/>
      <c r="J46" s="64"/>
      <c r="K46" s="64"/>
    </row>
    <row r="47" spans="1:11">
      <c r="C47" s="1"/>
      <c r="D47" s="1"/>
      <c r="E47" s="64"/>
      <c r="F47" s="64"/>
      <c r="H47" s="64"/>
      <c r="I47" s="64"/>
      <c r="J47" s="64"/>
      <c r="K47" s="64"/>
    </row>
    <row r="48" spans="1:11">
      <c r="C48" s="1"/>
      <c r="D48" s="1"/>
      <c r="E48" s="64"/>
      <c r="F48" s="64"/>
      <c r="H48" s="64"/>
      <c r="I48" s="64"/>
      <c r="J48" s="64"/>
      <c r="K48" s="64"/>
    </row>
    <row r="49" spans="5:11">
      <c r="E49" s="64"/>
      <c r="F49" s="64"/>
      <c r="H49" s="64"/>
      <c r="I49" s="64"/>
      <c r="J49" s="64"/>
      <c r="K49" s="64"/>
    </row>
    <row r="50" spans="5:11">
      <c r="E50" s="64"/>
      <c r="F50" s="64"/>
      <c r="H50" s="64"/>
      <c r="I50" s="64"/>
      <c r="J50" s="64"/>
      <c r="K50" s="64"/>
    </row>
    <row r="51" spans="5:11">
      <c r="E51" s="64"/>
      <c r="F51" s="64"/>
      <c r="H51" s="64"/>
      <c r="I51" s="64"/>
      <c r="J51" s="64"/>
      <c r="K51" s="64"/>
    </row>
    <row r="52" spans="5:11">
      <c r="E52" s="64"/>
      <c r="F52" s="64"/>
      <c r="H52" s="64"/>
      <c r="I52" s="64"/>
      <c r="J52" s="64"/>
      <c r="K52" s="64"/>
    </row>
    <row r="53" spans="5:11">
      <c r="E53" s="64"/>
      <c r="F53" s="64"/>
      <c r="H53" s="64"/>
      <c r="I53" s="64"/>
      <c r="J53" s="64"/>
      <c r="K53" s="64"/>
    </row>
    <row r="54" spans="5:11">
      <c r="E54" s="64"/>
      <c r="F54" s="64"/>
      <c r="H54" s="64"/>
      <c r="I54" s="64"/>
      <c r="J54" s="64"/>
      <c r="K54" s="64"/>
    </row>
    <row r="55" spans="5:11">
      <c r="E55" s="64"/>
      <c r="F55" s="64"/>
      <c r="H55" s="64"/>
      <c r="I55" s="64"/>
      <c r="J55" s="64"/>
      <c r="K55" s="64"/>
    </row>
    <row r="56" spans="5:11">
      <c r="E56" s="64"/>
      <c r="F56" s="64"/>
      <c r="H56" s="64"/>
      <c r="I56" s="64"/>
      <c r="J56" s="64"/>
      <c r="K56" s="64"/>
    </row>
    <row r="57" spans="5:11">
      <c r="E57" s="64"/>
      <c r="F57" s="64"/>
      <c r="H57" s="64"/>
      <c r="I57" s="64"/>
      <c r="J57" s="64"/>
      <c r="K57" s="64"/>
    </row>
    <row r="58" spans="5:11">
      <c r="E58" s="64"/>
      <c r="F58" s="64"/>
      <c r="H58" s="64"/>
      <c r="I58" s="64"/>
      <c r="J58" s="64"/>
      <c r="K58" s="64"/>
    </row>
    <row r="59" spans="5:11">
      <c r="E59" s="64"/>
      <c r="F59" s="64"/>
      <c r="H59" s="64"/>
      <c r="I59" s="64"/>
      <c r="J59" s="64"/>
      <c r="K59" s="64"/>
    </row>
    <row r="60" spans="5:11">
      <c r="E60" s="64"/>
      <c r="F60" s="64"/>
      <c r="H60" s="64"/>
      <c r="I60" s="64"/>
      <c r="J60" s="64"/>
      <c r="K60" s="64"/>
    </row>
    <row r="61" spans="5:11">
      <c r="E61" s="64"/>
      <c r="F61" s="64"/>
      <c r="H61" s="64"/>
      <c r="I61" s="64"/>
      <c r="J61" s="64"/>
      <c r="K61" s="64"/>
    </row>
    <row r="62" spans="5:11">
      <c r="E62" s="64"/>
      <c r="F62" s="64"/>
      <c r="H62" s="64"/>
      <c r="I62" s="64"/>
      <c r="J62" s="64"/>
      <c r="K62" s="64"/>
    </row>
    <row r="63" spans="5:11">
      <c r="E63" s="64"/>
      <c r="F63" s="64"/>
      <c r="H63" s="64"/>
      <c r="I63" s="64"/>
      <c r="J63" s="64"/>
      <c r="K63" s="64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33</vt:i4>
      </vt:variant>
    </vt:vector>
  </HeadingPairs>
  <TitlesOfParts>
    <vt:vector size="58" baseType="lpstr">
      <vt:lpstr>Variances &gt; 20%</vt:lpstr>
      <vt:lpstr>Divisor</vt:lpstr>
      <vt:lpstr>Plant in Service</vt:lpstr>
      <vt:lpstr>Accumulated Reserve</vt:lpstr>
      <vt:lpstr>BSSE</vt:lpstr>
      <vt:lpstr>190,282,283 Projected Proration</vt:lpstr>
      <vt:lpstr>Adj to RB 281 &amp; 255</vt:lpstr>
      <vt:lpstr>Materials &amp; Supplies</vt:lpstr>
      <vt:lpstr>Prepayments</vt:lpstr>
      <vt:lpstr>O&amp;M</vt:lpstr>
      <vt:lpstr>Acct 561 Load Dispatching</vt:lpstr>
      <vt:lpstr>Transmission Exp incl in OATT</vt:lpstr>
      <vt:lpstr>561.BA</vt:lpstr>
      <vt:lpstr>O&amp;M Exclusions</vt:lpstr>
      <vt:lpstr>FERC Annual Fees</vt:lpstr>
      <vt:lpstr>Reg Com Exp</vt:lpstr>
      <vt:lpstr>Depreciation Expense</vt:lpstr>
      <vt:lpstr>TOTI</vt:lpstr>
      <vt:lpstr>Wages &amp; Salary</vt:lpstr>
      <vt:lpstr>Production Related Trans</vt:lpstr>
      <vt:lpstr>Capital Structure</vt:lpstr>
      <vt:lpstr>Common Plant Allocator</vt:lpstr>
      <vt:lpstr>Revenue Credits</vt:lpstr>
      <vt:lpstr>MISO Schedule Revenue</vt:lpstr>
      <vt:lpstr>Tax Rates</vt:lpstr>
      <vt:lpstr>'190,282,283 Projected Proration'!Print_Area</vt:lpstr>
      <vt:lpstr>'561.BA'!Print_Area</vt:lpstr>
      <vt:lpstr>'Acct 561 Load Dispatching'!Print_Area</vt:lpstr>
      <vt:lpstr>'Accumulated Reserve'!Print_Area</vt:lpstr>
      <vt:lpstr>'Adj to RB 281 &amp; 255'!Print_Area</vt:lpstr>
      <vt:lpstr>BSSE!Print_Area</vt:lpstr>
      <vt:lpstr>'Capital Structure'!Print_Area</vt:lpstr>
      <vt:lpstr>'Common Plant Allocator'!Print_Area</vt:lpstr>
      <vt:lpstr>'Depreciation Expense'!Print_Area</vt:lpstr>
      <vt:lpstr>Divisor!Print_Area</vt:lpstr>
      <vt:lpstr>'FERC Annual Fees'!Print_Area</vt:lpstr>
      <vt:lpstr>'Materials &amp; Supplies'!Print_Area</vt:lpstr>
      <vt:lpstr>'MISO Schedule Revenue'!Print_Area</vt:lpstr>
      <vt:lpstr>'O&amp;M'!Print_Area</vt:lpstr>
      <vt:lpstr>'O&amp;M Exclusions'!Print_Area</vt:lpstr>
      <vt:lpstr>'Plant in Service'!Print_Area</vt:lpstr>
      <vt:lpstr>Prepayments!Print_Area</vt:lpstr>
      <vt:lpstr>'Production Related Trans'!Print_Area</vt:lpstr>
      <vt:lpstr>'Reg Com Exp'!Print_Area</vt:lpstr>
      <vt:lpstr>'Revenue Credits'!Print_Area</vt:lpstr>
      <vt:lpstr>TOTI!Print_Area</vt:lpstr>
      <vt:lpstr>'Transmission Exp incl in OATT'!Print_Area</vt:lpstr>
      <vt:lpstr>'Variances &gt; 20%'!Print_Area</vt:lpstr>
      <vt:lpstr>'Wages &amp; Salary'!Print_Area</vt:lpstr>
      <vt:lpstr>'190,282,283 Projected Proration'!Print_Titles</vt:lpstr>
      <vt:lpstr>'Accumulated Reserve'!Print_Titles</vt:lpstr>
      <vt:lpstr>'Adj to RB 281 &amp; 255'!Print_Titles</vt:lpstr>
      <vt:lpstr>BSSE!Print_Titles</vt:lpstr>
      <vt:lpstr>'Materials &amp; Supplies'!Print_Titles</vt:lpstr>
      <vt:lpstr>'MISO Schedule Revenue'!Print_Titles</vt:lpstr>
      <vt:lpstr>'Plant in Service'!Print_Titles</vt:lpstr>
      <vt:lpstr>Prepayments!Print_Titles</vt:lpstr>
      <vt:lpstr>'Production Related Trans'!Print_Titles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2018-09-04T18:56:15Z</cp:lastPrinted>
  <dcterms:created xsi:type="dcterms:W3CDTF">2014-06-11T14:31:34Z</dcterms:created>
  <dcterms:modified xsi:type="dcterms:W3CDTF">2018-09-04T18:57:10Z</dcterms:modified>
</cp:coreProperties>
</file>