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ERAL\MISO\2017\2016 True-Up\Files Submitted to MISO\Original True-Up Files Submitted\"/>
    </mc:Choice>
  </mc:AlternateContent>
  <bookViews>
    <workbookView xWindow="480" yWindow="345" windowWidth="18195" windowHeight="11580" tabRatio="839"/>
  </bookViews>
  <sheets>
    <sheet name="Cover Page" sheetId="1" r:id="rId1"/>
    <sheet name="MDU Attachment O 2016 Actuals" sheetId="36" r:id="rId2"/>
    <sheet name="2016 True-Up" sheetId="37" r:id="rId3"/>
    <sheet name="Variances &gt; 20%" sheetId="35" r:id="rId4"/>
    <sheet name="ROE Accrual" sheetId="38" r:id="rId5"/>
    <sheet name="2014 TU " sheetId="33" r:id="rId6"/>
    <sheet name="12 Coincident Peaks" sheetId="7" r:id="rId7"/>
    <sheet name="Reconcile FF1 to Juris-Plt" sheetId="5" r:id="rId8"/>
    <sheet name="Plant in Service" sheetId="2" r:id="rId9"/>
    <sheet name="General Plant" sheetId="8" r:id="rId10"/>
    <sheet name="Reconcile FF1 to Comm Plt" sheetId="6" r:id="rId11"/>
    <sheet name="Common Plant" sheetId="9" r:id="rId12"/>
    <sheet name="Recon FF1 to Juris Acc Res" sheetId="13" r:id="rId13"/>
    <sheet name="Accumulated Reserve" sheetId="10" r:id="rId14"/>
    <sheet name="General Reserve" sheetId="12" r:id="rId15"/>
    <sheet name="Reconcile FF1 to Com Res" sheetId="14" r:id="rId16"/>
    <sheet name="Common Reserve" sheetId="11" r:id="rId17"/>
    <sheet name="CWIP 13 Month Balances" sheetId="29" r:id="rId18"/>
    <sheet name="Avg Adjustments to RB" sheetId="16" r:id="rId19"/>
    <sheet name="Adj to RB - Reconcile to F1" sheetId="15" r:id="rId20"/>
    <sheet name="Materials &amp; Supplies" sheetId="17" r:id="rId21"/>
    <sheet name="Prepayments" sheetId="18" r:id="rId22"/>
    <sheet name="Transmission O&amp;M" sheetId="19" r:id="rId23"/>
    <sheet name="A&amp;G" sheetId="21" r:id="rId24"/>
    <sheet name="Reg Com &amp; NonSafety Ad Exp" sheetId="22" r:id="rId25"/>
    <sheet name="Other O&amp;M Expenses" sheetId="23" r:id="rId26"/>
    <sheet name="Production Related Trans" sheetId="24" r:id="rId27"/>
    <sheet name="Wages &amp; Salary" sheetId="26" r:id="rId28"/>
    <sheet name="Common Plant Allocator" sheetId="27" r:id="rId29"/>
    <sheet name="Cap Structure 2016" sheetId="30" r:id="rId30"/>
    <sheet name="Acct 454" sheetId="31" r:id="rId31"/>
    <sheet name="Acct 456.1" sheetId="25" r:id="rId32"/>
    <sheet name="MISO Revenues - 456.1" sheetId="32" r:id="rId33"/>
    <sheet name="SIT Calculation" sheetId="28" r:id="rId34"/>
  </sheets>
  <externalReferences>
    <externalReference r:id="rId35"/>
    <externalReference r:id="rId36"/>
  </externalReferences>
  <definedNames>
    <definedName name="_xlnm.Print_Area" localSheetId="6">'12 Coincident Peaks'!$A$1:$E$23</definedName>
    <definedName name="_xlnm.Print_Area" localSheetId="5">'2014 TU '!$A$1:$H$92</definedName>
    <definedName name="_xlnm.Print_Area" localSheetId="2">'2016 True-Up'!$A:$E</definedName>
    <definedName name="_xlnm.Print_Area" localSheetId="23">'A&amp;G'!$A$1:$I$20</definedName>
    <definedName name="_xlnm.Print_Area" localSheetId="30">'Acct 454'!$A$1:$E$13</definedName>
    <definedName name="_xlnm.Print_Area" localSheetId="31">'Acct 456.1'!$A:$J</definedName>
    <definedName name="_xlnm.Print_Area" localSheetId="13">'Accumulated Reserve'!$A:$M</definedName>
    <definedName name="_xlnm.Print_Area" localSheetId="19">'Adj to RB - Reconcile to F1'!$A$1:$O$53</definedName>
    <definedName name="_xlnm.Print_Area" localSheetId="18">'Avg Adjustments to RB'!$A$1:$G$18</definedName>
    <definedName name="_xlnm.Print_Area" localSheetId="29">'Cap Structure 2016'!$A$1:$M$22</definedName>
    <definedName name="_xlnm.Print_Area" localSheetId="11">'Common Plant'!$A$1:$O$42</definedName>
    <definedName name="_xlnm.Print_Area" localSheetId="28">'Common Plant Allocator'!$A$1:$J$14</definedName>
    <definedName name="_xlnm.Print_Area" localSheetId="16">'Common Reserve'!$A:$S</definedName>
    <definedName name="_xlnm.Print_Area" localSheetId="0">'Cover Page'!$A$1:$I$35</definedName>
    <definedName name="_xlnm.Print_Area" localSheetId="17">'CWIP 13 Month Balances'!$A$1:$D$24</definedName>
    <definedName name="_xlnm.Print_Area" localSheetId="9">'General Plant'!$A$1:$G$39</definedName>
    <definedName name="_xlnm.Print_Area" localSheetId="14">'General Reserve'!$A$1:$G$39</definedName>
    <definedName name="_xlnm.Print_Area" localSheetId="20">'Materials &amp; Supplies'!$A$1:$J$39</definedName>
    <definedName name="_xlnm.Print_Area" localSheetId="1">'MDU Attachment O 2016 Actuals'!$A$1:$L$403</definedName>
    <definedName name="_xlnm.Print_Area" localSheetId="32">'MISO Revenues - 456.1'!$A$1:$D$23</definedName>
    <definedName name="_xlnm.Print_Area" localSheetId="25">'Other O&amp;M Expenses'!$A$1:$L$41</definedName>
    <definedName name="_xlnm.Print_Area" localSheetId="8">'Plant in Service'!$A$1:$M$63</definedName>
    <definedName name="_xlnm.Print_Area" localSheetId="21">Prepayments!$1:$23</definedName>
    <definedName name="_xlnm.Print_Area" localSheetId="26">'Production Related Trans'!$A$1:$C$68</definedName>
    <definedName name="_xlnm.Print_Area" localSheetId="12">'Recon FF1 to Juris Acc Res'!$A$1:$I$25</definedName>
    <definedName name="_xlnm.Print_Area" localSheetId="15">'Reconcile FF1 to Com Res'!$A$1:$O$26</definedName>
    <definedName name="_xlnm.Print_Area" localSheetId="10">'Reconcile FF1 to Comm Plt'!$A$1:$O$20</definedName>
    <definedName name="_xlnm.Print_Area" localSheetId="7">'Reconcile FF1 to Juris-Plt'!$A$1:$K$36</definedName>
    <definedName name="_xlnm.Print_Area" localSheetId="24">'Reg Com &amp; NonSafety Ad Exp'!$A$1:$D$49</definedName>
    <definedName name="_xlnm.Print_Area" localSheetId="4">'ROE Accrual'!$A:$B</definedName>
    <definedName name="_xlnm.Print_Area" localSheetId="33">'SIT Calculation'!$A$1:$O$30</definedName>
    <definedName name="_xlnm.Print_Area" localSheetId="22">'Transmission O&amp;M'!$A$1:$I$61</definedName>
    <definedName name="_xlnm.Print_Area" localSheetId="3">'Variances &gt; 20%'!$A:$I</definedName>
    <definedName name="_xlnm.Print_Area" localSheetId="27">'Wages &amp; Salary'!$A$1:$J$17</definedName>
    <definedName name="_xlnm.Print_Titles" localSheetId="13">'Accumulated Reserve'!$1:$6</definedName>
    <definedName name="_xlnm.Print_Titles" localSheetId="11">'Common Plant'!$1:$6</definedName>
    <definedName name="_xlnm.Print_Titles" localSheetId="16">'Common Reserve'!$1:$6</definedName>
    <definedName name="_xlnm.Print_Titles" localSheetId="9">'General Plant'!$1:$5</definedName>
    <definedName name="_xlnm.Print_Titles" localSheetId="14">'General Reserve'!$1:$5</definedName>
    <definedName name="_xlnm.Print_Titles" localSheetId="8">'Plant in Service'!$1:$6</definedName>
    <definedName name="_xlnm.Print_Titles" localSheetId="21">Prepayments!$A:$C,Prepayments!$1:$8</definedName>
    <definedName name="_xlnm.Print_Titles" localSheetId="26">'Production Related Trans'!$1:$8</definedName>
    <definedName name="_xlnm.Print_Titles" localSheetId="22">'Transmission O&amp;M'!$1:$7</definedName>
    <definedName name="Reconciliation" localSheetId="2">#REF!</definedName>
    <definedName name="Reconciliation" localSheetId="13">'[1]Reg Com &amp; NonSafety Ad Exp (8)'!#REF!</definedName>
    <definedName name="Reconciliation" localSheetId="11">'[1]Reg Com &amp; NonSafety Ad Exp (8)'!#REF!</definedName>
    <definedName name="Reconciliation" localSheetId="16">'[1]Reg Com &amp; NonSafety Ad Exp (8)'!#REF!</definedName>
    <definedName name="Reconciliation" localSheetId="9">'[1]Reg Com &amp; NonSafety Ad Exp (8)'!#REF!</definedName>
    <definedName name="Reconciliation" localSheetId="14">'[1]Reg Com &amp; NonSafety Ad Exp (8)'!#REF!</definedName>
    <definedName name="Reconciliation" localSheetId="3">'[1]Reg Com &amp; NonSafety Ad Exp (8)'!#REF!</definedName>
    <definedName name="Reconciliation">'[1]Reg Com &amp; NonSafety Ad Exp (8)'!#REF!</definedName>
    <definedName name="Workpaper" localSheetId="2">#REF!</definedName>
    <definedName name="Workpaper">'Reg Com &amp; NonSafety Ad Exp'!$A$1:$D$32</definedName>
  </definedNames>
  <calcPr calcId="171027" iterate="1"/>
</workbook>
</file>

<file path=xl/calcChain.xml><?xml version="1.0" encoding="utf-8"?>
<calcChain xmlns="http://schemas.openxmlformats.org/spreadsheetml/2006/main">
  <c r="E14" i="37" l="1"/>
  <c r="E16" i="37" s="1"/>
  <c r="E20" i="37" s="1"/>
  <c r="E397" i="36"/>
  <c r="E399" i="36" s="1"/>
  <c r="J25" i="36" s="1"/>
  <c r="E323" i="36"/>
  <c r="J320" i="36"/>
  <c r="J313" i="36"/>
  <c r="J304" i="36"/>
  <c r="H295" i="36"/>
  <c r="H294" i="36"/>
  <c r="H293" i="36"/>
  <c r="J288" i="36"/>
  <c r="J290" i="36" s="1"/>
  <c r="E295" i="36" s="1"/>
  <c r="E296" i="36" s="1"/>
  <c r="E279" i="36"/>
  <c r="H277" i="36"/>
  <c r="J275" i="36"/>
  <c r="E272" i="36"/>
  <c r="E271" i="36"/>
  <c r="H271" i="36" s="1"/>
  <c r="H270" i="36"/>
  <c r="H268" i="36"/>
  <c r="J258" i="36"/>
  <c r="J254" i="36"/>
  <c r="J249" i="36"/>
  <c r="J252" i="36" s="1"/>
  <c r="E244" i="36"/>
  <c r="J241" i="36"/>
  <c r="J227" i="36"/>
  <c r="J223" i="36"/>
  <c r="E210" i="36"/>
  <c r="E214" i="36" s="1"/>
  <c r="E206" i="36"/>
  <c r="E202" i="36"/>
  <c r="G200" i="36"/>
  <c r="D200" i="36"/>
  <c r="G196" i="36"/>
  <c r="D196" i="36"/>
  <c r="E191" i="36"/>
  <c r="C190" i="36"/>
  <c r="J188" i="36"/>
  <c r="C187" i="36"/>
  <c r="E184" i="36"/>
  <c r="J183" i="36"/>
  <c r="D182" i="36"/>
  <c r="G181" i="36"/>
  <c r="G180" i="36"/>
  <c r="G179" i="36"/>
  <c r="J176" i="36"/>
  <c r="E168" i="36"/>
  <c r="J165" i="36"/>
  <c r="E134" i="36"/>
  <c r="E137" i="36" s="1"/>
  <c r="E139" i="36" s="1"/>
  <c r="G131" i="36"/>
  <c r="E129" i="36"/>
  <c r="J128" i="36"/>
  <c r="G125" i="36"/>
  <c r="J119" i="36"/>
  <c r="E116" i="36"/>
  <c r="E115" i="36"/>
  <c r="C115" i="36"/>
  <c r="E114" i="36"/>
  <c r="E113" i="36"/>
  <c r="C113" i="36"/>
  <c r="E112" i="36"/>
  <c r="C112" i="36"/>
  <c r="E111" i="36"/>
  <c r="E108" i="36"/>
  <c r="G107" i="36"/>
  <c r="C107" i="36"/>
  <c r="G106" i="36"/>
  <c r="C106" i="36"/>
  <c r="C114" i="36" s="1"/>
  <c r="H105" i="36"/>
  <c r="G105" i="36"/>
  <c r="C105" i="36"/>
  <c r="G104" i="36"/>
  <c r="C104" i="36"/>
  <c r="H103" i="36"/>
  <c r="G103" i="36"/>
  <c r="G122" i="36" s="1"/>
  <c r="G199" i="36" s="1"/>
  <c r="C103" i="36"/>
  <c r="C111" i="36" s="1"/>
  <c r="E100" i="36"/>
  <c r="E88" i="36"/>
  <c r="J85" i="36"/>
  <c r="J54" i="36"/>
  <c r="J53" i="36"/>
  <c r="J42" i="36"/>
  <c r="N31" i="36"/>
  <c r="J26" i="36"/>
  <c r="N26" i="36" s="1"/>
  <c r="J24" i="36"/>
  <c r="G17" i="36"/>
  <c r="G18" i="36" s="1"/>
  <c r="G19" i="36" s="1"/>
  <c r="E17" i="36"/>
  <c r="E16" i="36"/>
  <c r="F293" i="36" l="1"/>
  <c r="J293" i="36" s="1"/>
  <c r="F295" i="36"/>
  <c r="F294" i="36"/>
  <c r="F269" i="36"/>
  <c r="H269" i="36" s="1"/>
  <c r="H272" i="36" s="1"/>
  <c r="J272" i="36" s="1"/>
  <c r="H96" i="36"/>
  <c r="H16" i="36"/>
  <c r="J262" i="36"/>
  <c r="J260" i="36"/>
  <c r="J295" i="36"/>
  <c r="J263" i="36"/>
  <c r="J294" i="36"/>
  <c r="B12" i="32"/>
  <c r="H98" i="36" l="1"/>
  <c r="J277" i="36"/>
  <c r="L277" i="36" s="1"/>
  <c r="H99" i="36" s="1"/>
  <c r="J264" i="36"/>
  <c r="J16" i="36"/>
  <c r="H17" i="36"/>
  <c r="J96" i="36"/>
  <c r="H104" i="36"/>
  <c r="J296" i="36"/>
  <c r="G33" i="35"/>
  <c r="E207" i="36" l="1"/>
  <c r="E217" i="36"/>
  <c r="H131" i="36"/>
  <c r="J104" i="36"/>
  <c r="H135" i="36"/>
  <c r="J135" i="36" s="1"/>
  <c r="H175" i="36"/>
  <c r="H107" i="36"/>
  <c r="J99" i="36"/>
  <c r="J17" i="36"/>
  <c r="H18" i="36"/>
  <c r="H106" i="36"/>
  <c r="J98" i="36"/>
  <c r="G30" i="35"/>
  <c r="G26" i="35"/>
  <c r="G22" i="35"/>
  <c r="G18" i="35"/>
  <c r="G15" i="35"/>
  <c r="G9" i="35"/>
  <c r="J115" i="36" l="1"/>
  <c r="H177" i="36"/>
  <c r="J177" i="36" s="1"/>
  <c r="H181" i="36"/>
  <c r="J181" i="36" s="1"/>
  <c r="J175" i="36"/>
  <c r="J106" i="36"/>
  <c r="J114" i="36" s="1"/>
  <c r="H178" i="36"/>
  <c r="H182" i="36"/>
  <c r="J107" i="36"/>
  <c r="H19" i="36"/>
  <c r="J19" i="36" s="1"/>
  <c r="J18" i="36"/>
  <c r="J20" i="36" s="1"/>
  <c r="J100" i="36"/>
  <c r="H100" i="36" s="1"/>
  <c r="J108" i="36"/>
  <c r="J112" i="36"/>
  <c r="H187" i="36"/>
  <c r="J187" i="36" s="1"/>
  <c r="J131" i="36"/>
  <c r="E213" i="36"/>
  <c r="E215" i="36" s="1"/>
  <c r="E220" i="36" s="1"/>
  <c r="E228" i="36" s="1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J182" i="36" l="1"/>
  <c r="H190" i="36"/>
  <c r="J190" i="36" s="1"/>
  <c r="J116" i="36"/>
  <c r="H116" i="36" s="1"/>
  <c r="H189" i="36"/>
  <c r="J178" i="36"/>
  <c r="H179" i="36"/>
  <c r="H198" i="36"/>
  <c r="H136" i="36"/>
  <c r="J136" i="36" s="1"/>
  <c r="B17" i="32"/>
  <c r="H201" i="36" l="1"/>
  <c r="J201" i="36" s="1"/>
  <c r="H200" i="36"/>
  <c r="J200" i="36" s="1"/>
  <c r="J198" i="36"/>
  <c r="H214" i="36"/>
  <c r="J214" i="36" s="1"/>
  <c r="H123" i="36"/>
  <c r="H180" i="36"/>
  <c r="J180" i="36" s="1"/>
  <c r="J179" i="36"/>
  <c r="J184" i="36" s="1"/>
  <c r="J134" i="36" s="1"/>
  <c r="J137" i="36" s="1"/>
  <c r="J189" i="36"/>
  <c r="J191" i="36" s="1"/>
  <c r="H195" i="36"/>
  <c r="E20" i="7"/>
  <c r="J195" i="36" l="1"/>
  <c r="H196" i="36"/>
  <c r="J196" i="36" s="1"/>
  <c r="H124" i="36"/>
  <c r="J123" i="36"/>
  <c r="J32" i="25"/>
  <c r="J30" i="25"/>
  <c r="J24" i="25"/>
  <c r="H125" i="36" l="1"/>
  <c r="J125" i="36" s="1"/>
  <c r="H126" i="36"/>
  <c r="J126" i="36" s="1"/>
  <c r="J124" i="36"/>
  <c r="J129" i="36" s="1"/>
  <c r="J139" i="36" s="1"/>
  <c r="J217" i="36" s="1"/>
  <c r="J202" i="36"/>
  <c r="G82" i="33"/>
  <c r="H82" i="33" s="1"/>
  <c r="G78" i="33"/>
  <c r="H78" i="33" s="1"/>
  <c r="G58" i="33"/>
  <c r="H58" i="33" s="1"/>
  <c r="G54" i="33"/>
  <c r="H54" i="33" s="1"/>
  <c r="J213" i="36" l="1"/>
  <c r="J215" i="36" s="1"/>
  <c r="J220" i="36" s="1"/>
  <c r="J228" i="36" s="1"/>
  <c r="J12" i="36" s="1"/>
  <c r="J28" i="36" s="1"/>
  <c r="C67" i="24"/>
  <c r="C65" i="24"/>
  <c r="J31" i="36" l="1"/>
  <c r="E7" i="37"/>
  <c r="E44" i="36"/>
  <c r="I21" i="15"/>
  <c r="K21" i="15" s="1"/>
  <c r="O21" i="15" s="1"/>
  <c r="O12" i="15"/>
  <c r="O15" i="15"/>
  <c r="O18" i="15"/>
  <c r="K12" i="15"/>
  <c r="K15" i="15"/>
  <c r="K18" i="15"/>
  <c r="J50" i="36" l="1"/>
  <c r="E45" i="36"/>
  <c r="E50" i="36"/>
  <c r="J49" i="36"/>
  <c r="E49" i="36"/>
  <c r="J51" i="36"/>
  <c r="E51" i="36"/>
  <c r="E9" i="37"/>
  <c r="E19" i="37" s="1"/>
  <c r="E21" i="37" s="1"/>
  <c r="M29" i="9"/>
  <c r="G29" i="9"/>
  <c r="O29" i="9" s="1"/>
  <c r="K27" i="2" s="1"/>
  <c r="G10" i="9"/>
  <c r="K9" i="2"/>
  <c r="G26" i="8"/>
  <c r="I27" i="2"/>
  <c r="G9" i="8"/>
  <c r="I9" i="2" s="1"/>
  <c r="E27" i="37" l="1"/>
  <c r="E25" i="37"/>
  <c r="M9" i="2"/>
  <c r="I45" i="2"/>
  <c r="M45" i="2" s="1"/>
  <c r="M27" i="2"/>
  <c r="K45" i="2"/>
  <c r="L35" i="23" l="1"/>
  <c r="H27" i="23"/>
  <c r="B18" i="32" l="1"/>
  <c r="B19" i="32" s="1"/>
  <c r="D10" i="32"/>
  <c r="G23" i="5" l="1"/>
  <c r="M22" i="14"/>
  <c r="O23" i="14"/>
  <c r="G10" i="13" l="1"/>
  <c r="D39" i="22" l="1"/>
  <c r="D41" i="22" s="1"/>
  <c r="E8" i="31" l="1"/>
  <c r="J24" i="17" l="1"/>
  <c r="A32" i="10" l="1"/>
  <c r="A50" i="10" s="1"/>
  <c r="A36" i="10"/>
  <c r="A54" i="10" s="1"/>
  <c r="A11" i="10"/>
  <c r="A29" i="10" s="1"/>
  <c r="A47" i="10" s="1"/>
  <c r="A12" i="10"/>
  <c r="A30" i="10" s="1"/>
  <c r="A48" i="10" s="1"/>
  <c r="A13" i="10"/>
  <c r="A31" i="10" s="1"/>
  <c r="A49" i="10" s="1"/>
  <c r="A14" i="10"/>
  <c r="A15" i="10"/>
  <c r="A33" i="10" s="1"/>
  <c r="A51" i="10" s="1"/>
  <c r="A16" i="10"/>
  <c r="A34" i="10" s="1"/>
  <c r="A52" i="10" s="1"/>
  <c r="A17" i="10"/>
  <c r="A35" i="10" s="1"/>
  <c r="A53" i="10" s="1"/>
  <c r="A18" i="10"/>
  <c r="A19" i="10"/>
  <c r="A37" i="10" s="1"/>
  <c r="A55" i="10" s="1"/>
  <c r="A20" i="10"/>
  <c r="A38" i="10" s="1"/>
  <c r="A56" i="10" s="1"/>
  <c r="A21" i="10"/>
  <c r="A39" i="10" s="1"/>
  <c r="A57" i="10" s="1"/>
  <c r="A48" i="2"/>
  <c r="A52" i="2"/>
  <c r="A56" i="2"/>
  <c r="A28" i="2"/>
  <c r="A46" i="2" s="1"/>
  <c r="A29" i="2"/>
  <c r="A47" i="2" s="1"/>
  <c r="A30" i="2"/>
  <c r="A31" i="2"/>
  <c r="A49" i="2" s="1"/>
  <c r="A32" i="2"/>
  <c r="A50" i="2" s="1"/>
  <c r="A33" i="2"/>
  <c r="A51" i="2" s="1"/>
  <c r="A34" i="2"/>
  <c r="A35" i="2"/>
  <c r="A53" i="2" s="1"/>
  <c r="A36" i="2"/>
  <c r="A54" i="2" s="1"/>
  <c r="A37" i="2"/>
  <c r="A55" i="2" s="1"/>
  <c r="A38" i="2"/>
  <c r="A39" i="2"/>
  <c r="A57" i="2" s="1"/>
  <c r="A27" i="2"/>
  <c r="A45" i="2" s="1"/>
  <c r="J28" i="25" l="1"/>
  <c r="B15" i="32"/>
  <c r="G9" i="12" l="1"/>
  <c r="G28" i="12" l="1"/>
  <c r="G29" i="12"/>
  <c r="G30" i="12"/>
  <c r="G31" i="12"/>
  <c r="G32" i="12"/>
  <c r="G33" i="12"/>
  <c r="G34" i="12"/>
  <c r="G35" i="12"/>
  <c r="G36" i="12"/>
  <c r="G37" i="12"/>
  <c r="G38" i="12"/>
  <c r="G27" i="12" l="1"/>
  <c r="G26" i="12"/>
  <c r="G11" i="12"/>
  <c r="G12" i="12"/>
  <c r="G13" i="12"/>
  <c r="G14" i="12"/>
  <c r="G15" i="12"/>
  <c r="G16" i="12"/>
  <c r="G17" i="12"/>
  <c r="G18" i="12"/>
  <c r="G19" i="12"/>
  <c r="G20" i="12"/>
  <c r="G21" i="12"/>
  <c r="G10" i="12"/>
  <c r="M31" i="9"/>
  <c r="M32" i="9"/>
  <c r="M33" i="9"/>
  <c r="M34" i="9"/>
  <c r="M35" i="9"/>
  <c r="M36" i="9"/>
  <c r="M37" i="9"/>
  <c r="M38" i="9"/>
  <c r="M39" i="9"/>
  <c r="M40" i="9"/>
  <c r="M41" i="9"/>
  <c r="M30" i="9"/>
  <c r="G31" i="9"/>
  <c r="G32" i="9"/>
  <c r="G33" i="9"/>
  <c r="G34" i="9"/>
  <c r="G35" i="9"/>
  <c r="G36" i="9"/>
  <c r="G37" i="9"/>
  <c r="G38" i="9"/>
  <c r="G39" i="9"/>
  <c r="G40" i="9"/>
  <c r="G41" i="9"/>
  <c r="G30" i="9"/>
  <c r="G12" i="9"/>
  <c r="K11" i="2" s="1"/>
  <c r="G13" i="9"/>
  <c r="K12" i="2" s="1"/>
  <c r="G14" i="9"/>
  <c r="K13" i="2" s="1"/>
  <c r="G15" i="9"/>
  <c r="K14" i="2" s="1"/>
  <c r="G16" i="9"/>
  <c r="K15" i="2" s="1"/>
  <c r="G17" i="9"/>
  <c r="K16" i="2" s="1"/>
  <c r="G18" i="9"/>
  <c r="K17" i="2" s="1"/>
  <c r="G19" i="9"/>
  <c r="K18" i="2" s="1"/>
  <c r="G20" i="9"/>
  <c r="K19" i="2" s="1"/>
  <c r="G21" i="9"/>
  <c r="K20" i="2" s="1"/>
  <c r="G22" i="9"/>
  <c r="K21" i="2" s="1"/>
  <c r="G11" i="9"/>
  <c r="K10" i="2" s="1"/>
  <c r="G28" i="8"/>
  <c r="G29" i="8"/>
  <c r="G30" i="8"/>
  <c r="G31" i="8"/>
  <c r="G32" i="8"/>
  <c r="G33" i="8"/>
  <c r="G34" i="8"/>
  <c r="G35" i="8"/>
  <c r="G36" i="8"/>
  <c r="G37" i="8"/>
  <c r="G38" i="8"/>
  <c r="G27" i="8"/>
  <c r="I29" i="2"/>
  <c r="I30" i="2"/>
  <c r="I31" i="2"/>
  <c r="I32" i="2"/>
  <c r="I33" i="2"/>
  <c r="I34" i="2"/>
  <c r="I35" i="2"/>
  <c r="I36" i="2"/>
  <c r="I37" i="2"/>
  <c r="I38" i="2"/>
  <c r="I39" i="2"/>
  <c r="I28" i="2"/>
  <c r="G11" i="8"/>
  <c r="I11" i="2" s="1"/>
  <c r="G12" i="8"/>
  <c r="I12" i="2" s="1"/>
  <c r="I48" i="2" s="1"/>
  <c r="G13" i="8"/>
  <c r="I13" i="2" s="1"/>
  <c r="I49" i="2" s="1"/>
  <c r="G14" i="8"/>
  <c r="I14" i="2" s="1"/>
  <c r="I50" i="2" s="1"/>
  <c r="G15" i="8"/>
  <c r="I15" i="2" s="1"/>
  <c r="I51" i="2" s="1"/>
  <c r="G16" i="8"/>
  <c r="I16" i="2" s="1"/>
  <c r="I52" i="2" s="1"/>
  <c r="G17" i="8"/>
  <c r="I17" i="2" s="1"/>
  <c r="I53" i="2" s="1"/>
  <c r="G18" i="8"/>
  <c r="I18" i="2" s="1"/>
  <c r="I54" i="2" s="1"/>
  <c r="G19" i="8"/>
  <c r="I19" i="2" s="1"/>
  <c r="I55" i="2" s="1"/>
  <c r="G20" i="8"/>
  <c r="I20" i="2" s="1"/>
  <c r="I56" i="2" s="1"/>
  <c r="G21" i="8"/>
  <c r="I21" i="2" s="1"/>
  <c r="I57" i="2" s="1"/>
  <c r="G10" i="8"/>
  <c r="I10" i="2" s="1"/>
  <c r="I46" i="2" s="1"/>
  <c r="M10" i="2"/>
  <c r="C59" i="24"/>
  <c r="I47" i="2" l="1"/>
  <c r="M18" i="2"/>
  <c r="M13" i="2"/>
  <c r="M17" i="2"/>
  <c r="M21" i="2"/>
  <c r="M14" i="2"/>
  <c r="M20" i="2"/>
  <c r="M16" i="2"/>
  <c r="M12" i="2"/>
  <c r="M11" i="2"/>
  <c r="M15" i="2"/>
  <c r="M19" i="2"/>
  <c r="K15" i="5" l="1"/>
  <c r="G16" i="16" l="1"/>
  <c r="J11" i="26" l="1"/>
  <c r="M22" i="30" l="1"/>
  <c r="K22" i="30"/>
  <c r="I22" i="30"/>
  <c r="G22" i="30"/>
  <c r="E20" i="30"/>
  <c r="C20" i="30"/>
  <c r="D23" i="29"/>
  <c r="D16" i="28"/>
  <c r="D15" i="28"/>
  <c r="D14" i="28"/>
  <c r="F12" i="27"/>
  <c r="J11" i="27"/>
  <c r="H16" i="26"/>
  <c r="F16" i="26"/>
  <c r="J15" i="26"/>
  <c r="J14" i="26"/>
  <c r="J13" i="26"/>
  <c r="J10" i="26"/>
  <c r="J9" i="26"/>
  <c r="J17" i="25"/>
  <c r="J15" i="25"/>
  <c r="J26" i="25" s="1"/>
  <c r="C54" i="24"/>
  <c r="C47" i="24"/>
  <c r="C41" i="24"/>
  <c r="C36" i="24"/>
  <c r="C30" i="24"/>
  <c r="C25" i="24"/>
  <c r="D17" i="28" l="1"/>
  <c r="H29" i="28" s="1"/>
  <c r="H12" i="27"/>
  <c r="J16" i="26"/>
  <c r="J34" i="25"/>
  <c r="J10" i="27"/>
  <c r="J12" i="27" s="1"/>
  <c r="A4" i="21" l="1"/>
  <c r="A4" i="22" s="1"/>
  <c r="L39" i="23"/>
  <c r="J37" i="23"/>
  <c r="J40" i="23" s="1"/>
  <c r="L36" i="23"/>
  <c r="L34" i="23"/>
  <c r="H33" i="23"/>
  <c r="H37" i="23" s="1"/>
  <c r="L28" i="23"/>
  <c r="L27" i="23"/>
  <c r="L25" i="23"/>
  <c r="H24" i="23"/>
  <c r="L24" i="23" s="1"/>
  <c r="L17" i="23"/>
  <c r="J14" i="23"/>
  <c r="H14" i="23"/>
  <c r="L13" i="23"/>
  <c r="L12" i="23"/>
  <c r="L10" i="23"/>
  <c r="D25" i="22"/>
  <c r="D14" i="22"/>
  <c r="I20" i="21"/>
  <c r="G20" i="21"/>
  <c r="E19" i="21"/>
  <c r="E18" i="21"/>
  <c r="E17" i="21"/>
  <c r="E16" i="21"/>
  <c r="E15" i="21"/>
  <c r="E14" i="21"/>
  <c r="E13" i="21"/>
  <c r="E12" i="21"/>
  <c r="E11" i="21"/>
  <c r="E10" i="21"/>
  <c r="E9" i="21"/>
  <c r="A4" i="23" l="1"/>
  <c r="H40" i="23"/>
  <c r="L14" i="23"/>
  <c r="E20" i="21"/>
  <c r="L33" i="23"/>
  <c r="L37" i="23" s="1"/>
  <c r="L40" i="23" s="1"/>
  <c r="A4" i="25" l="1"/>
  <c r="A4" i="26" s="1"/>
  <c r="A4" i="27" s="1"/>
  <c r="A4" i="24"/>
  <c r="D19" i="22" l="1"/>
  <c r="D27" i="22" s="1"/>
  <c r="M29" i="11" l="1"/>
  <c r="G11" i="11" l="1"/>
  <c r="G20" i="11"/>
  <c r="G12" i="11"/>
  <c r="G19" i="11"/>
  <c r="G22" i="11"/>
  <c r="G14" i="11"/>
  <c r="G17" i="11"/>
  <c r="G16" i="11"/>
  <c r="G23" i="11"/>
  <c r="G15" i="11"/>
  <c r="G18" i="11"/>
  <c r="G21" i="11"/>
  <c r="G13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K11" i="11" l="1"/>
  <c r="M9" i="10" s="1"/>
  <c r="G30" i="11"/>
  <c r="G39" i="11"/>
  <c r="G31" i="11"/>
  <c r="G38" i="11"/>
  <c r="G40" i="11"/>
  <c r="G36" i="11"/>
  <c r="G32" i="11"/>
  <c r="K12" i="11"/>
  <c r="G35" i="11"/>
  <c r="G34" i="11"/>
  <c r="G41" i="11"/>
  <c r="G33" i="11"/>
  <c r="G37" i="11"/>
  <c r="G29" i="11" l="1"/>
  <c r="O29" i="11" s="1"/>
  <c r="S29" i="11" l="1"/>
  <c r="M27" i="10" s="1"/>
  <c r="E57" i="19"/>
  <c r="C43" i="19"/>
  <c r="C42" i="19"/>
  <c r="C35" i="19"/>
  <c r="C34" i="19"/>
  <c r="E28" i="19"/>
  <c r="I23" i="19"/>
  <c r="G23" i="19"/>
  <c r="E22" i="19"/>
  <c r="E21" i="19"/>
  <c r="E20" i="19"/>
  <c r="E19" i="19"/>
  <c r="E18" i="19"/>
  <c r="E17" i="19"/>
  <c r="E16" i="19"/>
  <c r="E15" i="19"/>
  <c r="E14" i="19"/>
  <c r="E35" i="19" s="1"/>
  <c r="E13" i="19"/>
  <c r="E34" i="19" s="1"/>
  <c r="E12" i="19"/>
  <c r="E43" i="19" s="1"/>
  <c r="E11" i="19"/>
  <c r="E42" i="19" s="1"/>
  <c r="E10" i="19"/>
  <c r="E23" i="19" l="1"/>
  <c r="E45" i="19"/>
  <c r="E49" i="19" s="1"/>
  <c r="E51" i="19" s="1"/>
  <c r="E59" i="19" s="1"/>
  <c r="E36" i="19"/>
  <c r="A5" i="18" l="1"/>
  <c r="Q20" i="18"/>
  <c r="B16" i="18"/>
  <c r="A16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R20" i="18" l="1"/>
  <c r="R22" i="18" s="1"/>
  <c r="P20" i="18"/>
  <c r="P22" i="18" s="1"/>
  <c r="M20" i="18"/>
  <c r="M22" i="18" s="1"/>
  <c r="L20" i="18"/>
  <c r="L22" i="18" s="1"/>
  <c r="K20" i="18"/>
  <c r="K22" i="18" s="1"/>
  <c r="J20" i="18"/>
  <c r="J22" i="18" s="1"/>
  <c r="I20" i="18"/>
  <c r="I22" i="18" s="1"/>
  <c r="H20" i="18"/>
  <c r="H22" i="18" s="1"/>
  <c r="G20" i="18"/>
  <c r="G22" i="18" s="1"/>
  <c r="O20" i="18"/>
  <c r="O22" i="18" s="1"/>
  <c r="Q22" i="18"/>
  <c r="N20" i="18"/>
  <c r="N22" i="18" s="1"/>
  <c r="D22" i="18" l="1"/>
  <c r="H18" i="17" l="1"/>
  <c r="H12" i="17"/>
  <c r="J17" i="17" l="1"/>
  <c r="J14" i="17"/>
  <c r="J16" i="17"/>
  <c r="J26" i="17" s="1"/>
  <c r="J15" i="17"/>
  <c r="E12" i="16"/>
  <c r="J31" i="17" l="1"/>
  <c r="J18" i="17"/>
  <c r="J32" i="17"/>
  <c r="J28" i="17"/>
  <c r="J29" i="17"/>
  <c r="J34" i="17"/>
  <c r="J35" i="17"/>
  <c r="J27" i="17"/>
  <c r="J30" i="17"/>
  <c r="J36" i="17"/>
  <c r="J33" i="17"/>
  <c r="J25" i="17"/>
  <c r="G12" i="16"/>
  <c r="M24" i="14"/>
  <c r="K24" i="14"/>
  <c r="I24" i="14"/>
  <c r="G24" i="14"/>
  <c r="E23" i="14"/>
  <c r="E22" i="14"/>
  <c r="O19" i="14"/>
  <c r="M19" i="14"/>
  <c r="K19" i="14"/>
  <c r="I19" i="14"/>
  <c r="G19" i="14"/>
  <c r="E18" i="14"/>
  <c r="E17" i="14"/>
  <c r="E15" i="14"/>
  <c r="E14" i="14"/>
  <c r="E12" i="14"/>
  <c r="E11" i="14"/>
  <c r="A5" i="13"/>
  <c r="A5" i="14" s="1"/>
  <c r="I16" i="13"/>
  <c r="I15" i="13"/>
  <c r="I14" i="13"/>
  <c r="I28" i="5" s="1"/>
  <c r="I13" i="13"/>
  <c r="I27" i="5" s="1"/>
  <c r="G12" i="13"/>
  <c r="G17" i="13" s="1"/>
  <c r="E12" i="13"/>
  <c r="E17" i="13" s="1"/>
  <c r="E19" i="13" s="1"/>
  <c r="I11" i="13"/>
  <c r="I25" i="5" s="1"/>
  <c r="I10" i="13"/>
  <c r="E10" i="16" l="1"/>
  <c r="G10" i="16" s="1"/>
  <c r="E14" i="16"/>
  <c r="I24" i="5"/>
  <c r="G26" i="14"/>
  <c r="J37" i="17"/>
  <c r="E24" i="14"/>
  <c r="M26" i="14"/>
  <c r="K26" i="14"/>
  <c r="O24" i="14"/>
  <c r="O26" i="14" s="1"/>
  <c r="I26" i="14"/>
  <c r="E19" i="14"/>
  <c r="I12" i="13"/>
  <c r="I17" i="13" s="1"/>
  <c r="G14" i="16" l="1"/>
  <c r="E26" i="14"/>
  <c r="G18" i="13" s="1"/>
  <c r="G19" i="13" l="1"/>
  <c r="I18" i="13"/>
  <c r="I19" i="13" l="1"/>
  <c r="I45" i="10"/>
  <c r="A10" i="12"/>
  <c r="A27" i="12" s="1"/>
  <c r="A9" i="12"/>
  <c r="A26" i="12" s="1"/>
  <c r="A4" i="12"/>
  <c r="A2" i="12"/>
  <c r="K23" i="11"/>
  <c r="K22" i="11"/>
  <c r="K21" i="11"/>
  <c r="K20" i="11"/>
  <c r="K19" i="11"/>
  <c r="K18" i="11"/>
  <c r="K17" i="11"/>
  <c r="K16" i="11"/>
  <c r="K15" i="11"/>
  <c r="K14" i="11"/>
  <c r="K13" i="11"/>
  <c r="A12" i="11"/>
  <c r="A30" i="11" s="1"/>
  <c r="A11" i="11"/>
  <c r="A29" i="11" s="1"/>
  <c r="A2" i="11"/>
  <c r="A4" i="10"/>
  <c r="A4" i="8"/>
  <c r="G57" i="10"/>
  <c r="E57" i="10"/>
  <c r="C57" i="10"/>
  <c r="G56" i="10"/>
  <c r="E56" i="10"/>
  <c r="C56" i="10"/>
  <c r="G55" i="10"/>
  <c r="E55" i="10"/>
  <c r="C55" i="10"/>
  <c r="G54" i="10"/>
  <c r="E54" i="10"/>
  <c r="C54" i="10"/>
  <c r="G53" i="10"/>
  <c r="E53" i="10"/>
  <c r="C53" i="10"/>
  <c r="G52" i="10"/>
  <c r="E52" i="10"/>
  <c r="C52" i="10"/>
  <c r="G51" i="10"/>
  <c r="E51" i="10"/>
  <c r="C51" i="10"/>
  <c r="G50" i="10"/>
  <c r="E50" i="10"/>
  <c r="C50" i="10"/>
  <c r="G49" i="10"/>
  <c r="E49" i="10"/>
  <c r="C49" i="10"/>
  <c r="G48" i="10"/>
  <c r="E48" i="10"/>
  <c r="C48" i="10"/>
  <c r="G47" i="10"/>
  <c r="E47" i="10"/>
  <c r="C47" i="10"/>
  <c r="G46" i="10"/>
  <c r="E46" i="10"/>
  <c r="C46" i="10"/>
  <c r="G45" i="10"/>
  <c r="E45" i="10"/>
  <c r="C45" i="10"/>
  <c r="G40" i="10"/>
  <c r="E40" i="10"/>
  <c r="C40" i="10"/>
  <c r="G22" i="10"/>
  <c r="E22" i="10"/>
  <c r="C22" i="10"/>
  <c r="A2" i="10"/>
  <c r="I52" i="10" l="1"/>
  <c r="I48" i="10"/>
  <c r="I49" i="10"/>
  <c r="M20" i="10"/>
  <c r="M19" i="10"/>
  <c r="I47" i="10"/>
  <c r="M15" i="10"/>
  <c r="I55" i="10"/>
  <c r="I56" i="10"/>
  <c r="A4" i="9"/>
  <c r="A4" i="11"/>
  <c r="O31" i="11"/>
  <c r="S31" i="11" s="1"/>
  <c r="M29" i="10" s="1"/>
  <c r="M12" i="10"/>
  <c r="M16" i="10"/>
  <c r="I57" i="10"/>
  <c r="O32" i="11"/>
  <c r="S32" i="11" s="1"/>
  <c r="K48" i="10" s="1"/>
  <c r="O36" i="11"/>
  <c r="S36" i="11" s="1"/>
  <c r="M34" i="10" s="1"/>
  <c r="O40" i="11"/>
  <c r="S40" i="11" s="1"/>
  <c r="K56" i="10" s="1"/>
  <c r="O38" i="11"/>
  <c r="S38" i="11" s="1"/>
  <c r="K54" i="10" s="1"/>
  <c r="O33" i="11"/>
  <c r="S33" i="11" s="1"/>
  <c r="M31" i="10" s="1"/>
  <c r="O35" i="11"/>
  <c r="S35" i="11" s="1"/>
  <c r="M33" i="10" s="1"/>
  <c r="O37" i="11"/>
  <c r="S37" i="11" s="1"/>
  <c r="M35" i="10" s="1"/>
  <c r="O39" i="11"/>
  <c r="S39" i="11" s="1"/>
  <c r="O41" i="11"/>
  <c r="S41" i="11" s="1"/>
  <c r="O30" i="11"/>
  <c r="S30" i="11" s="1"/>
  <c r="O34" i="11"/>
  <c r="S34" i="11" s="1"/>
  <c r="I51" i="10"/>
  <c r="I53" i="10"/>
  <c r="G58" i="10"/>
  <c r="M10" i="10"/>
  <c r="M14" i="10"/>
  <c r="M18" i="10"/>
  <c r="E58" i="10"/>
  <c r="K22" i="10"/>
  <c r="I54" i="10"/>
  <c r="M11" i="10"/>
  <c r="M13" i="10"/>
  <c r="M17" i="10"/>
  <c r="M21" i="10"/>
  <c r="I22" i="10"/>
  <c r="I40" i="10"/>
  <c r="I46" i="10"/>
  <c r="I50" i="10"/>
  <c r="C58" i="10"/>
  <c r="A11" i="9"/>
  <c r="A10" i="9"/>
  <c r="A2" i="9"/>
  <c r="A29" i="9" l="1"/>
  <c r="A9" i="10"/>
  <c r="A27" i="10" s="1"/>
  <c r="A45" i="10" s="1"/>
  <c r="A30" i="9"/>
  <c r="A10" i="10"/>
  <c r="A28" i="10" s="1"/>
  <c r="A46" i="10" s="1"/>
  <c r="K47" i="10"/>
  <c r="M47" i="10" s="1"/>
  <c r="M30" i="10"/>
  <c r="M48" i="10"/>
  <c r="M38" i="10"/>
  <c r="K52" i="10"/>
  <c r="M52" i="10" s="1"/>
  <c r="K53" i="10"/>
  <c r="M53" i="10" s="1"/>
  <c r="M54" i="10"/>
  <c r="M36" i="10"/>
  <c r="M56" i="10"/>
  <c r="O38" i="9"/>
  <c r="K36" i="2" s="1"/>
  <c r="O40" i="9"/>
  <c r="K38" i="2" s="1"/>
  <c r="K51" i="10"/>
  <c r="M51" i="10" s="1"/>
  <c r="K45" i="10"/>
  <c r="M45" i="10" s="1"/>
  <c r="M28" i="10"/>
  <c r="K46" i="10"/>
  <c r="M46" i="10" s="1"/>
  <c r="M39" i="10"/>
  <c r="K57" i="10"/>
  <c r="M57" i="10" s="1"/>
  <c r="K49" i="10"/>
  <c r="M49" i="10" s="1"/>
  <c r="K50" i="10"/>
  <c r="M50" i="10" s="1"/>
  <c r="M32" i="10"/>
  <c r="M37" i="10"/>
  <c r="K40" i="10"/>
  <c r="K55" i="10"/>
  <c r="M55" i="10" s="1"/>
  <c r="O36" i="9"/>
  <c r="K34" i="2" s="1"/>
  <c r="O32" i="9"/>
  <c r="K30" i="2" s="1"/>
  <c r="I58" i="10"/>
  <c r="M22" i="10"/>
  <c r="O31" i="9"/>
  <c r="K29" i="2" s="1"/>
  <c r="O37" i="9"/>
  <c r="K35" i="2" s="1"/>
  <c r="O41" i="9"/>
  <c r="K39" i="2" s="1"/>
  <c r="O39" i="9"/>
  <c r="K37" i="2" s="1"/>
  <c r="O35" i="9"/>
  <c r="K33" i="2" s="1"/>
  <c r="O34" i="9"/>
  <c r="K32" i="2" s="1"/>
  <c r="O33" i="9"/>
  <c r="K31" i="2" s="1"/>
  <c r="O30" i="9"/>
  <c r="K28" i="2" s="1"/>
  <c r="A10" i="8"/>
  <c r="A27" i="8" s="1"/>
  <c r="A9" i="8"/>
  <c r="A26" i="8" s="1"/>
  <c r="I22" i="2"/>
  <c r="A2" i="8"/>
  <c r="C20" i="7"/>
  <c r="M40" i="10" l="1"/>
  <c r="M28" i="2"/>
  <c r="K46" i="2"/>
  <c r="M46" i="2" s="1"/>
  <c r="M37" i="2"/>
  <c r="K55" i="2"/>
  <c r="M55" i="2" s="1"/>
  <c r="M31" i="2"/>
  <c r="K49" i="2"/>
  <c r="M49" i="2" s="1"/>
  <c r="M39" i="2"/>
  <c r="K57" i="2"/>
  <c r="M57" i="2" s="1"/>
  <c r="M38" i="2"/>
  <c r="K56" i="2"/>
  <c r="M56" i="2" s="1"/>
  <c r="M32" i="2"/>
  <c r="K50" i="2"/>
  <c r="M50" i="2" s="1"/>
  <c r="M35" i="2"/>
  <c r="K53" i="2"/>
  <c r="M53" i="2" s="1"/>
  <c r="M30" i="2"/>
  <c r="K48" i="2"/>
  <c r="M48" i="2" s="1"/>
  <c r="M36" i="2"/>
  <c r="K54" i="2"/>
  <c r="M54" i="2" s="1"/>
  <c r="M33" i="2"/>
  <c r="K51" i="2"/>
  <c r="M51" i="2" s="1"/>
  <c r="M29" i="2"/>
  <c r="K47" i="2"/>
  <c r="M47" i="2" s="1"/>
  <c r="M34" i="2"/>
  <c r="K52" i="2"/>
  <c r="M52" i="2" s="1"/>
  <c r="M58" i="10"/>
  <c r="K58" i="10"/>
  <c r="M22" i="2" l="1"/>
  <c r="E58" i="2" l="1"/>
  <c r="G58" i="2"/>
  <c r="I58" i="2"/>
  <c r="K58" i="2"/>
  <c r="C58" i="2"/>
  <c r="E40" i="2"/>
  <c r="G40" i="2"/>
  <c r="A2" i="2"/>
  <c r="O19" i="6"/>
  <c r="M19" i="6"/>
  <c r="K19" i="6"/>
  <c r="I19" i="6"/>
  <c r="G19" i="6"/>
  <c r="E18" i="6"/>
  <c r="E17" i="6"/>
  <c r="E15" i="6"/>
  <c r="E14" i="6"/>
  <c r="E12" i="6"/>
  <c r="E11" i="6"/>
  <c r="K31" i="5"/>
  <c r="K30" i="5"/>
  <c r="K29" i="5"/>
  <c r="K28" i="5"/>
  <c r="K27" i="5"/>
  <c r="I26" i="5"/>
  <c r="G26" i="5"/>
  <c r="G32" i="5" s="1"/>
  <c r="K19" i="5"/>
  <c r="K18" i="5"/>
  <c r="K17" i="5"/>
  <c r="K16" i="5"/>
  <c r="I14" i="5"/>
  <c r="G14" i="5"/>
  <c r="G20" i="5" s="1"/>
  <c r="M58" i="2" l="1"/>
  <c r="C40" i="2"/>
  <c r="E19" i="6"/>
  <c r="I32" i="5"/>
  <c r="K14" i="5"/>
  <c r="I20" i="5"/>
  <c r="K26" i="5"/>
  <c r="K20" i="5" l="1"/>
  <c r="K32" i="5"/>
  <c r="K40" i="2" l="1"/>
  <c r="E22" i="2"/>
  <c r="G22" i="2" l="1"/>
  <c r="C22" i="2"/>
  <c r="M40" i="2" l="1"/>
  <c r="I40" i="2"/>
  <c r="K22" i="2"/>
</calcChain>
</file>

<file path=xl/sharedStrings.xml><?xml version="1.0" encoding="utf-8"?>
<sst xmlns="http://schemas.openxmlformats.org/spreadsheetml/2006/main" count="1655" uniqueCount="931">
  <si>
    <t>Montana-Dakota Utilities Co.</t>
  </si>
  <si>
    <t>Attachment O</t>
  </si>
  <si>
    <t>Integrated</t>
  </si>
  <si>
    <t>General &amp;</t>
  </si>
  <si>
    <t>Common &amp;</t>
  </si>
  <si>
    <t>System</t>
  </si>
  <si>
    <t>Production</t>
  </si>
  <si>
    <t>Transmission</t>
  </si>
  <si>
    <t>Distribution</t>
  </si>
  <si>
    <t>Intangible</t>
  </si>
  <si>
    <t>Total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</si>
  <si>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</si>
  <si>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</si>
  <si>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</si>
  <si>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</si>
  <si>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</si>
  <si>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</si>
  <si>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</si>
  <si>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</si>
  <si>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</si>
  <si>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</si>
  <si>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</si>
  <si>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Average</t>
  </si>
  <si>
    <t>MDU Electric</t>
  </si>
  <si>
    <t>General</t>
  </si>
  <si>
    <t>Common</t>
  </si>
  <si>
    <t>GPNG Gas</t>
  </si>
  <si>
    <t>Beginning</t>
  </si>
  <si>
    <t>Ending</t>
  </si>
  <si>
    <t>Balance</t>
  </si>
  <si>
    <t>MISO Attachment O Annual True-up</t>
  </si>
  <si>
    <t>Reconciliation of Form 1 to Jurisdictional Statements</t>
  </si>
  <si>
    <t>Form 1 Page,</t>
  </si>
  <si>
    <t>Form 1</t>
  </si>
  <si>
    <t>Jurisdictional</t>
  </si>
  <si>
    <t>Rate Base</t>
  </si>
  <si>
    <t>Line, Col.</t>
  </si>
  <si>
    <t>Ending Balance</t>
  </si>
  <si>
    <t>Adjustments</t>
  </si>
  <si>
    <t>Gross Plant in Service</t>
  </si>
  <si>
    <t>205.46.g</t>
  </si>
  <si>
    <t xml:space="preserve">    Steam Production</t>
  </si>
  <si>
    <t>205.15.g</t>
  </si>
  <si>
    <t>1/</t>
  </si>
  <si>
    <t xml:space="preserve">    Other Production</t>
  </si>
  <si>
    <t>205.44.g</t>
  </si>
  <si>
    <t>207.58.g</t>
  </si>
  <si>
    <t>207.75.g</t>
  </si>
  <si>
    <t>General &amp; Intangible</t>
  </si>
  <si>
    <t>205.5.g &amp;</t>
  </si>
  <si>
    <t>207.99.g</t>
  </si>
  <si>
    <t>Total Gross Plant</t>
  </si>
  <si>
    <t>Accumulated Depreciation</t>
  </si>
  <si>
    <t>219.20-24.c</t>
  </si>
  <si>
    <t>219.25.c</t>
  </si>
  <si>
    <t>219.26.c</t>
  </si>
  <si>
    <t xml:space="preserve">219.28.c &amp; </t>
  </si>
  <si>
    <t>200.21.c</t>
  </si>
  <si>
    <t>Total Accumulated Depreciation</t>
  </si>
  <si>
    <t>Reserve</t>
  </si>
  <si>
    <t>MISO Attachment O Annual True-Up</t>
  </si>
  <si>
    <t>North</t>
  </si>
  <si>
    <t>South</t>
  </si>
  <si>
    <t>Montana</t>
  </si>
  <si>
    <t>Dakota</t>
  </si>
  <si>
    <t>Wyoming</t>
  </si>
  <si>
    <t>GPNG</t>
  </si>
  <si>
    <t>Common Intangible</t>
  </si>
  <si>
    <t>MDU Gas</t>
  </si>
  <si>
    <t xml:space="preserve">Total MDU </t>
  </si>
  <si>
    <t>Plant in Service &amp; Accumulated Reserve</t>
  </si>
  <si>
    <t>Common Plant in Service by Utility by State</t>
  </si>
  <si>
    <t>Electric</t>
  </si>
  <si>
    <t>Twelve Coincident Peaks</t>
  </si>
  <si>
    <t>January</t>
  </si>
  <si>
    <t>Electric &amp; Gas</t>
  </si>
  <si>
    <t>Wyoming - Electric</t>
  </si>
  <si>
    <t>Plant in Service - Common</t>
  </si>
  <si>
    <t>Company</t>
  </si>
  <si>
    <t>Plant in Service - Electric</t>
  </si>
  <si>
    <t>Plant in Service - Electric General</t>
  </si>
  <si>
    <t>Wyoming - Gas</t>
  </si>
  <si>
    <t>Accumulated Reserve for Depreciation - Electric</t>
  </si>
  <si>
    <t>Accumulated Reserve for Depreciation - Common</t>
  </si>
  <si>
    <t>Accumulated Reserve for Deprecation - Electric General</t>
  </si>
  <si>
    <t>MISO Attachment O Annual True Up</t>
  </si>
  <si>
    <t>Page, Line, Col.</t>
  </si>
  <si>
    <t>AROs  2/</t>
  </si>
  <si>
    <t>Steam Production</t>
  </si>
  <si>
    <t>219.20.c</t>
  </si>
  <si>
    <t>Other Production</t>
  </si>
  <si>
    <t>219.24.c</t>
  </si>
  <si>
    <t xml:space="preserve">   Production</t>
  </si>
  <si>
    <t>219.28.c</t>
  </si>
  <si>
    <t>General Intangible</t>
  </si>
  <si>
    <t>2/  AROs = difference between Form 1 balances and Jurisdictional balances.</t>
  </si>
  <si>
    <t>Accumulated Reserve for Depreciation by Function</t>
  </si>
  <si>
    <t>Exclude Work in Progress</t>
  </si>
  <si>
    <t>Gas</t>
  </si>
  <si>
    <t>Common Accumulated Reserve for Depreciation by Utility by State</t>
  </si>
  <si>
    <t>Reconciliation to Form 1 Balances</t>
  </si>
  <si>
    <t>MISO</t>
  </si>
  <si>
    <t>Subtotal</t>
  </si>
  <si>
    <t>Adjustments to Rate Base</t>
  </si>
  <si>
    <t>Account No. 281 (enter negative)</t>
  </si>
  <si>
    <t>273.8.k</t>
  </si>
  <si>
    <t>Account No. 282 (enter negative)</t>
  </si>
  <si>
    <t xml:space="preserve">    Acct 282</t>
  </si>
  <si>
    <t>275.2.k</t>
  </si>
  <si>
    <t xml:space="preserve">    FAS 109 for Acct 282</t>
  </si>
  <si>
    <t>Account No. 283 (enter negative)</t>
  </si>
  <si>
    <t xml:space="preserve">    Acct 283</t>
  </si>
  <si>
    <t>277.9.k</t>
  </si>
  <si>
    <t xml:space="preserve">    FAS 109 for Acct 283</t>
  </si>
  <si>
    <t>Account No. 190</t>
  </si>
  <si>
    <t xml:space="preserve">    Acct 190</t>
  </si>
  <si>
    <t>234.8.c</t>
  </si>
  <si>
    <t xml:space="preserve">    FAS 109 for Acct 190</t>
  </si>
  <si>
    <t>1/  Added AFUDC Equity - FAS 109 included in Other on Form 1 (Accts 282 and 283).</t>
  </si>
  <si>
    <t>Average</t>
  </si>
  <si>
    <t>Acct 282</t>
  </si>
  <si>
    <t>Acct 283</t>
  </si>
  <si>
    <t>Acct 190</t>
  </si>
  <si>
    <t>Transmission Materials &amp; Supplies</t>
  </si>
  <si>
    <t>Form 1, Page 227, Line 12, Column c</t>
  </si>
  <si>
    <t xml:space="preserve">   Exclude Assigned to Other</t>
  </si>
  <si>
    <t>Transmission O&amp;M</t>
  </si>
  <si>
    <t>Allocated</t>
  </si>
  <si>
    <t>13 Month Average Balance</t>
  </si>
  <si>
    <t xml:space="preserve"> </t>
  </si>
  <si>
    <t>Prepayments</t>
  </si>
  <si>
    <t>Account</t>
  </si>
  <si>
    <t>13 Month Average</t>
  </si>
  <si>
    <t>Prepaid Insurance</t>
  </si>
  <si>
    <t>Purchased Power</t>
  </si>
  <si>
    <t>Gas Demand Charges</t>
  </si>
  <si>
    <t>Misc Prepaid</t>
  </si>
  <si>
    <t xml:space="preserve">Exclude:  </t>
  </si>
  <si>
    <t xml:space="preserve">    Prepaid Commodity Charges</t>
  </si>
  <si>
    <t>Wyoming Electric</t>
  </si>
  <si>
    <t>Total Prepayments</t>
  </si>
  <si>
    <t>Working Capital</t>
  </si>
  <si>
    <t>Total Company</t>
  </si>
  <si>
    <t>MDU Electric and Gas, GPNG - Gas</t>
  </si>
  <si>
    <t>FERC</t>
  </si>
  <si>
    <t>Account Description</t>
  </si>
  <si>
    <t>Operation Supervision and Engineering</t>
  </si>
  <si>
    <t>Load Dispatch - Reliability</t>
  </si>
  <si>
    <t>Load Dispatch - Monitor &amp; Operate Transmission System</t>
  </si>
  <si>
    <t>Scheduling, System Control &amp; Dispatch Services</t>
  </si>
  <si>
    <t>Reliability, Planning and Standards Development Services</t>
  </si>
  <si>
    <t>Station Expenses</t>
  </si>
  <si>
    <t>Overhead Lines Expenses</t>
  </si>
  <si>
    <t>Transmission of Electricity by Others</t>
  </si>
  <si>
    <t>Misc Transmission Expense</t>
  </si>
  <si>
    <t>Rents</t>
  </si>
  <si>
    <t>Maintenance Supervision &amp; Engineering</t>
  </si>
  <si>
    <t>Maintenance of Structures</t>
  </si>
  <si>
    <t>Maintenance of Station Equipment</t>
  </si>
  <si>
    <t>Transmission O&amp;M - Jursidictional</t>
  </si>
  <si>
    <t xml:space="preserve">    Regional Market Expenses Account 575</t>
  </si>
  <si>
    <t>Page 3 Line 1a (LSE Expenses incl. in Transmission O&amp;M Accts)</t>
  </si>
  <si>
    <t>Note V Exlusions from Transmission Expenses:</t>
  </si>
  <si>
    <t>Account 561.4</t>
  </si>
  <si>
    <t>Account 561.8</t>
  </si>
  <si>
    <t>Transmission Expenses</t>
  </si>
  <si>
    <t>Page 4 Line 7 Transmission Expenses included IN OATT</t>
  </si>
  <si>
    <t>Ancillary Services (Note L)</t>
  </si>
  <si>
    <t>Account 561.1</t>
  </si>
  <si>
    <t>Account 561.2</t>
  </si>
  <si>
    <t>Load Dispatch - Transmission Service &amp; Scheduleing</t>
  </si>
  <si>
    <t>Account 561.3</t>
  </si>
  <si>
    <t>Acct 561.1 - 561.3, 561.BA included in Line 7</t>
  </si>
  <si>
    <t>Acct 561.BA for Schedule 24</t>
  </si>
  <si>
    <t>Acct 561.1 - 561.3 available for Schedule 1</t>
  </si>
  <si>
    <t>Revenue Credits for Sched 1 Acct 561.1 - 561.3</t>
  </si>
  <si>
    <t xml:space="preserve">    transactions &lt;1 yr</t>
  </si>
  <si>
    <t xml:space="preserve">    non-firm</t>
  </si>
  <si>
    <t xml:space="preserve">    transactions w/ load not in divisor</t>
  </si>
  <si>
    <t xml:space="preserve">  Total Revenue Credits</t>
  </si>
  <si>
    <t>Net Schedule 1 Expenses (Acct 561.1-561.3 minus Credits)</t>
  </si>
  <si>
    <t>Tranmission O&amp;M Expense</t>
  </si>
  <si>
    <t>Balances</t>
  </si>
  <si>
    <t>1/  Excludes acquisition adjustment = $10,387,642.</t>
  </si>
  <si>
    <t>Utility</t>
  </si>
  <si>
    <t xml:space="preserve">1/  Exclude Asset Retirement Costs per Note AA, page 5 of Attachment O.  </t>
  </si>
  <si>
    <t>RWIP</t>
  </si>
  <si>
    <t>Less:</t>
  </si>
  <si>
    <t>Total Accum.</t>
  </si>
  <si>
    <t>Total Wyoming</t>
  </si>
  <si>
    <t>Average Balance</t>
  </si>
  <si>
    <t>Materials &amp; Supplies</t>
  </si>
  <si>
    <t>(excluding Acct 575:  Regional Market Expense)</t>
  </si>
  <si>
    <t>Administrative &amp; General Salaries</t>
  </si>
  <si>
    <t>Office Supplies &amp; Expenses</t>
  </si>
  <si>
    <t>Outside Services Employed</t>
  </si>
  <si>
    <t>Property Insurance</t>
  </si>
  <si>
    <t>Injuries &amp; Damages</t>
  </si>
  <si>
    <t>Employee Pensions &amp; Benefits</t>
  </si>
  <si>
    <t>Regulatory Commission Expenses</t>
  </si>
  <si>
    <t>General Advertising Expenses</t>
  </si>
  <si>
    <t>Miscellaneous General Expenses</t>
  </si>
  <si>
    <t>Regulatory Commission Expenses &amp; Non-Safety Ad.</t>
  </si>
  <si>
    <t>Regulatory Commission</t>
  </si>
  <si>
    <t>Expense - Electric Utility  1/</t>
  </si>
  <si>
    <t>North Dakota</t>
  </si>
  <si>
    <t>South Dakota</t>
  </si>
  <si>
    <t>Exclude:</t>
  </si>
  <si>
    <t>Total Regulatory Commission Expense</t>
  </si>
  <si>
    <t>O&amp;M A&amp;G General</t>
  </si>
  <si>
    <t>Less:  Wyoming</t>
  </si>
  <si>
    <t>1/  FERC Form 1 page 351, column h for current charges.</t>
  </si>
  <si>
    <t xml:space="preserve">2/ </t>
  </si>
  <si>
    <t>4/</t>
  </si>
  <si>
    <t>FERC Annual Fees paid by Montana-Dakota for transmission</t>
  </si>
  <si>
    <t>outside of MISO.</t>
  </si>
  <si>
    <t>Form 1 Page</t>
  </si>
  <si>
    <t>Depreciation Expense</t>
  </si>
  <si>
    <t>336.7.b</t>
  </si>
  <si>
    <t>336.10.f</t>
  </si>
  <si>
    <t>336.1.f</t>
  </si>
  <si>
    <t>336.11.b</t>
  </si>
  <si>
    <t xml:space="preserve">Taxes Other than Income </t>
  </si>
  <si>
    <t>Labor Related</t>
  </si>
  <si>
    <t>Payroll</t>
  </si>
  <si>
    <t>Unemployment</t>
  </si>
  <si>
    <t>263.i</t>
  </si>
  <si>
    <t>Federal - FICA</t>
  </si>
  <si>
    <t>Highway &amp; vehicle</t>
  </si>
  <si>
    <t>Plant Related</t>
  </si>
  <si>
    <t>Property</t>
  </si>
  <si>
    <t>Gross Receipts</t>
  </si>
  <si>
    <t>Other</t>
  </si>
  <si>
    <t>MT Electric</t>
  </si>
  <si>
    <t xml:space="preserve">   MT WET Tax</t>
  </si>
  <si>
    <t xml:space="preserve">   MT Electric License</t>
  </si>
  <si>
    <t>ND Coal Conversion</t>
  </si>
  <si>
    <t>Secretaries of State</t>
  </si>
  <si>
    <t>Payment in lieu of taxes</t>
  </si>
  <si>
    <t>Franchise Fees</t>
  </si>
  <si>
    <t xml:space="preserve">  Total</t>
  </si>
  <si>
    <t>Administrative &amp; General Expenses</t>
  </si>
  <si>
    <t>Depreciation Expense &amp; Other Taxes</t>
  </si>
  <si>
    <t>Production-Related Plant Removed from Transmission</t>
  </si>
  <si>
    <t>Glendive Turbine Junction</t>
  </si>
  <si>
    <t>Transmission Function FERC 353</t>
  </si>
  <si>
    <t>Heskett Station</t>
  </si>
  <si>
    <t>Miles City Turbine</t>
  </si>
  <si>
    <t>Lewis &amp; Clark Switchyard</t>
  </si>
  <si>
    <t>Coyote Aux. Power 115KV Tap Line</t>
  </si>
  <si>
    <t>Towers &amp; Fixtures Function FERC 3540</t>
  </si>
  <si>
    <t>Transmission Function FERC 355</t>
  </si>
  <si>
    <t>Overhead Conductor &amp; Device Function FERC 3560</t>
  </si>
  <si>
    <t>Big Stone Plant Intake Line</t>
  </si>
  <si>
    <t>Coyote Surge Pond Line</t>
  </si>
  <si>
    <t>Land Rights Function FERC 3502</t>
  </si>
  <si>
    <t>Diamond Willow Substation</t>
  </si>
  <si>
    <t>Transmission Function FERC 3501</t>
  </si>
  <si>
    <t>Cedar Hills Substation</t>
  </si>
  <si>
    <t>Transmission Function FERC 3502</t>
  </si>
  <si>
    <t>Ormat Transmission Line</t>
  </si>
  <si>
    <t>Transmission Function FERC 353 to Power Production</t>
  </si>
  <si>
    <t>Acct 456.1 Transmission of Electricity for Others</t>
  </si>
  <si>
    <t>Revenues</t>
  </si>
  <si>
    <t>a.</t>
  </si>
  <si>
    <t>Transmission charges for all transmission transactions</t>
  </si>
  <si>
    <t>330.x.n</t>
  </si>
  <si>
    <t>Powder River Energy Corp</t>
  </si>
  <si>
    <t xml:space="preserve">      Powder River Energy Corp  1/</t>
  </si>
  <si>
    <t xml:space="preserve">  Total included in Line 35, Page 4 of Attachment O</t>
  </si>
  <si>
    <t>b.</t>
  </si>
  <si>
    <t>Transmission charges for all transmission transactions included in Divisor 1 on Page 1</t>
  </si>
  <si>
    <t>c.</t>
  </si>
  <si>
    <t>d.</t>
  </si>
  <si>
    <t>Total of (a) - (b) - (c) - (d)</t>
  </si>
  <si>
    <t>1/  Applicable to Wyoming.</t>
  </si>
  <si>
    <t>Page #, Line #</t>
  </si>
  <si>
    <t>FERC Form1</t>
  </si>
  <si>
    <t>354.20.b</t>
  </si>
  <si>
    <t>354.21.b</t>
  </si>
  <si>
    <t>354.23.b</t>
  </si>
  <si>
    <t>Customer Accounts</t>
  </si>
  <si>
    <t>354.24.b</t>
  </si>
  <si>
    <t>Customer Service</t>
  </si>
  <si>
    <t>354.25.b</t>
  </si>
  <si>
    <t>Sales</t>
  </si>
  <si>
    <t>354.26.b</t>
  </si>
  <si>
    <t>Plant - Classified</t>
  </si>
  <si>
    <t>200.3.c</t>
  </si>
  <si>
    <t>201.3.d</t>
  </si>
  <si>
    <t>MISO Attchment O</t>
  </si>
  <si>
    <t>SIT Calculation</t>
  </si>
  <si>
    <t>Supporting Workpaper</t>
  </si>
  <si>
    <t>Page 5 Note K - Federal and State Income Tax Rates</t>
  </si>
  <si>
    <t>Calculation of Composite State  Rate.</t>
  </si>
  <si>
    <t>State Tax Rate</t>
  </si>
  <si>
    <t>Allocation %</t>
  </si>
  <si>
    <t>Note K: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</si>
  <si>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</si>
  <si>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</si>
  <si>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</si>
  <si>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</si>
  <si>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</si>
  <si>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</si>
  <si>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>SIT work papers if required</t>
  </si>
  <si>
    <t>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</si>
  <si>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</si>
  <si>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</si>
  <si>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</si>
  <si>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</si>
  <si>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</si>
  <si>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Thirteen Month Average Balances</t>
  </si>
  <si>
    <t>CWIP - Attachment MM</t>
  </si>
  <si>
    <t>Capital Structure</t>
  </si>
  <si>
    <t>Long Term</t>
  </si>
  <si>
    <t>Preferred</t>
  </si>
  <si>
    <t>Proprietary</t>
  </si>
  <si>
    <t>Dividends</t>
  </si>
  <si>
    <t>Capital</t>
  </si>
  <si>
    <t>Stock</t>
  </si>
  <si>
    <t>13 Month Avg.</t>
  </si>
  <si>
    <t>Joint Use Agreements</t>
  </si>
  <si>
    <t>Integrated System</t>
  </si>
  <si>
    <t>Other Electric Revenues Account 456.1</t>
  </si>
  <si>
    <t>Line 35</t>
  </si>
  <si>
    <t>Line 36</t>
  </si>
  <si>
    <t>Line 36a</t>
  </si>
  <si>
    <t>Line 36b</t>
  </si>
  <si>
    <t>Page 4</t>
  </si>
  <si>
    <t>Summary of Account 4540.008 Joint Use Facilities</t>
  </si>
  <si>
    <t>Wages &amp; Salary</t>
  </si>
  <si>
    <t>Common Plant Allocator</t>
  </si>
  <si>
    <t>MTEP Project ID 2220</t>
  </si>
  <si>
    <t>Production 1/</t>
  </si>
  <si>
    <t xml:space="preserve">1/  Excludes acquisition adjustment. </t>
  </si>
  <si>
    <t>Total MDU Common</t>
  </si>
  <si>
    <t>Misc Prepaid - Gas:</t>
  </si>
  <si>
    <t>FERC Fees are included in the Regulatory Commission</t>
  </si>
  <si>
    <t xml:space="preserve"> Expenses shown on FERC Form 1, page 351.</t>
  </si>
  <si>
    <t>Advertising Total Company</t>
  </si>
  <si>
    <t xml:space="preserve">    FERC Annual Fees 3/</t>
  </si>
  <si>
    <t>3/</t>
  </si>
  <si>
    <t>Schedule 1 Recoverable Expenses</t>
  </si>
  <si>
    <t>Acct 255</t>
  </si>
  <si>
    <t>Total Acct 154 (Materials &amp; Supplies)</t>
  </si>
  <si>
    <t>Twelve Months Ended December 31, 2015</t>
  </si>
  <si>
    <t>2015 Allocation Factors</t>
  </si>
  <si>
    <t>December 2015</t>
  </si>
  <si>
    <t>Construction (Page 227 Line 5)</t>
  </si>
  <si>
    <t xml:space="preserve">    FERC Annual Fees - MISO 4/</t>
  </si>
  <si>
    <t>outside of SPP.</t>
  </si>
  <si>
    <t xml:space="preserve">L&amp;C - Rice Generator </t>
  </si>
  <si>
    <t>Transmission Function FERC 356</t>
  </si>
  <si>
    <t>Facility</t>
  </si>
  <si>
    <t>2/  Gas includes MDU and Great Plains Common Plant.</t>
  </si>
  <si>
    <t>Intangible  2/</t>
  </si>
  <si>
    <t>(MDU Electric &amp; Gas, GPNG Gas)</t>
  </si>
  <si>
    <t>Total Integrated System (Page 3, Line 5)</t>
  </si>
  <si>
    <t xml:space="preserve">       FERC Fees (Page 3, Line 4)  2/</t>
  </si>
  <si>
    <t>Transmission Related Reg Commission Expense (Note I)</t>
  </si>
  <si>
    <t>(Page 3, Line 5a)</t>
  </si>
  <si>
    <t>Production Plant (Page 227 Line 7)</t>
  </si>
  <si>
    <t>Transmission Plant (Page 227 Line 8)</t>
  </si>
  <si>
    <t>Distribution Plant (Page 227 Line 9)</t>
  </si>
  <si>
    <t>Electric Utility</t>
  </si>
  <si>
    <t xml:space="preserve">MISO Total Revenues </t>
  </si>
  <si>
    <t>Schedule 1</t>
  </si>
  <si>
    <t>Schedule 2</t>
  </si>
  <si>
    <t>Schedule 7</t>
  </si>
  <si>
    <t>Schedule 8</t>
  </si>
  <si>
    <t>Schedule 11</t>
  </si>
  <si>
    <t>Schedule 24</t>
  </si>
  <si>
    <t>Actual Reported Costs for Twelve Months Ended December 31, 2016</t>
  </si>
  <si>
    <t>Twelve Months Ended Decembe 31, 2016</t>
  </si>
  <si>
    <t>Twelve Months Ended December 31, 2016</t>
  </si>
  <si>
    <t>Thirteen Months Ended December 31, 2016</t>
  </si>
  <si>
    <t>January 2016</t>
  </si>
  <si>
    <t>December 2015 through December 2016</t>
  </si>
  <si>
    <t>2015 - 2016</t>
  </si>
  <si>
    <t>2016 Update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</si>
  <si>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</si>
  <si>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</si>
  <si>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</si>
  <si>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</si>
  <si>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</si>
  <si>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</si>
  <si>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</si>
  <si>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</si>
  <si>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</si>
  <si>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</si>
  <si>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</si>
  <si>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2016 Allocation Factors</t>
  </si>
  <si>
    <t>December 2014/2015</t>
  </si>
  <si>
    <t>January 2015/2016</t>
  </si>
  <si>
    <t>FERC Annual Fees, Note BB (MISO Schedule 10, including</t>
  </si>
  <si>
    <t>MISO Schedule 11 adjustments)</t>
  </si>
  <si>
    <t>Total 2016</t>
  </si>
  <si>
    <t>1/ Common includes MDU Gas and Great Plains.</t>
  </si>
  <si>
    <t>Intangible  1/</t>
  </si>
  <si>
    <t>FERC Form 1, page 321 Transmission O&amp;M Expense (Line 112)</t>
  </si>
  <si>
    <t xml:space="preserve">    FERC Annual Fees - SPP 5/</t>
  </si>
  <si>
    <t>5/</t>
  </si>
  <si>
    <t xml:space="preserve">ND Wind Generation </t>
  </si>
  <si>
    <t>Schedule 9</t>
  </si>
  <si>
    <t>MISO Schedule 24</t>
  </si>
  <si>
    <t>MISO Schedules 1, 2, 7, 8, 9, and 11</t>
  </si>
  <si>
    <t>(FERC Form 1, Page 330, Col n)</t>
  </si>
  <si>
    <t>Thunder Spirit</t>
  </si>
  <si>
    <t>Transmission Function FERC 353 to Generation</t>
  </si>
  <si>
    <t>Transmission Function FERC 355 to Generation</t>
  </si>
  <si>
    <t>OH Conductor &amp; Device Function FERC 3560 to Generation</t>
  </si>
  <si>
    <t>WAPA and Other</t>
  </si>
  <si>
    <t>Include:</t>
  </si>
  <si>
    <t>Transmission charges from Schedules associated with Attachment GG (Note X)   3/</t>
  </si>
  <si>
    <t>Transmission charges from Schedules associated with Attachment MM  (Note Z)  3/</t>
  </si>
  <si>
    <t>2/</t>
  </si>
  <si>
    <t xml:space="preserve">      Facility Sharing Agreement   2/</t>
  </si>
  <si>
    <t xml:space="preserve">      Facility Credits under SPP Schedule 9  2/</t>
  </si>
  <si>
    <t xml:space="preserve">Revenue received not included on FERC Form 1, page 330 but is related to transmission service to others.  </t>
  </si>
  <si>
    <t xml:space="preserve">         Less:  Wyoming</t>
  </si>
  <si>
    <t>2014 True-up Refund Calculations</t>
  </si>
  <si>
    <t>Net Attachment O / Schedule 9</t>
  </si>
  <si>
    <t>Calculation of Weighted Revenue Requirement for Revised True-up</t>
  </si>
  <si>
    <t xml:space="preserve">2014 Rev Req at 12.38% </t>
  </si>
  <si>
    <t xml:space="preserve">2014 Rev Req at 10.32% </t>
  </si>
  <si>
    <t xml:space="preserve">2014 Weighted Rev Req </t>
  </si>
  <si>
    <r>
      <t>Net</t>
    </r>
    <r>
      <rPr>
        <i/>
        <sz val="10"/>
        <rFont val="Arial"/>
        <family val="2"/>
      </rPr>
      <t xml:space="preserve"> Actual </t>
    </r>
    <r>
      <rPr>
        <sz val="10"/>
        <rFont val="Arial"/>
        <family val="2"/>
      </rPr>
      <t>Revenue Requirement (Actual Attachment O, Pg 1, Line 7)</t>
    </r>
  </si>
  <si>
    <t>Percent of Revenue Received at ROE</t>
  </si>
  <si>
    <t>Weighted Net Actual Revenue Requirement</t>
  </si>
  <si>
    <r>
      <t xml:space="preserve">Net </t>
    </r>
    <r>
      <rPr>
        <i/>
        <sz val="10"/>
        <rFont val="Arial"/>
        <family val="2"/>
      </rPr>
      <t>Projected</t>
    </r>
    <r>
      <rPr>
        <sz val="10"/>
        <rFont val="Arial"/>
        <family val="2"/>
      </rPr>
      <t xml:space="preserve"> Revenue Requirement (Projected Attachment O, Pg 1, Line 7)</t>
    </r>
  </si>
  <si>
    <t>Weighted Net Projected Revenue Requirement</t>
  </si>
  <si>
    <t>Comparison of Original and Revised Weighted True-up</t>
  </si>
  <si>
    <t>(a)</t>
  </si>
  <si>
    <t>Original 2014 True-Up As Billed in 2016</t>
  </si>
  <si>
    <t>Revised 2014 True-Up Weighted Rev Req</t>
  </si>
  <si>
    <t>Difference to Refund</t>
  </si>
  <si>
    <t>Net Actual Revenue Requirement (Attachment O, Pg 1, Line 7)</t>
  </si>
  <si>
    <t>Net Projected Revenue Requirement (Projected Attachment O, Pg 1, Line 7)</t>
  </si>
  <si>
    <t>Under/(Over) Recovery of Net Revenue Requirement</t>
  </si>
  <si>
    <t>Historic Year Actual Divisor for Pricing Zone (Attachment O, Pg 1, Line 15)</t>
  </si>
  <si>
    <t>Projected Year Divisor for Pricing Zone  (Projected Attachment O, Pg 1, Line 15)</t>
  </si>
  <si>
    <t>Difference between Historic &amp; Projected Yr Divisor</t>
  </si>
  <si>
    <t>Prior Year Projected Annual Cost ($ per kw per yr)</t>
  </si>
  <si>
    <t>Prior Year Under/(Over) Divisor True-up</t>
  </si>
  <si>
    <t>Plus Schedule 7 &amp; 8 Point-to-Point Refund Given for Year in Projected Refund</t>
  </si>
  <si>
    <t>Total Under/(Over) Recovery</t>
  </si>
  <si>
    <t>Monthly Interest Rate</t>
  </si>
  <si>
    <t>Interest For 24 Months</t>
  </si>
  <si>
    <t>Total True-up Adjustment for Schedule 9</t>
  </si>
  <si>
    <t>Attachment GG / Schedule 26</t>
  </si>
  <si>
    <t>Actual Attachment GG Revenue Requirement for True-Up Year</t>
  </si>
  <si>
    <t>Weighted Actual Attachment GG Revenue Requirement for True-Up Year</t>
  </si>
  <si>
    <t>Calculation of Revenue Received for Revised True-up</t>
  </si>
  <si>
    <t>Actual Attachment GG Revenues for True-Up Year</t>
  </si>
  <si>
    <t>Less Attachment GG Refund Given for Year in Projected Rates</t>
  </si>
  <si>
    <t>Adjusted Actual Attachment GG Revenues for True-Up Year</t>
  </si>
  <si>
    <t xml:space="preserve">Revised Weighted 2014 True-Up </t>
  </si>
  <si>
    <t xml:space="preserve">Revised Weighted 2014 Check </t>
  </si>
  <si>
    <t>Amount should be zero</t>
  </si>
  <si>
    <t>Actual Annual Revenue Requirement for True-up Year</t>
  </si>
  <si>
    <t>True-Up Adjustment Principal Under/(Over)</t>
  </si>
  <si>
    <t>Applicable Interest rate per month</t>
  </si>
  <si>
    <t>Total True-up Adjustment for Schedule 26</t>
  </si>
  <si>
    <t>Attachment MM / Schedule 26-A</t>
  </si>
  <si>
    <t>Actual Attachment MM Revenue Requirement for True-Up Year</t>
  </si>
  <si>
    <t>Weighted Actual Attachment MM Revenue Requirement for True-Up Year</t>
  </si>
  <si>
    <t>Actual Attachment MM Revenues for True-Up Year</t>
  </si>
  <si>
    <t>Less Attachment MM Refund Given for Year in Projected Rates</t>
  </si>
  <si>
    <t>Adjusted Actual Attachment MM Revenues for True-Up Year</t>
  </si>
  <si>
    <t>Total True-up Adjustment for Schedule 26-A</t>
  </si>
  <si>
    <t>Step</t>
  </si>
  <si>
    <t>Shaded numbers should tie to original True-up Calculation</t>
  </si>
  <si>
    <t>Revised Revenue Requirements at lower ROE (Projected and Actual)</t>
  </si>
  <si>
    <t>Portion of Year that ROE was in effective - Revenue Weighted</t>
  </si>
  <si>
    <t>Projected Refunds for Schedules 7/8, 26 and 26-A from MISO MC Files (Positive Number)</t>
  </si>
  <si>
    <t xml:space="preserve">Note </t>
  </si>
  <si>
    <t>Amounts to be used by Tariff Pricing to update MISO's 2016 projected files</t>
  </si>
  <si>
    <t xml:space="preserve">      Attachment GG Revenue Requirement  3/</t>
  </si>
  <si>
    <t xml:space="preserve">      Attachment MM Revenue Requirement  3/</t>
  </si>
  <si>
    <t>3/  Revenue from Attachments GG and MM are not included on FERC Form 1, page 330</t>
  </si>
  <si>
    <t>BEPC</t>
  </si>
  <si>
    <t>Schedule 7 and 8</t>
  </si>
  <si>
    <t>Schedules 1, 2, 9, 11, 24</t>
  </si>
  <si>
    <t>Variances &gt; 20% from 2015 Actuals</t>
  </si>
  <si>
    <t>2016 True-Up</t>
  </si>
  <si>
    <t>Revenue Credits</t>
  </si>
  <si>
    <t>Actuals</t>
  </si>
  <si>
    <t>% Variance</t>
  </si>
  <si>
    <t xml:space="preserve">Expiration of WAPA/Basin Agreement in 2015.  </t>
  </si>
  <si>
    <t>Received $12.6M in SPP Schedule 9 Facility Credits</t>
  </si>
  <si>
    <t>and $3.9M in revenue under MISO Schedule 9</t>
  </si>
  <si>
    <t>for services previously provided for under the</t>
  </si>
  <si>
    <t>WAPA/Basin Agreements.</t>
  </si>
  <si>
    <t>Total Gross Plant in Service</t>
  </si>
  <si>
    <t>2015 reflects one month of Thunder Spirit wind</t>
  </si>
  <si>
    <t>project whereas 2016 reflects project in all 12 months</t>
  </si>
  <si>
    <t>MVP CWIP</t>
  </si>
  <si>
    <t>BSSE project is schedule to go online in 2019.  Project</t>
  </si>
  <si>
    <t xml:space="preserve">costs increase as project moves on in construction </t>
  </si>
  <si>
    <t>phase</t>
  </si>
  <si>
    <t xml:space="preserve">Company now taking SPP Schedule 9 NITS service in </t>
  </si>
  <si>
    <t>2016 which amounted to $18.4M</t>
  </si>
  <si>
    <t>Components with Variance</t>
  </si>
  <si>
    <t>ADITS - Account 190</t>
  </si>
  <si>
    <t>2016 increase in ADITs associated with primarily PTCs</t>
  </si>
  <si>
    <t xml:space="preserve"> being carried forward, but also an increase in the </t>
  </si>
  <si>
    <t>ADITs associated with postretirement benefits.</t>
  </si>
  <si>
    <t>Reason for Variance &gt; 20% from 2015 Actuals</t>
  </si>
  <si>
    <t xml:space="preserve">Fluctuates from year to year depending on projects and </t>
  </si>
  <si>
    <t>their respective function</t>
  </si>
  <si>
    <t>Transmission Plant included</t>
  </si>
  <si>
    <t xml:space="preserve">   in OATT Ancillary Services</t>
  </si>
  <si>
    <t xml:space="preserve">2016 reflects the inclusion of Thunder Spirit plant = </t>
  </si>
  <si>
    <t>MDU</t>
  </si>
  <si>
    <t>Debt</t>
  </si>
  <si>
    <t>Interest</t>
  </si>
  <si>
    <t xml:space="preserve">   Total MISO</t>
  </si>
  <si>
    <t>page 1 of 5</t>
  </si>
  <si>
    <t xml:space="preserve">Formula Rate - Non-Levelized </t>
  </si>
  <si>
    <t xml:space="preserve">     Rate Formula Template</t>
  </si>
  <si>
    <t>For the 12 months ended 12/31/16</t>
  </si>
  <si>
    <t xml:space="preserve"> Utilizing FERC Form 1 Data</t>
  </si>
  <si>
    <t>Line</t>
  </si>
  <si>
    <t>No.</t>
  </si>
  <si>
    <t>Amount</t>
  </si>
  <si>
    <t>GROSS REVENUE REQUIREMENT    (page 3, line 31)</t>
  </si>
  <si>
    <t xml:space="preserve">REVENUE CREDITS </t>
  </si>
  <si>
    <t>(Note T)</t>
  </si>
  <si>
    <t>Allocator</t>
  </si>
  <si>
    <t xml:space="preserve">  Account No. 454</t>
  </si>
  <si>
    <t>(page 4, line 34)</t>
  </si>
  <si>
    <t>TP</t>
  </si>
  <si>
    <t xml:space="preserve">  Account No. 456.1</t>
  </si>
  <si>
    <t>(page 4, line 37)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</si>
  <si>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</si>
  <si>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</si>
  <si>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</si>
  <si>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6a</t>
  </si>
  <si>
    <t>Historic Year Actual ATRR</t>
  </si>
  <si>
    <t>6b</t>
  </si>
  <si>
    <t>Projected ATRR from Prior Year</t>
  </si>
  <si>
    <t>Input from Prior Year</t>
  </si>
  <si>
    <t>6c</t>
  </si>
  <si>
    <t>Prior Year ATRR True-Up</t>
  </si>
  <si>
    <t>(line 6a - line 6b)</t>
  </si>
  <si>
    <t>6d</t>
  </si>
  <si>
    <t>Prior Year Divisor True-Up</t>
  </si>
  <si>
    <t>(Note FF)</t>
  </si>
  <si>
    <t>6e</t>
  </si>
  <si>
    <t>Interest on Prior Year True-Up</t>
  </si>
  <si>
    <t>Total ATRR - 2014 Actuals</t>
  </si>
  <si>
    <t>Line 6e includes $96,309 Sch 7 &amp; 8 Refund from 2014 TU Worksheet</t>
  </si>
  <si>
    <t>7a</t>
  </si>
  <si>
    <t>NET REVENUE REQUIREMENT</t>
  </si>
  <si>
    <t>(line 1 - line 6 + line 6c through 6e)</t>
  </si>
  <si>
    <t>7b</t>
  </si>
  <si>
    <t>NITS Customer 1</t>
  </si>
  <si>
    <t>Interest on 2014 True Up</t>
  </si>
  <si>
    <t>7c</t>
  </si>
  <si>
    <t>NITS Customer 2</t>
  </si>
  <si>
    <t>Sch 7 &amp; 8 Refund from 2014 TU Worksheet</t>
  </si>
  <si>
    <t>MDU's Adjusted Revenue Requirement (Sum lines 7a-7c) (Note GG)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</si>
  <si>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</si>
  <si>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</si>
  <si>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</si>
  <si>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</si>
  <si>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</si>
  <si>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</si>
  <si>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</si>
  <si>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</si>
  <si>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</si>
  <si>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</si>
  <si>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</si>
  <si>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</si>
  <si>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</si>
  <si>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</si>
  <si>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</si>
  <si>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</si>
  <si>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</si>
  <si>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</si>
  <si>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</si>
  <si>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</si>
  <si>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</si>
  <si>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</si>
  <si>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16 / 260; line 16 / 365)</t>
  </si>
  <si>
    <t>Capped at weekly rate</t>
  </si>
  <si>
    <t>Point-To-Point Rate ($/MWh)</t>
  </si>
  <si>
    <t>(line 16 / 4,160; line 16 / 8,760*1000)</t>
  </si>
  <si>
    <t>Capped at weekly and daily rates</t>
  </si>
  <si>
    <t>FERC Annual Charge($/MWh)</t>
  </si>
  <si>
    <t xml:space="preserve">          (Note E)</t>
  </si>
  <si>
    <t>Short Term</t>
  </si>
  <si>
    <t>page 2 of 5</t>
  </si>
  <si>
    <t>(1)</t>
  </si>
  <si>
    <t>(2)</t>
  </si>
  <si>
    <t>(3)</t>
  </si>
  <si>
    <t>(4)</t>
  </si>
  <si>
    <t>(5)</t>
  </si>
  <si>
    <t>Form No. 1</t>
  </si>
  <si>
    <t>Company Total</t>
  </si>
  <si>
    <t xml:space="preserve">                  Allocator</t>
  </si>
  <si>
    <t>(Col 3 times Col 4)</t>
  </si>
  <si>
    <t>RATE BASE:</t>
  </si>
  <si>
    <t>GROSS PLANT IN SERVICE     (Note AA, Note DD)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</si>
  <si>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</si>
  <si>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</si>
  <si>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</si>
  <si>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</si>
  <si>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</si>
  <si>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205.5.g &amp; 207.99.g</t>
  </si>
  <si>
    <t>W/S</t>
  </si>
  <si>
    <t xml:space="preserve">  Common</t>
  </si>
  <si>
    <t>356.1</t>
  </si>
  <si>
    <t>CE</t>
  </si>
  <si>
    <t>TOTAL GROSS PLANT (sum lines 1-5)</t>
  </si>
  <si>
    <t>GP=</t>
  </si>
  <si>
    <t>ACCUMULATED DEPRECIATION  (Note AA, Note DD)</t>
  </si>
  <si>
    <t>219.28.c &amp; 200.21.c</t>
  </si>
  <si>
    <t>TOTAL ACCUM. DEPRECIATION (sum lines 7-11)</t>
  </si>
  <si>
    <t>NET PLANT IN SERVICE    (Note DD)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</si>
  <si>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</si>
  <si>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</si>
  <si>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</si>
  <si>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</si>
  <si>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</si>
  <si>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</si>
  <si>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</si>
  <si>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18a</t>
  </si>
  <si>
    <t>100% CWIP Recovery for Commission Approved Order</t>
  </si>
  <si>
    <t>No. 679 Transmission Projects  (Note DD)</t>
  </si>
  <si>
    <t xml:space="preserve">216.b </t>
  </si>
  <si>
    <t>N/A</t>
  </si>
  <si>
    <t>ADJUSTMENTS TO RATE BASE       (Note F, Note EE)</t>
  </si>
  <si>
    <t xml:space="preserve">  Account No. 281 (enter negative)</t>
  </si>
  <si>
    <t>zero</t>
  </si>
  <si>
    <t xml:space="preserve">  Account No. 282 (enter negative)</t>
  </si>
  <si>
    <t>NP</t>
  </si>
  <si>
    <t xml:space="preserve">  Account No. 283 (enter negative)</t>
  </si>
  <si>
    <t xml:space="preserve">  Account No. 190</t>
  </si>
  <si>
    <t xml:space="preserve">  Account No. 255 (enter negative)</t>
  </si>
  <si>
    <t>267.8.h</t>
  </si>
  <si>
    <t>23a</t>
  </si>
  <si>
    <t xml:space="preserve">  RESERVED FOR FUTURE USE</t>
  </si>
  <si>
    <t>23b</t>
  </si>
  <si>
    <t xml:space="preserve">  Unamortized Balance of Abandoned Plant</t>
  </si>
  <si>
    <t>(Note CC, Note DD)</t>
  </si>
  <si>
    <t>TOTAL ADJUSTMENTS  (sum lines 19- 23b)</t>
  </si>
  <si>
    <t>LAND HELD FOR FUTURE USE    (Note DD)</t>
  </si>
  <si>
    <t>214.x.d  (Note G)</t>
  </si>
  <si>
    <t>WORKING CAPITAL  (Note H)</t>
  </si>
  <si>
    <t xml:space="preserve">  CWC  </t>
  </si>
  <si>
    <t>calculated</t>
  </si>
  <si>
    <t xml:space="preserve">  Materials &amp; Supplies  (Note G, Note DD)</t>
  </si>
  <si>
    <t>227.8.c &amp; .16.c</t>
  </si>
  <si>
    <t>TE</t>
  </si>
  <si>
    <t xml:space="preserve">  Prepayments (Account 165, Note DD)</t>
  </si>
  <si>
    <t>111.57.c</t>
  </si>
  <si>
    <t>GP</t>
  </si>
  <si>
    <t>TOTAL WORKING CAPITAL (sum lines 26 - 28)</t>
  </si>
  <si>
    <t>RATE BASE  (sum lines 18, 18a, 24, 25, &amp; 29)</t>
  </si>
  <si>
    <t>page 3 of 5</t>
  </si>
  <si>
    <t>O&amp;M  (Note BB)</t>
  </si>
  <si>
    <t xml:space="preserve">  Transmission </t>
  </si>
  <si>
    <t>321.112.b</t>
  </si>
  <si>
    <t>1a</t>
  </si>
  <si>
    <t xml:space="preserve">     Less LSE Expenses included in Transmission O&amp;M Accounts (Note V)</t>
  </si>
  <si>
    <t xml:space="preserve">     Less Account 565</t>
  </si>
  <si>
    <t>321.96.b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</si>
  <si>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</si>
  <si>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</si>
  <si>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</si>
  <si>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</si>
  <si>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</si>
  <si>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 I)</t>
  </si>
  <si>
    <t xml:space="preserve">  Transmission Lease Payments</t>
  </si>
  <si>
    <t>TOTAL O&amp;M   (sum lines 1, 3, 5a, 6, 7 less lines 1a, 2, 4, 5)</t>
  </si>
  <si>
    <t>DEPRECIATION AND AMORTIZATION EXPENSE (Note AA)</t>
  </si>
  <si>
    <t>9a</t>
  </si>
  <si>
    <t xml:space="preserve">  Abandoned Plant Amortization</t>
  </si>
  <si>
    <t>(Note CC)</t>
  </si>
  <si>
    <t>336.10.f &amp; 336.1.f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</si>
  <si>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</si>
  <si>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</si>
  <si>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</si>
  <si>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</si>
  <si>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</si>
  <si>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</si>
  <si>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</si>
  <si>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</si>
  <si>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</si>
  <si>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</si>
  <si>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</si>
  <si>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</si>
  <si>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</si>
  <si>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</si>
  <si>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</si>
  <si>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</si>
  <si>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 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</si>
  <si>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</si>
  <si>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</si>
  <si>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</si>
  <si>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</si>
  <si>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</si>
  <si>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</si>
  <si>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</si>
  <si>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</si>
  <si>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 xml:space="preserve">  [ Rate Base (page 2, line 30) * Rate of Return (page 4, line 30)]</t>
  </si>
  <si>
    <t>REV. REQUIREMENT  (sum lines 8, 12, 20, 27, 28)</t>
  </si>
  <si>
    <t>LESS ATTACHMENT GG ADJUSTMENT [Attachment GG, page 2, line 3, column 10]   (Note W)</t>
  </si>
  <si>
    <t xml:space="preserve">[Revenue Requirement for facilities included on page 2, line 2, and also  </t>
  </si>
  <si>
    <t>included in Attachment GG]</t>
  </si>
  <si>
    <t>30a</t>
  </si>
  <si>
    <t>LESS ATTACHMENT MM ADJUSTMENT [Attachment MM, page 2, line 3, column 14]   (Note Y)</t>
  </si>
  <si>
    <t>included in Attachment MM]</t>
  </si>
  <si>
    <t>REV. REQUIREMENT TO BE COLLECTED UNDER ATTACHMENT O</t>
  </si>
  <si>
    <t>(line 29 - line 30 - line30a)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</si>
  <si>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</si>
  <si>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</si>
  <si>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</si>
  <si>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</si>
  <si>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</si>
  <si>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</si>
  <si>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</si>
  <si>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</si>
  <si>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</si>
  <si>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</si>
  <si>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</si>
  <si>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</si>
  <si>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Included transmission expenses (line 6 less line 7)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</si>
  <si>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</si>
  <si>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</si>
  <si>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</si>
  <si>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TE=</t>
  </si>
  <si>
    <t>WAGES &amp; SALARY ALLOCATOR   (W&amp;S)</t>
  </si>
  <si>
    <t>Form 1 Reference</t>
  </si>
  <si>
    <t>$</t>
  </si>
  <si>
    <t>Allocation</t>
  </si>
  <si>
    <t>W&amp;S Allocator</t>
  </si>
  <si>
    <t xml:space="preserve">  Other</t>
  </si>
  <si>
    <t>354.24,25,26.b</t>
  </si>
  <si>
    <t>($ / Allocation)</t>
  </si>
  <si>
    <t xml:space="preserve">  Total  (sum lines 12-15)</t>
  </si>
  <si>
    <t>=</t>
  </si>
  <si>
    <t>WS</t>
  </si>
  <si>
    <t>COMMON PLANT ALLOCATOR  (CE)   (Note O)</t>
  </si>
  <si>
    <t>% Electric</t>
  </si>
  <si>
    <t xml:space="preserve">  Electric</t>
  </si>
  <si>
    <t>(line 17 / line 20)</t>
  </si>
  <si>
    <t>(line 16)</t>
  </si>
  <si>
    <t xml:space="preserve">  Gas</t>
  </si>
  <si>
    <t>*</t>
  </si>
  <si>
    <t xml:space="preserve">  Water</t>
  </si>
  <si>
    <t>201.3.e</t>
  </si>
  <si>
    <t xml:space="preserve">  Total  (sum lines 17 - 19)</t>
  </si>
  <si>
    <t>RETURN (R)</t>
  </si>
  <si>
    <t>Long Term Interest (117, sum of 62.c through 66.c)</t>
  </si>
  <si>
    <t>Preferred Dividends (118.29c) (positive number)</t>
  </si>
  <si>
    <t xml:space="preserve">                                          Development of Common Stock:</t>
  </si>
  <si>
    <t>Proprietary Capital (112.16.c) (Note DD)</t>
  </si>
  <si>
    <t>Less Preferred Stock (line 28)  (Note DD)</t>
  </si>
  <si>
    <t>Less Account 123.1 (225.42.(g)) (enter negative) (Note DD)</t>
  </si>
  <si>
    <t>Common Stock</t>
  </si>
  <si>
    <t>(sum lines 23-25) (Note DD)</t>
  </si>
  <si>
    <t>Cost</t>
  </si>
  <si>
    <t>%</t>
  </si>
  <si>
    <t>(Note P)</t>
  </si>
  <si>
    <t>Weighted</t>
  </si>
  <si>
    <t xml:space="preserve">  Long Term Debt (112, sum of  18.c through 21.c) (Note DD)</t>
  </si>
  <si>
    <t>=WCLTD</t>
  </si>
  <si>
    <t xml:space="preserve">  Preferred Stock  (112.3.c) (Note DD)</t>
  </si>
  <si>
    <t xml:space="preserve">ROE Determination </t>
  </si>
  <si>
    <t xml:space="preserve">  Common Stock  (line 26) (Note DD)</t>
  </si>
  <si>
    <t>ROE per EL14-12, Effective 9-28-2016</t>
  </si>
  <si>
    <t>Total  (sum lines 27-29) (Note DD)</t>
  </si>
  <si>
    <t>=R</t>
  </si>
  <si>
    <t>RTO Adder per ER15-358, Effective January 6, 2015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</si>
  <si>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</si>
  <si>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</si>
  <si>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</si>
  <si>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</si>
  <si>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</si>
  <si>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</si>
  <si>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</si>
  <si>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</si>
  <si>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</si>
  <si>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</si>
  <si>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</si>
  <si>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</si>
  <si>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</si>
  <si>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36a</t>
  </si>
  <si>
    <t xml:space="preserve">  c. Transmission charges from Schedules associated with Attachment GG (Note X)</t>
  </si>
  <si>
    <t>36b</t>
  </si>
  <si>
    <t xml:space="preserve">  d. Transmission charges from Schedules associated with Attachment MM  (Note Z)</t>
  </si>
  <si>
    <t xml:space="preserve">  Total of (a)-(b)-(c)-(d)</t>
  </si>
  <si>
    <t>page 5 of 5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</si>
  <si>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</si>
  <si>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</si>
  <si>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</si>
  <si>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</si>
  <si>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</si>
  <si>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Peak as would be reported on page 401, column d of Form 1 at the time of the applicable pricing zone coincident monthly peaks.</t>
  </si>
  <si>
    <t>B</t>
  </si>
  <si>
    <t>Labeled LF, LU, IF, IU on pages 310-311 of Form 1at the time of the applicable pricing zone coincident monthly peaks.</t>
  </si>
  <si>
    <t>C</t>
  </si>
  <si>
    <t>Labeled LF on page 328 of Form 1 at the time of the applicable pricing zone coincident monthly peaks.</t>
  </si>
  <si>
    <t>D</t>
  </si>
  <si>
    <t>E</t>
  </si>
  <si>
    <t xml:space="preserve">The FERC's annual charges for the year assessed the Transmission Owner for service under this tariff. </t>
  </si>
  <si>
    <t>F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</si>
  <si>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</si>
  <si>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</si>
  <si>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</si>
  <si>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 xml:space="preserve">The calculations of ADIT in the annual true-up calculation will use the beginning-of-year and end-of-year balances. The calculation of ADIT </t>
  </si>
  <si>
    <t xml:space="preserve">in the annual projection will be performed in accordance with IRS regulation Section 1.167(l)-1(h)(6). Work papers supporting the ADIT calculations </t>
  </si>
  <si>
    <t xml:space="preserve">will be posted with each Annual True-Up and or projected net revenue requirement and included in the annual Informational Filing submitted to the Commission. </t>
  </si>
  <si>
    <t>The Annual True-Up or projected net revenue requirement ADIT worksheets set forth the calculation pursuant to IRS regulation Section 1.167(l)-1(h)(6).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</si>
  <si>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</si>
  <si>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</si>
  <si>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</si>
  <si>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</si>
  <si>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</si>
  <si>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</si>
  <si>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</si>
  <si>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</si>
  <si>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</si>
  <si>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</si>
  <si>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</si>
  <si>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</si>
  <si>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</si>
  <si>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</si>
  <si>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 xml:space="preserve">         Inputs Required:</t>
  </si>
  <si>
    <t>L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</si>
  <si>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</si>
  <si>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</si>
  <si>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</si>
  <si>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</si>
  <si>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</si>
  <si>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</si>
  <si>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</si>
  <si>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</si>
  <si>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</si>
  <si>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</si>
  <si>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</si>
  <si>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</si>
  <si>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</si>
  <si>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  A 50 basis point adder for RTO participation may be added to the ROE up to the upper end of the zone of reasonableness established by FERC. 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</si>
  <si>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</si>
  <si>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</si>
  <si>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</si>
  <si>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</si>
  <si>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</si>
  <si>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</si>
  <si>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</si>
  <si>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</si>
  <si>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</si>
  <si>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</si>
  <si>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</si>
  <si>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</si>
  <si>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</si>
  <si>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</si>
  <si>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</si>
  <si>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</si>
  <si>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</si>
  <si>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 and 561.8 consist of RTO expenses billed to load-serving entities and are not included in Transmission Owner revenue requirements.</t>
  </si>
  <si>
    <t>W</t>
  </si>
  <si>
    <t>Pursuant to Attachment GG of the Midwest ISO Tariff, removes dollar amount of the revenue requirements calculated pursuant to Attachment GG.</t>
  </si>
  <si>
    <t>X</t>
  </si>
  <si>
    <t xml:space="preserve">Removes from revenue credits revenue that are distributed pursuant to Schedules associated with Attachment GG of the Midwest ISO Tariff, since the </t>
  </si>
  <si>
    <t>Transmission Owner's Attachment O revenue requirements have already been reduced by the Attachment GG revenue requirements.</t>
  </si>
  <si>
    <t>Y</t>
  </si>
  <si>
    <t>Pursuant to Attachment MM of the Midwest ISO Tariff, removes dollar amount of revenue requirements calculated pursuant to Attachment MM.</t>
  </si>
  <si>
    <t>Z</t>
  </si>
  <si>
    <t xml:space="preserve">Removes from revenue credits revenues that are distributed pursuant to Schedules associated with Attachment MM of the Midwest ISO Tariff, since the </t>
  </si>
  <si>
    <t xml:space="preserve">Transmission Owner's Attachment O revenue requirements have already been reduced by the Attachment MM revenue requirements. </t>
  </si>
  <si>
    <t>AA</t>
  </si>
  <si>
    <t>Plant in Service, Accumulated Depreciation, and Depreciation Expense amounts exclude Asset Retirement Obligation amounts unless authorized by FERC.</t>
  </si>
  <si>
    <t>BB</t>
  </si>
  <si>
    <t>Schedule 10-FERC charges should not be included in O&amp;M recovered under this Attachment O.</t>
  </si>
  <si>
    <t>CC</t>
  </si>
  <si>
    <t xml:space="preserve">Page 2 line 23b includes any unamortized balances related to the recovery of abandoned plant costs approved by FERC under a separate docket.  </t>
  </si>
  <si>
    <t>Page 3 line 9a includes the Amortization expense of abandonment costs approved by FERC under a separate docket.</t>
  </si>
  <si>
    <t xml:space="preserve">These are shown in the workpapers required pursuant to the Annual Rate Calculation and True-Up Procedures. </t>
  </si>
  <si>
    <t>DD</t>
  </si>
  <si>
    <t>Calculate using 13 month average balance, reconciling to FERC Form No. 1 by page, line and column as shown in Column 2.</t>
  </si>
  <si>
    <t>EE</t>
  </si>
  <si>
    <t>Calculate using a simple average of beginning of year and end of year balances reconciling to FERC Form No. 1 by page, line and column as shown in Column 2.</t>
  </si>
  <si>
    <t>FF</t>
  </si>
  <si>
    <t>Calculation of Prior Year Divisor True-Up:</t>
  </si>
  <si>
    <t>Historic Year Actual Divisor</t>
  </si>
  <si>
    <t>Pg 1, Line 15</t>
  </si>
  <si>
    <t>Projected Year Divisor</t>
  </si>
  <si>
    <t>Difference between Historic &amp; Project Yr Divisor</t>
  </si>
  <si>
    <t>Prior Year Projected Annual Cost ($ per kw per yr.)</t>
  </si>
  <si>
    <t>Pg 1, Line 16</t>
  </si>
  <si>
    <t>Projected Year Divisor True-up (Difference * Prior Year Projected Annual Cost)</t>
  </si>
  <si>
    <t>GG</t>
  </si>
  <si>
    <t>The sum of MDU's net revenue requirement and the individual revenue requirements of each Network Integration Transmission Service (NITS)</t>
  </si>
  <si>
    <t>customer which owns integrated transmission facilities within the MDU pricing zone.  Customers 1-2 are indicative only and may be added or deleted</t>
  </si>
  <si>
    <t>to the extent they are eligible to receive the Section 30.9 credit.  The revenue requirement for each NITS customer will be calculated based on the process</t>
  </si>
  <si>
    <t>described in MDU's Network Customers Section 30.9 Credits Calculation Procedure.</t>
  </si>
  <si>
    <t>MISO Attachment O True-Up</t>
  </si>
  <si>
    <t>Annual Transmission Revenue Requirement (ATRR) True-Up</t>
  </si>
  <si>
    <t>Historic Year Projected ATRR</t>
  </si>
  <si>
    <t xml:space="preserve">    Over-recovery of Revenue Requirement</t>
  </si>
  <si>
    <t>Footnote FF:  Calculation of Prior Year Divisor True-Up</t>
  </si>
  <si>
    <t>Difference between Historic Year &amp; Project Yr Divisor</t>
  </si>
  <si>
    <t>Over-recovery of Divisor</t>
  </si>
  <si>
    <t>ATRR True-Up</t>
  </si>
  <si>
    <t>Divisor True-Up</t>
  </si>
  <si>
    <t>Total True-Up</t>
  </si>
  <si>
    <t>Interest on Historic Year True-Up   1/</t>
  </si>
  <si>
    <t>Average Monthly FERC Interest Rate on Refunds</t>
  </si>
  <si>
    <t>Interest for 24 Months</t>
  </si>
  <si>
    <t>Total True-Up  2/</t>
  </si>
  <si>
    <t>1/  Average FERC refund interest rate through June 2017.</t>
  </si>
  <si>
    <t>2/  True-up to be included in Projected 2018 Attachment O's Revenue Requirement.</t>
  </si>
  <si>
    <t>as Submitted on June 1, 2017</t>
  </si>
  <si>
    <t>ROE Accrual Summary</t>
  </si>
  <si>
    <t>under FERC Docket No. EL14-12</t>
  </si>
  <si>
    <t>In 2015, Montana-Dakota set up two reserve accounts for the accrual of the</t>
  </si>
  <si>
    <t>ROE refund anticipated in FERC Docket EL14-12.  The reserve for Attachment MM</t>
  </si>
  <si>
    <t>or revenue received under Schedule 26A is an offset to Revenue Acct 4560.024</t>
  </si>
  <si>
    <t>where revenue received under Schedule 26A was booked in 2016.  Total amount</t>
  </si>
  <si>
    <t xml:space="preserve">reserved for Attachment MM was $418,258.  </t>
  </si>
  <si>
    <t xml:space="preserve">          The reserve for Attachment GG or revenue received under Schedule 26 is</t>
  </si>
  <si>
    <t>an offset to Revenue Account 4560.023.  Total amount reserved was $266,053.</t>
  </si>
  <si>
    <t xml:space="preserve">The Company computed the difference in the revenue requirements for </t>
  </si>
  <si>
    <t xml:space="preserve">Attachments O, GG, and MM using the FERC approved rate of 12.38 percent and </t>
  </si>
  <si>
    <t xml:space="preserve">an estimated ROE rate of 11 percent for the respective 2015 and 2016 projections </t>
  </si>
  <si>
    <t xml:space="preserve">and 2014 true-up.  Each month 1/12 of the difference was recorded to the </t>
  </si>
  <si>
    <t xml:space="preserve">respective reserve accounts.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</si>
</sst>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#,##0.0_);[Red]\(#,##0.0\)"/>
    <numFmt numFmtId="167" formatCode="0.000000%"/>
    <numFmt numFmtId="168" formatCode="0.000%"/>
    <numFmt numFmtId="169" formatCode="&quot;$&quot;#,##0"/>
    <numFmt numFmtId="170" formatCode="&quot;$&quot;#,##0.0000_);\(&quot;$&quot;#,##0.0000\)"/>
    <numFmt numFmtId="171" formatCode="0.0000%"/>
    <numFmt numFmtId="172" formatCode="_(&quot;$&quot;* #,##0_);_(&quot;$&quot;* \(#,##0\);_(&quot;$&quot;* &quot;-&quot;??_);_(@_)"/>
    <numFmt numFmtId="173" formatCode="0.00000"/>
    <numFmt numFmtId="174" formatCode="#,##0.000"/>
    <numFmt numFmtId="175" formatCode="&quot;$&quot;#,##0.000"/>
    <numFmt numFmtId="176" formatCode="#,##0.00000"/>
    <numFmt numFmtId="177" formatCode="#,##0.0"/>
    <numFmt numFmtId="178" formatCode="0.0000"/>
    <numFmt numFmtId="179" formatCode="#,##0.0000"/>
    <numFmt numFmtId="180" formatCode="_(* #,##0_);_(* \(#,##0\);_(* &quot;-&quot;??_);_(@_)"/>
    <numFmt numFmtId="181" formatCode="#,##0.0000_);\(#,##0.0000\)"/>
    <numFmt numFmtId="182" formatCode="&quot;$&quot;#,##0.000_);[Red]\(&quot;$&quot;#,##0.000\)"/>
  </numFmts>
  <fonts count="5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2"/>
      <name val="Arial MT"/>
    </font>
    <font>
      <sz val="14"/>
      <name val="Arial MT"/>
    </font>
    <font>
      <sz val="16"/>
      <name val="Arial MT"/>
    </font>
    <font>
      <sz val="14"/>
      <name val="Times New Roman"/>
      <family val="1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sz val="12"/>
      <name val="Arial"/>
      <family val="2"/>
    </font>
    <font>
      <strike/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name val="Times New Roman"/>
      <family val="1"/>
    </font>
    <font>
      <sz val="12"/>
      <color indexed="17"/>
      <name val="Arial MT"/>
    </font>
    <font>
      <b/>
      <sz val="12"/>
      <color rgb="FFFF0000"/>
      <name val="Arial MT"/>
    </font>
    <font>
      <sz val="12"/>
      <color rgb="FFC00000"/>
      <name val="Times New Roman"/>
      <family val="1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b/>
      <sz val="12"/>
      <color indexed="48"/>
      <name val="Times New Roman"/>
      <family val="1"/>
    </font>
    <font>
      <strike/>
      <sz val="12"/>
      <color indexed="53"/>
      <name val="Arial MT"/>
    </font>
    <font>
      <u/>
      <sz val="12"/>
      <color indexed="17"/>
      <name val="Arial MT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u/>
      <sz val="12"/>
      <name val="Times New Roman"/>
      <family val="1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9"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4" fontId="25" fillId="0" borderId="0" applyProtection="0"/>
    <xf numFmtId="0" fontId="24" fillId="0" borderId="0"/>
    <xf numFmtId="0" fontId="24" fillId="0" borderId="0"/>
    <xf numFmtId="0" fontId="24" fillId="0" borderId="0"/>
    <xf numFmtId="0" fontId="19" fillId="0" borderId="0"/>
    <xf numFmtId="9" fontId="24" fillId="0" borderId="0" applyFont="0" applyFill="0" applyBorder="0" applyAlignment="0" applyProtection="0"/>
    <xf numFmtId="37" fontId="26" fillId="0" borderId="0" applyFont="0" applyFill="0" applyBorder="0" applyAlignment="0" applyProtection="0"/>
    <xf numFmtId="37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5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5" fillId="0" borderId="0" applyProtection="0"/>
    <xf numFmtId="0" fontId="26" fillId="0" borderId="0"/>
    <xf numFmtId="0" fontId="26" fillId="0" borderId="0"/>
    <xf numFmtId="0" fontId="24" fillId="0" borderId="0"/>
    <xf numFmtId="0" fontId="10" fillId="0" borderId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164" fontId="25" fillId="0" borderId="0" applyProtection="0"/>
  </cellStyleXfs>
  <cellXfs count="699">
    <xf numFmtId="0" fontId="0" fillId="0" borderId="0" xfId="0"/>
    <xf numFmtId="0" fontId="23" fillId="0" borderId="0" xfId="0" applyFont="1"/>
    <xf numFmtId="0" fontId="19" fillId="0" borderId="0" xfId="0" applyFont="1"/>
    <xf numFmtId="0" fontId="23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2" borderId="0" xfId="9" applyFont="1" applyFill="1" applyAlignment="1">
      <alignment horizontal="centerContinuous"/>
    </xf>
    <xf numFmtId="0" fontId="19" fillId="0" borderId="0" xfId="9" applyAlignment="1">
      <alignment horizontal="centerContinuous"/>
    </xf>
    <xf numFmtId="0" fontId="19" fillId="0" borderId="0" xfId="9" applyBorder="1" applyAlignment="1">
      <alignment horizontal="centerContinuous"/>
    </xf>
    <xf numFmtId="0" fontId="19" fillId="0" borderId="0" xfId="9"/>
    <xf numFmtId="0" fontId="19" fillId="2" borderId="0" xfId="9" applyFont="1" applyFill="1" applyAlignment="1">
      <alignment horizontal="center"/>
    </xf>
    <xf numFmtId="0" fontId="19" fillId="0" borderId="0" xfId="9" applyBorder="1" applyAlignment="1">
      <alignment horizontal="center"/>
    </xf>
    <xf numFmtId="0" fontId="19" fillId="2" borderId="1" xfId="9" applyFont="1" applyFill="1" applyBorder="1" applyAlignment="1">
      <alignment horizontal="center"/>
    </xf>
    <xf numFmtId="0" fontId="19" fillId="0" borderId="1" xfId="9" applyBorder="1" applyAlignment="1">
      <alignment horizontal="center"/>
    </xf>
    <xf numFmtId="0" fontId="19" fillId="2" borderId="0" xfId="9" quotePrefix="1" applyFont="1" applyFill="1"/>
    <xf numFmtId="6" fontId="19" fillId="0" borderId="0" xfId="9" applyNumberFormat="1"/>
    <xf numFmtId="6" fontId="19" fillId="0" borderId="0" xfId="9" applyNumberFormat="1" applyBorder="1"/>
    <xf numFmtId="38" fontId="19" fillId="0" borderId="0" xfId="9" applyNumberFormat="1"/>
    <xf numFmtId="38" fontId="19" fillId="0" borderId="0" xfId="9" applyNumberFormat="1" applyBorder="1"/>
    <xf numFmtId="0" fontId="19" fillId="0" borderId="0" xfId="9" applyBorder="1"/>
    <xf numFmtId="0" fontId="19" fillId="2" borderId="0" xfId="9" applyFont="1" applyFill="1"/>
    <xf numFmtId="38" fontId="19" fillId="0" borderId="2" xfId="9" applyNumberFormat="1" applyBorder="1"/>
    <xf numFmtId="0" fontId="19" fillId="2" borderId="0" xfId="9" applyFill="1"/>
    <xf numFmtId="0" fontId="19" fillId="0" borderId="1" xfId="9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21" fillId="0" borderId="0" xfId="0" applyFont="1"/>
    <xf numFmtId="38" fontId="19" fillId="0" borderId="0" xfId="0" applyNumberFormat="1" applyFont="1"/>
    <xf numFmtId="0" fontId="19" fillId="0" borderId="0" xfId="0" applyFont="1" applyBorder="1" applyAlignment="1">
      <alignment horizontal="center"/>
    </xf>
    <xf numFmtId="38" fontId="19" fillId="0" borderId="0" xfId="0" applyNumberFormat="1" applyFont="1" applyAlignment="1">
      <alignment horizontal="center"/>
    </xf>
    <xf numFmtId="38" fontId="19" fillId="2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center"/>
    </xf>
    <xf numFmtId="38" fontId="19" fillId="2" borderId="0" xfId="0" applyNumberFormat="1" applyFont="1" applyFill="1" applyBorder="1" applyAlignment="1">
      <alignment horizontal="center"/>
    </xf>
    <xf numFmtId="38" fontId="19" fillId="0" borderId="1" xfId="0" applyNumberFormat="1" applyFont="1" applyBorder="1" applyAlignment="1">
      <alignment horizontal="centerContinuous"/>
    </xf>
    <xf numFmtId="38" fontId="19" fillId="2" borderId="0" xfId="0" applyNumberFormat="1" applyFont="1" applyFill="1"/>
    <xf numFmtId="6" fontId="19" fillId="0" borderId="0" xfId="0" applyNumberFormat="1" applyFont="1" applyFill="1"/>
    <xf numFmtId="0" fontId="19" fillId="0" borderId="0" xfId="0" applyFont="1" applyFill="1"/>
    <xf numFmtId="6" fontId="19" fillId="0" borderId="1" xfId="0" applyNumberFormat="1" applyFont="1" applyFill="1" applyBorder="1"/>
    <xf numFmtId="38" fontId="19" fillId="0" borderId="3" xfId="0" applyNumberFormat="1" applyFont="1" applyFill="1" applyBorder="1"/>
    <xf numFmtId="38" fontId="19" fillId="0" borderId="0" xfId="0" applyNumberFormat="1" applyFont="1" applyFill="1"/>
    <xf numFmtId="0" fontId="19" fillId="0" borderId="0" xfId="0" applyFont="1" applyAlignment="1">
      <alignment horizontal="left"/>
    </xf>
    <xf numFmtId="38" fontId="19" fillId="0" borderId="0" xfId="0" applyNumberFormat="1" applyFont="1" applyFill="1" applyBorder="1"/>
    <xf numFmtId="38" fontId="19" fillId="0" borderId="1" xfId="0" applyNumberFormat="1" applyFont="1" applyFill="1" applyBorder="1"/>
    <xf numFmtId="38" fontId="21" fillId="0" borderId="0" xfId="0" applyNumberFormat="1" applyFont="1" applyAlignment="1">
      <alignment horizontal="centerContinuous"/>
    </xf>
    <xf numFmtId="38" fontId="19" fillId="0" borderId="0" xfId="0" applyNumberFormat="1" applyFont="1" applyBorder="1" applyAlignment="1">
      <alignment horizontal="center"/>
    </xf>
    <xf numFmtId="6" fontId="19" fillId="0" borderId="0" xfId="0" applyNumberFormat="1" applyFont="1" applyAlignment="1"/>
    <xf numFmtId="38" fontId="19" fillId="0" borderId="0" xfId="0" applyNumberFormat="1" applyFont="1" applyAlignment="1"/>
    <xf numFmtId="38" fontId="19" fillId="0" borderId="2" xfId="0" applyNumberFormat="1" applyFont="1" applyBorder="1"/>
    <xf numFmtId="6" fontId="19" fillId="2" borderId="0" xfId="9" applyNumberFormat="1" applyFill="1"/>
    <xf numFmtId="6" fontId="19" fillId="2" borderId="0" xfId="9" applyNumberFormat="1" applyFill="1" applyBorder="1"/>
    <xf numFmtId="38" fontId="19" fillId="2" borderId="0" xfId="9" applyNumberFormat="1" applyFill="1"/>
    <xf numFmtId="38" fontId="19" fillId="2" borderId="0" xfId="9" applyNumberFormat="1" applyFill="1" applyBorder="1"/>
    <xf numFmtId="0" fontId="18" fillId="0" borderId="0" xfId="0" applyFont="1"/>
    <xf numFmtId="38" fontId="18" fillId="0" borderId="12" xfId="0" applyNumberFormat="1" applyFont="1" applyBorder="1"/>
    <xf numFmtId="0" fontId="17" fillId="0" borderId="0" xfId="9" applyFont="1" applyBorder="1" applyAlignment="1">
      <alignment horizontal="center"/>
    </xf>
    <xf numFmtId="0" fontId="17" fillId="0" borderId="0" xfId="9" applyFont="1" applyAlignment="1">
      <alignment horizontal="center"/>
    </xf>
    <xf numFmtId="0" fontId="19" fillId="2" borderId="0" xfId="9" applyFill="1" applyBorder="1"/>
    <xf numFmtId="0" fontId="17" fillId="2" borderId="1" xfId="9" applyFont="1" applyFill="1" applyBorder="1" applyAlignment="1">
      <alignment horizontal="center"/>
    </xf>
    <xf numFmtId="0" fontId="17" fillId="2" borderId="1" xfId="9" applyFont="1" applyFill="1" applyBorder="1" applyAlignment="1">
      <alignment horizontal="centerContinuous"/>
    </xf>
    <xf numFmtId="0" fontId="17" fillId="0" borderId="1" xfId="9" applyFont="1" applyBorder="1" applyAlignment="1">
      <alignment horizontal="centerContinuous"/>
    </xf>
    <xf numFmtId="0" fontId="17" fillId="2" borderId="0" xfId="9" applyFont="1" applyFill="1" applyAlignment="1">
      <alignment horizontal="center"/>
    </xf>
    <xf numFmtId="0" fontId="17" fillId="0" borderId="0" xfId="9" applyFont="1" applyBorder="1" applyAlignment="1">
      <alignment horizontal="centerContinuous"/>
    </xf>
    <xf numFmtId="0" fontId="16" fillId="0" borderId="0" xfId="0" applyFont="1"/>
    <xf numFmtId="38" fontId="16" fillId="0" borderId="0" xfId="0" applyNumberFormat="1" applyFont="1"/>
    <xf numFmtId="0" fontId="16" fillId="0" borderId="0" xfId="0" applyFont="1" applyAlignment="1">
      <alignment horizontal="centerContinuous"/>
    </xf>
    <xf numFmtId="38" fontId="16" fillId="0" borderId="0" xfId="0" applyNumberFormat="1" applyFont="1" applyAlignment="1">
      <alignment horizontal="centerContinuous"/>
    </xf>
    <xf numFmtId="0" fontId="16" fillId="0" borderId="0" xfId="0" applyFont="1" applyBorder="1" applyAlignment="1">
      <alignment horizontal="center"/>
    </xf>
    <xf numFmtId="38" fontId="16" fillId="0" borderId="0" xfId="0" applyNumberFormat="1" applyFont="1" applyAlignment="1">
      <alignment horizontal="center"/>
    </xf>
    <xf numFmtId="38" fontId="16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38" fontId="16" fillId="0" borderId="1" xfId="0" applyNumberFormat="1" applyFont="1" applyBorder="1" applyAlignment="1">
      <alignment horizontal="center"/>
    </xf>
    <xf numFmtId="6" fontId="16" fillId="0" borderId="0" xfId="0" applyNumberFormat="1" applyFont="1"/>
    <xf numFmtId="38" fontId="16" fillId="0" borderId="3" xfId="0" applyNumberFormat="1" applyFont="1" applyBorder="1"/>
    <xf numFmtId="38" fontId="16" fillId="2" borderId="0" xfId="0" applyNumberFormat="1" applyFont="1" applyFill="1"/>
    <xf numFmtId="38" fontId="16" fillId="0" borderId="0" xfId="0" applyNumberFormat="1" applyFont="1" applyBorder="1"/>
    <xf numFmtId="0" fontId="16" fillId="0" borderId="0" xfId="0" applyFont="1" applyBorder="1"/>
    <xf numFmtId="0" fontId="16" fillId="0" borderId="0" xfId="0" applyFont="1" applyAlignment="1">
      <alignment horizontal="left"/>
    </xf>
    <xf numFmtId="38" fontId="16" fillId="0" borderId="2" xfId="0" applyNumberFormat="1" applyFont="1" applyBorder="1"/>
    <xf numFmtId="38" fontId="16" fillId="0" borderId="12" xfId="0" applyNumberFormat="1" applyFont="1" applyBorder="1"/>
    <xf numFmtId="6" fontId="16" fillId="0" borderId="0" xfId="0" applyNumberFormat="1" applyFont="1" applyAlignment="1"/>
    <xf numFmtId="38" fontId="16" fillId="0" borderId="0" xfId="0" applyNumberFormat="1" applyFont="1" applyAlignment="1"/>
    <xf numFmtId="38" fontId="16" fillId="0" borderId="13" xfId="0" applyNumberFormat="1" applyFont="1" applyBorder="1"/>
    <xf numFmtId="38" fontId="16" fillId="2" borderId="0" xfId="0" applyNumberFormat="1" applyFont="1" applyFill="1" applyAlignment="1">
      <alignment horizontal="center"/>
    </xf>
    <xf numFmtId="38" fontId="16" fillId="2" borderId="0" xfId="0" applyNumberFormat="1" applyFont="1" applyFill="1" applyBorder="1" applyAlignment="1">
      <alignment horizontal="center"/>
    </xf>
    <xf numFmtId="38" fontId="16" fillId="0" borderId="0" xfId="0" applyNumberFormat="1" applyFont="1" applyFill="1"/>
    <xf numFmtId="6" fontId="16" fillId="0" borderId="0" xfId="0" applyNumberFormat="1" applyFont="1" applyFill="1"/>
    <xf numFmtId="0" fontId="16" fillId="0" borderId="1" xfId="0" applyFont="1" applyBorder="1" applyAlignment="1">
      <alignment horizontal="centerContinuous"/>
    </xf>
    <xf numFmtId="165" fontId="16" fillId="0" borderId="0" xfId="0" applyNumberFormat="1" applyFont="1" applyBorder="1"/>
    <xf numFmtId="165" fontId="16" fillId="0" borderId="0" xfId="0" applyNumberFormat="1" applyFont="1"/>
    <xf numFmtId="165" fontId="16" fillId="0" borderId="3" xfId="0" applyNumberFormat="1" applyFont="1" applyBorder="1"/>
    <xf numFmtId="0" fontId="16" fillId="0" borderId="0" xfId="0" quotePrefix="1" applyFont="1"/>
    <xf numFmtId="8" fontId="16" fillId="0" borderId="0" xfId="0" applyNumberFormat="1" applyFont="1"/>
    <xf numFmtId="6" fontId="16" fillId="0" borderId="0" xfId="0" applyNumberFormat="1" applyFont="1" applyBorder="1"/>
    <xf numFmtId="40" fontId="16" fillId="0" borderId="0" xfId="0" applyNumberFormat="1" applyFont="1"/>
    <xf numFmtId="40" fontId="16" fillId="0" borderId="0" xfId="0" applyNumberFormat="1" applyFont="1" applyBorder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21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6" fontId="15" fillId="0" borderId="0" xfId="0" applyNumberFormat="1" applyFont="1" applyBorder="1" applyAlignment="1">
      <alignment horizontal="right"/>
    </xf>
    <xf numFmtId="6" fontId="15" fillId="0" borderId="0" xfId="0" applyNumberFormat="1" applyFont="1" applyAlignment="1">
      <alignment horizontal="right"/>
    </xf>
    <xf numFmtId="38" fontId="15" fillId="0" borderId="0" xfId="0" applyNumberFormat="1" applyFont="1" applyBorder="1" applyAlignment="1">
      <alignment horizontal="right"/>
    </xf>
    <xf numFmtId="38" fontId="15" fillId="0" borderId="0" xfId="0" applyNumberFormat="1" applyFont="1" applyAlignment="1">
      <alignment horizontal="right"/>
    </xf>
    <xf numFmtId="38" fontId="15" fillId="0" borderId="3" xfId="0" applyNumberFormat="1" applyFont="1" applyBorder="1" applyAlignment="1">
      <alignment horizontal="right"/>
    </xf>
    <xf numFmtId="38" fontId="15" fillId="0" borderId="0" xfId="0" applyNumberFormat="1" applyFont="1"/>
    <xf numFmtId="0" fontId="15" fillId="0" borderId="0" xfId="0" applyFont="1" applyBorder="1" applyAlignment="1"/>
    <xf numFmtId="0" fontId="15" fillId="0" borderId="0" xfId="0" applyFont="1" applyBorder="1"/>
    <xf numFmtId="0" fontId="15" fillId="0" borderId="0" xfId="0" applyFont="1" applyAlignment="1">
      <alignment horizontal="left" indent="1"/>
    </xf>
    <xf numFmtId="38" fontId="15" fillId="0" borderId="3" xfId="0" applyNumberFormat="1" applyFont="1" applyBorder="1"/>
    <xf numFmtId="38" fontId="15" fillId="0" borderId="13" xfId="0" applyNumberFormat="1" applyFont="1" applyBorder="1" applyAlignment="1">
      <alignment horizontal="right"/>
    </xf>
    <xf numFmtId="38" fontId="15" fillId="0" borderId="13" xfId="0" applyNumberFormat="1" applyFont="1" applyBorder="1"/>
    <xf numFmtId="0" fontId="14" fillId="2" borderId="1" xfId="9" applyFont="1" applyFill="1" applyBorder="1" applyAlignment="1">
      <alignment horizontal="centerContinuous"/>
    </xf>
    <xf numFmtId="0" fontId="14" fillId="2" borderId="0" xfId="9" applyFont="1" applyFill="1" applyAlignment="1">
      <alignment horizontal="centerContinuous"/>
    </xf>
    <xf numFmtId="0" fontId="13" fillId="0" borderId="1" xfId="9" applyFont="1" applyBorder="1" applyAlignment="1">
      <alignment horizontal="center"/>
    </xf>
    <xf numFmtId="38" fontId="15" fillId="2" borderId="0" xfId="0" applyNumberFormat="1" applyFont="1" applyFill="1"/>
    <xf numFmtId="166" fontId="13" fillId="0" borderId="0" xfId="0" applyNumberFormat="1" applyFont="1"/>
    <xf numFmtId="0" fontId="13" fillId="0" borderId="0" xfId="0" applyFont="1"/>
    <xf numFmtId="38" fontId="13" fillId="0" borderId="0" xfId="0" applyNumberFormat="1" applyFont="1"/>
    <xf numFmtId="166" fontId="2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38" fontId="13" fillId="0" borderId="0" xfId="0" applyNumberFormat="1" applyFont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8" fontId="13" fillId="0" borderId="1" xfId="0" applyNumberFormat="1" applyFont="1" applyBorder="1" applyAlignment="1">
      <alignment horizontal="center"/>
    </xf>
    <xf numFmtId="0" fontId="24" fillId="0" borderId="0" xfId="6"/>
    <xf numFmtId="6" fontId="13" fillId="0" borderId="0" xfId="0" applyNumberFormat="1" applyFont="1"/>
    <xf numFmtId="0" fontId="24" fillId="0" borderId="0" xfId="6" applyFont="1" applyFill="1"/>
    <xf numFmtId="38" fontId="13" fillId="2" borderId="0" xfId="0" applyNumberFormat="1" applyFont="1" applyFill="1"/>
    <xf numFmtId="38" fontId="13" fillId="0" borderId="2" xfId="0" applyNumberFormat="1" applyFont="1" applyBorder="1"/>
    <xf numFmtId="0" fontId="13" fillId="3" borderId="3" xfId="0" applyFont="1" applyFill="1" applyBorder="1"/>
    <xf numFmtId="6" fontId="13" fillId="3" borderId="3" xfId="0" applyNumberFormat="1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3" borderId="0" xfId="0" applyFont="1" applyFill="1" applyBorder="1"/>
    <xf numFmtId="38" fontId="20" fillId="3" borderId="0" xfId="0" applyNumberFormat="1" applyFont="1" applyFill="1" applyBorder="1"/>
    <xf numFmtId="38" fontId="20" fillId="3" borderId="7" xfId="0" applyNumberFormat="1" applyFont="1" applyFill="1" applyBorder="1"/>
    <xf numFmtId="38" fontId="20" fillId="0" borderId="0" xfId="0" applyNumberFormat="1" applyFont="1"/>
    <xf numFmtId="0" fontId="13" fillId="3" borderId="8" xfId="0" applyFont="1" applyFill="1" applyBorder="1"/>
    <xf numFmtId="0" fontId="13" fillId="3" borderId="1" xfId="0" applyFont="1" applyFill="1" applyBorder="1"/>
    <xf numFmtId="38" fontId="13" fillId="3" borderId="9" xfId="0" applyNumberFormat="1" applyFont="1" applyFill="1" applyBorder="1"/>
    <xf numFmtId="38" fontId="13" fillId="3" borderId="1" xfId="0" applyNumberFormat="1" applyFont="1" applyFill="1" applyBorder="1"/>
    <xf numFmtId="38" fontId="13" fillId="3" borderId="11" xfId="0" applyNumberFormat="1" applyFont="1" applyFill="1" applyBorder="1"/>
    <xf numFmtId="166" fontId="21" fillId="0" borderId="0" xfId="0" applyNumberFormat="1" applyFont="1"/>
    <xf numFmtId="38" fontId="13" fillId="0" borderId="0" xfId="0" applyNumberFormat="1" applyFont="1" applyBorder="1"/>
    <xf numFmtId="166" fontId="21" fillId="3" borderId="4" xfId="0" applyNumberFormat="1" applyFont="1" applyFill="1" applyBorder="1"/>
    <xf numFmtId="38" fontId="13" fillId="3" borderId="5" xfId="0" applyNumberFormat="1" applyFont="1" applyFill="1" applyBorder="1"/>
    <xf numFmtId="166" fontId="13" fillId="3" borderId="6" xfId="0" applyNumberFormat="1" applyFont="1" applyFill="1" applyBorder="1"/>
    <xf numFmtId="6" fontId="13" fillId="3" borderId="7" xfId="0" applyNumberFormat="1" applyFont="1" applyFill="1" applyBorder="1"/>
    <xf numFmtId="38" fontId="13" fillId="3" borderId="7" xfId="0" applyNumberFormat="1" applyFont="1" applyFill="1" applyBorder="1"/>
    <xf numFmtId="166" fontId="13" fillId="3" borderId="0" xfId="0" applyNumberFormat="1" applyFont="1" applyFill="1" applyBorder="1"/>
    <xf numFmtId="38" fontId="13" fillId="3" borderId="14" xfId="0" applyNumberFormat="1" applyFont="1" applyFill="1" applyBorder="1"/>
    <xf numFmtId="166" fontId="13" fillId="3" borderId="8" xfId="0" applyNumberFormat="1" applyFont="1" applyFill="1" applyBorder="1"/>
    <xf numFmtId="166" fontId="13" fillId="3" borderId="1" xfId="0" applyNumberFormat="1" applyFont="1" applyFill="1" applyBorder="1"/>
    <xf numFmtId="38" fontId="12" fillId="0" borderId="1" xfId="0" applyNumberFormat="1" applyFont="1" applyBorder="1" applyAlignment="1">
      <alignment horizontal="center"/>
    </xf>
    <xf numFmtId="38" fontId="12" fillId="0" borderId="0" xfId="0" applyNumberFormat="1" applyFont="1"/>
    <xf numFmtId="0" fontId="12" fillId="0" borderId="0" xfId="0" applyFont="1"/>
    <xf numFmtId="38" fontId="12" fillId="0" borderId="0" xfId="0" applyNumberFormat="1" applyFont="1" applyFill="1"/>
    <xf numFmtId="38" fontId="16" fillId="2" borderId="0" xfId="0" applyNumberFormat="1" applyFont="1" applyFill="1" applyBorder="1"/>
    <xf numFmtId="0" fontId="11" fillId="0" borderId="1" xfId="0" applyFont="1" applyBorder="1" applyAlignment="1">
      <alignment horizontal="centerContinuous"/>
    </xf>
    <xf numFmtId="0" fontId="11" fillId="0" borderId="3" xfId="9" applyFont="1" applyBorder="1" applyAlignment="1">
      <alignment horizontal="center"/>
    </xf>
    <xf numFmtId="0" fontId="11" fillId="0" borderId="1" xfId="9" applyFont="1" applyBorder="1" applyAlignment="1">
      <alignment horizontal="center"/>
    </xf>
    <xf numFmtId="0" fontId="11" fillId="0" borderId="0" xfId="9" applyFont="1" applyBorder="1" applyAlignment="1">
      <alignment horizontal="center"/>
    </xf>
    <xf numFmtId="0" fontId="11" fillId="0" borderId="1" xfId="9" applyFont="1" applyBorder="1" applyAlignment="1">
      <alignment horizontal="centerContinuous"/>
    </xf>
    <xf numFmtId="0" fontId="11" fillId="0" borderId="0" xfId="0" applyFont="1"/>
    <xf numFmtId="6" fontId="16" fillId="2" borderId="0" xfId="0" applyNumberFormat="1" applyFont="1" applyFill="1"/>
    <xf numFmtId="38" fontId="11" fillId="0" borderId="1" xfId="0" applyNumberFormat="1" applyFont="1" applyBorder="1" applyAlignment="1">
      <alignment horizontal="center"/>
    </xf>
    <xf numFmtId="38" fontId="11" fillId="0" borderId="0" xfId="0" applyNumberFormat="1" applyFont="1"/>
    <xf numFmtId="166" fontId="11" fillId="0" borderId="0" xfId="0" applyNumberFormat="1" applyFont="1"/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38" fontId="11" fillId="0" borderId="0" xfId="0" applyNumberFormat="1" applyFont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4" fillId="0" borderId="0" xfId="7"/>
    <xf numFmtId="6" fontId="11" fillId="0" borderId="0" xfId="0" applyNumberFormat="1" applyFont="1"/>
    <xf numFmtId="38" fontId="11" fillId="2" borderId="0" xfId="0" applyNumberFormat="1" applyFont="1" applyFill="1"/>
    <xf numFmtId="38" fontId="11" fillId="0" borderId="2" xfId="0" applyNumberFormat="1" applyFont="1" applyBorder="1"/>
    <xf numFmtId="0" fontId="11" fillId="0" borderId="0" xfId="0" applyFont="1" applyBorder="1" applyAlignment="1">
      <alignment horizontal="center"/>
    </xf>
    <xf numFmtId="38" fontId="11" fillId="0" borderId="3" xfId="0" applyNumberFormat="1" applyFont="1" applyBorder="1"/>
    <xf numFmtId="38" fontId="11" fillId="0" borderId="0" xfId="0" applyNumberFormat="1" applyFont="1" applyBorder="1"/>
    <xf numFmtId="0" fontId="11" fillId="0" borderId="0" xfId="0" applyFont="1" applyFill="1"/>
    <xf numFmtId="38" fontId="11" fillId="0" borderId="13" xfId="0" applyNumberFormat="1" applyFont="1" applyBorder="1"/>
    <xf numFmtId="38" fontId="11" fillId="0" borderId="1" xfId="0" applyNumberFormat="1" applyFont="1" applyBorder="1"/>
    <xf numFmtId="0" fontId="11" fillId="2" borderId="0" xfId="0" applyFont="1" applyFill="1"/>
    <xf numFmtId="38" fontId="11" fillId="0" borderId="0" xfId="0" applyNumberFormat="1" applyFont="1" applyBorder="1" applyAlignment="1">
      <alignment horizontal="center"/>
    </xf>
    <xf numFmtId="38" fontId="11" fillId="2" borderId="1" xfId="0" applyNumberFormat="1" applyFont="1" applyFill="1" applyBorder="1"/>
    <xf numFmtId="0" fontId="10" fillId="0" borderId="0" xfId="0" applyFont="1"/>
    <xf numFmtId="0" fontId="24" fillId="0" borderId="1" xfId="6" applyFill="1" applyBorder="1" applyAlignment="1">
      <alignment horizontal="centerContinuous"/>
    </xf>
    <xf numFmtId="0" fontId="24" fillId="0" borderId="1" xfId="6" applyFill="1" applyBorder="1" applyAlignment="1">
      <alignment horizontal="center"/>
    </xf>
    <xf numFmtId="0" fontId="24" fillId="0" borderId="0" xfId="6" applyFill="1"/>
    <xf numFmtId="7" fontId="24" fillId="0" borderId="0" xfId="3" applyNumberFormat="1" applyFont="1" applyFill="1"/>
    <xf numFmtId="40" fontId="24" fillId="0" borderId="0" xfId="6" applyNumberFormat="1" applyFill="1"/>
    <xf numFmtId="43" fontId="24" fillId="0" borderId="0" xfId="1" applyFont="1" applyFill="1"/>
    <xf numFmtId="43" fontId="24" fillId="0" borderId="1" xfId="1" applyFont="1" applyFill="1" applyBorder="1"/>
    <xf numFmtId="43" fontId="24" fillId="0" borderId="2" xfId="1" applyFont="1" applyFill="1" applyBorder="1"/>
    <xf numFmtId="40" fontId="24" fillId="0" borderId="2" xfId="6" applyNumberFormat="1" applyFill="1" applyBorder="1"/>
    <xf numFmtId="40" fontId="10" fillId="0" borderId="0" xfId="0" applyNumberFormat="1" applyFont="1"/>
    <xf numFmtId="8" fontId="24" fillId="0" borderId="13" xfId="6" applyNumberFormat="1" applyFill="1" applyBorder="1"/>
    <xf numFmtId="8" fontId="10" fillId="0" borderId="0" xfId="0" applyNumberFormat="1" applyFont="1"/>
    <xf numFmtId="40" fontId="10" fillId="0" borderId="2" xfId="0" applyNumberFormat="1" applyFont="1" applyBorder="1"/>
    <xf numFmtId="38" fontId="10" fillId="0" borderId="0" xfId="0" applyNumberFormat="1" applyFont="1"/>
    <xf numFmtId="0" fontId="10" fillId="0" borderId="0" xfId="0" applyFont="1" applyBorder="1" applyAlignment="1">
      <alignment horizontal="center"/>
    </xf>
    <xf numFmtId="38" fontId="10" fillId="0" borderId="0" xfId="0" applyNumberFormat="1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38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6" fontId="10" fillId="0" borderId="0" xfId="0" applyNumberFormat="1" applyFont="1"/>
    <xf numFmtId="38" fontId="10" fillId="0" borderId="3" xfId="0" applyNumberFormat="1" applyFont="1" applyBorder="1"/>
    <xf numFmtId="38" fontId="10" fillId="0" borderId="13" xfId="0" applyNumberFormat="1" applyFont="1" applyBorder="1"/>
    <xf numFmtId="38" fontId="10" fillId="0" borderId="0" xfId="0" applyNumberFormat="1" applyFont="1" applyBorder="1"/>
    <xf numFmtId="6" fontId="10" fillId="0" borderId="13" xfId="0" applyNumberFormat="1" applyFont="1" applyBorder="1"/>
    <xf numFmtId="0" fontId="10" fillId="0" borderId="0" xfId="0" applyFont="1" applyAlignment="1">
      <alignment horizontal="centerContinuous"/>
    </xf>
    <xf numFmtId="38" fontId="10" fillId="0" borderId="2" xfId="0" applyNumberFormat="1" applyFont="1" applyBorder="1"/>
    <xf numFmtId="164" fontId="27" fillId="0" borderId="0" xfId="5" applyFont="1" applyAlignment="1">
      <alignment horizontal="center"/>
    </xf>
    <xf numFmtId="164" fontId="27" fillId="0" borderId="0" xfId="5" applyFont="1" applyAlignment="1">
      <alignment horizontal="centerContinuous" vertical="center" wrapText="1"/>
    </xf>
    <xf numFmtId="164" fontId="27" fillId="0" borderId="0" xfId="5" applyFont="1" applyAlignment="1">
      <alignment horizontal="centerContinuous"/>
    </xf>
    <xf numFmtId="164" fontId="27" fillId="0" borderId="0" xfId="5" applyFont="1" applyAlignment="1">
      <alignment horizontal="centerContinuous" vertical="center"/>
    </xf>
    <xf numFmtId="164" fontId="27" fillId="0" borderId="0" xfId="5" quotePrefix="1" applyFont="1" applyBorder="1" applyAlignment="1">
      <alignment horizontal="center"/>
    </xf>
    <xf numFmtId="0" fontId="28" fillId="0" borderId="0" xfId="5" applyNumberFormat="1" applyFont="1" applyFill="1" applyProtection="1">
      <protection locked="0"/>
    </xf>
    <xf numFmtId="0" fontId="29" fillId="0" borderId="0" xfId="5" applyNumberFormat="1" applyFont="1" applyFill="1" applyProtection="1">
      <protection locked="0"/>
    </xf>
    <xf numFmtId="0" fontId="30" fillId="0" borderId="0" xfId="5" applyNumberFormat="1" applyFont="1" applyFill="1" applyAlignment="1" applyProtection="1">
      <alignment horizontal="center"/>
      <protection locked="0"/>
    </xf>
    <xf numFmtId="0" fontId="25" fillId="0" borderId="0" xfId="5" applyNumberFormat="1" applyFont="1" applyFill="1"/>
    <xf numFmtId="0" fontId="25" fillId="0" borderId="0" xfId="5" applyNumberFormat="1" applyFont="1"/>
    <xf numFmtId="164" fontId="25" fillId="0" borderId="0" xfId="5" applyFont="1" applyAlignment="1"/>
    <xf numFmtId="0" fontId="28" fillId="0" borderId="0" xfId="5" applyNumberFormat="1" applyFont="1" applyAlignment="1" applyProtection="1">
      <alignment horizontal="center"/>
      <protection locked="0"/>
    </xf>
    <xf numFmtId="0" fontId="28" fillId="0" borderId="0" xfId="5" applyNumberFormat="1" applyFont="1" applyFill="1" applyAlignment="1" applyProtection="1">
      <alignment horizontal="right"/>
      <protection locked="0"/>
    </xf>
    <xf numFmtId="10" fontId="28" fillId="4" borderId="0" xfId="5" applyNumberFormat="1" applyFont="1" applyFill="1" applyProtection="1">
      <protection locked="0"/>
    </xf>
    <xf numFmtId="0" fontId="21" fillId="0" borderId="0" xfId="20" applyFont="1" applyAlignment="1">
      <alignment horizontal="centerContinuous"/>
    </xf>
    <xf numFmtId="38" fontId="21" fillId="0" borderId="0" xfId="20" applyNumberFormat="1" applyFont="1" applyAlignment="1">
      <alignment horizontal="centerContinuous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7" fontId="31" fillId="0" borderId="0" xfId="8" applyNumberFormat="1" applyFont="1" applyFill="1"/>
    <xf numFmtId="43" fontId="10" fillId="0" borderId="0" xfId="0" applyNumberFormat="1" applyFont="1"/>
    <xf numFmtId="0" fontId="10" fillId="0" borderId="1" xfId="0" applyFont="1" applyFill="1" applyBorder="1" applyAlignment="1">
      <alignment horizontal="center"/>
    </xf>
    <xf numFmtId="7" fontId="24" fillId="0" borderId="0" xfId="8" applyNumberFormat="1" applyFill="1"/>
    <xf numFmtId="5" fontId="10" fillId="0" borderId="0" xfId="0" applyNumberFormat="1" applyFont="1" applyFill="1"/>
    <xf numFmtId="37" fontId="10" fillId="0" borderId="0" xfId="0" applyNumberFormat="1" applyFont="1" applyFill="1"/>
    <xf numFmtId="49" fontId="10" fillId="0" borderId="0" xfId="0" applyNumberFormat="1" applyFont="1" applyFill="1" applyBorder="1" applyAlignment="1">
      <alignment horizontal="left" wrapText="1"/>
    </xf>
    <xf numFmtId="37" fontId="10" fillId="0" borderId="0" xfId="0" applyNumberFormat="1" applyFont="1" applyFill="1" applyBorder="1"/>
    <xf numFmtId="5" fontId="10" fillId="0" borderId="13" xfId="0" applyNumberFormat="1" applyFont="1" applyFill="1" applyBorder="1"/>
    <xf numFmtId="0" fontId="10" fillId="0" borderId="0" xfId="0" applyFont="1" applyFill="1" applyBorder="1"/>
    <xf numFmtId="40" fontId="21" fillId="0" borderId="0" xfId="0" applyNumberFormat="1" applyFont="1" applyAlignment="1">
      <alignment horizontal="centerContinuous"/>
    </xf>
    <xf numFmtId="0" fontId="10" fillId="0" borderId="0" xfId="0" applyFont="1" applyAlignment="1">
      <alignment horizontal="left"/>
    </xf>
    <xf numFmtId="0" fontId="32" fillId="0" borderId="0" xfId="0" applyFont="1"/>
    <xf numFmtId="40" fontId="24" fillId="2" borderId="0" xfId="6" applyNumberFormat="1" applyFill="1"/>
    <xf numFmtId="0" fontId="21" fillId="0" borderId="0" xfId="0" applyFont="1" applyFill="1" applyAlignment="1">
      <alignment horizontal="centerContinuous"/>
    </xf>
    <xf numFmtId="0" fontId="21" fillId="0" borderId="0" xfId="0" applyFont="1" applyAlignment="1"/>
    <xf numFmtId="164" fontId="27" fillId="0" borderId="0" xfId="5" quotePrefix="1" applyFont="1" applyAlignment="1">
      <alignment horizontal="center"/>
    </xf>
    <xf numFmtId="164" fontId="25" fillId="0" borderId="0" xfId="5" applyFont="1" applyBorder="1" applyAlignment="1"/>
    <xf numFmtId="164" fontId="25" fillId="0" borderId="0" xfId="5" quotePrefix="1" applyFont="1" applyBorder="1" applyAlignment="1">
      <alignment horizontal="center"/>
    </xf>
    <xf numFmtId="167" fontId="25" fillId="0" borderId="0" xfId="5" applyNumberFormat="1" applyFont="1" applyBorder="1" applyAlignment="1"/>
    <xf numFmtId="10" fontId="25" fillId="0" borderId="0" xfId="5" applyNumberFormat="1" applyFont="1" applyAlignment="1"/>
    <xf numFmtId="167" fontId="25" fillId="0" borderId="0" xfId="5" applyNumberFormat="1" applyFont="1" applyFill="1" applyAlignment="1"/>
    <xf numFmtId="167" fontId="25" fillId="0" borderId="0" xfId="5" applyNumberFormat="1" applyFont="1" applyAlignment="1"/>
    <xf numFmtId="167" fontId="25" fillId="0" borderId="1" xfId="5" applyNumberFormat="1" applyFont="1" applyBorder="1" applyAlignment="1"/>
    <xf numFmtId="0" fontId="33" fillId="0" borderId="0" xfId="5" applyNumberFormat="1" applyFont="1" applyFill="1" applyAlignment="1" applyProtection="1">
      <alignment horizontal="left"/>
      <protection locked="0"/>
    </xf>
    <xf numFmtId="0" fontId="9" fillId="0" borderId="0" xfId="0" applyFont="1"/>
    <xf numFmtId="0" fontId="9" fillId="0" borderId="1" xfId="9" applyFont="1" applyBorder="1" applyAlignment="1">
      <alignment horizontal="center"/>
    </xf>
    <xf numFmtId="0" fontId="9" fillId="2" borderId="0" xfId="9" applyFont="1" applyFill="1"/>
    <xf numFmtId="0" fontId="9" fillId="0" borderId="0" xfId="0" applyFont="1" applyBorder="1"/>
    <xf numFmtId="38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9" fillId="2" borderId="0" xfId="0" quotePrefix="1" applyFont="1" applyFill="1"/>
    <xf numFmtId="0" fontId="9" fillId="2" borderId="0" xfId="0" applyFont="1" applyFill="1"/>
    <xf numFmtId="0" fontId="8" fillId="0" borderId="0" xfId="0" applyFont="1"/>
    <xf numFmtId="38" fontId="8" fillId="0" borderId="1" xfId="0" applyNumberFormat="1" applyFont="1" applyBorder="1" applyAlignment="1">
      <alignment horizontal="center"/>
    </xf>
    <xf numFmtId="38" fontId="10" fillId="2" borderId="0" xfId="0" applyNumberFormat="1" applyFont="1" applyFill="1" applyBorder="1"/>
    <xf numFmtId="0" fontId="7" fillId="0" borderId="0" xfId="9" applyFont="1" applyBorder="1" applyAlignment="1">
      <alignment horizontal="center"/>
    </xf>
    <xf numFmtId="0" fontId="6" fillId="2" borderId="0" xfId="9" applyFont="1" applyFill="1"/>
    <xf numFmtId="0" fontId="6" fillId="0" borderId="0" xfId="0" applyFont="1"/>
    <xf numFmtId="0" fontId="6" fillId="0" borderId="0" xfId="9" applyFont="1" applyBorder="1" applyAlignment="1">
      <alignment horizontal="center"/>
    </xf>
    <xf numFmtId="38" fontId="6" fillId="0" borderId="0" xfId="0" applyNumberFormat="1" applyFont="1"/>
    <xf numFmtId="38" fontId="6" fillId="0" borderId="0" xfId="0" applyNumberFormat="1" applyFont="1" applyFill="1"/>
    <xf numFmtId="0" fontId="5" fillId="0" borderId="0" xfId="0" applyFont="1"/>
    <xf numFmtId="0" fontId="4" fillId="2" borderId="0" xfId="9" quotePrefix="1" applyFont="1" applyFill="1"/>
    <xf numFmtId="0" fontId="4" fillId="0" borderId="1" xfId="0" applyFont="1" applyBorder="1" applyAlignment="1">
      <alignment horizontal="centerContinuous"/>
    </xf>
    <xf numFmtId="0" fontId="4" fillId="0" borderId="1" xfId="0" quotePrefix="1" applyFont="1" applyBorder="1" applyAlignment="1">
      <alignment horizontal="center" wrapText="1"/>
    </xf>
    <xf numFmtId="0" fontId="34" fillId="0" borderId="0" xfId="0" applyFont="1"/>
    <xf numFmtId="38" fontId="34" fillId="0" borderId="0" xfId="0" applyNumberFormat="1" applyFont="1"/>
    <xf numFmtId="0" fontId="3" fillId="0" borderId="0" xfId="0" applyFont="1"/>
    <xf numFmtId="6" fontId="24" fillId="0" borderId="0" xfId="0" applyNumberFormat="1" applyFont="1" applyFill="1"/>
    <xf numFmtId="0" fontId="24" fillId="0" borderId="0" xfId="0" applyFont="1" applyFill="1"/>
    <xf numFmtId="6" fontId="24" fillId="2" borderId="0" xfId="0" applyNumberFormat="1" applyFont="1" applyFill="1"/>
    <xf numFmtId="38" fontId="24" fillId="2" borderId="0" xfId="0" applyNumberFormat="1" applyFont="1" applyFill="1"/>
    <xf numFmtId="6" fontId="24" fillId="0" borderId="0" xfId="0" applyNumberFormat="1" applyFont="1" applyAlignment="1"/>
    <xf numFmtId="38" fontId="24" fillId="0" borderId="0" xfId="0" applyNumberFormat="1" applyFont="1" applyAlignment="1"/>
    <xf numFmtId="38" fontId="24" fillId="0" borderId="0" xfId="0" applyNumberFormat="1" applyFont="1"/>
    <xf numFmtId="38" fontId="24" fillId="0" borderId="3" xfId="0" applyNumberFormat="1" applyFont="1" applyFill="1" applyBorder="1"/>
    <xf numFmtId="38" fontId="24" fillId="0" borderId="0" xfId="0" applyNumberFormat="1" applyFont="1" applyFill="1"/>
    <xf numFmtId="38" fontId="24" fillId="2" borderId="3" xfId="0" applyNumberFormat="1" applyFont="1" applyFill="1" applyBorder="1"/>
    <xf numFmtId="38" fontId="16" fillId="0" borderId="1" xfId="0" applyNumberFormat="1" applyFont="1" applyFill="1" applyBorder="1"/>
    <xf numFmtId="6" fontId="24" fillId="0" borderId="0" xfId="0" applyNumberFormat="1" applyFont="1"/>
    <xf numFmtId="40" fontId="24" fillId="0" borderId="0" xfId="0" applyNumberFormat="1" applyFont="1"/>
    <xf numFmtId="38" fontId="24" fillId="3" borderId="0" xfId="0" applyNumberFormat="1" applyFont="1" applyFill="1" applyBorder="1"/>
    <xf numFmtId="1" fontId="27" fillId="0" borderId="0" xfId="5" quotePrefix="1" applyNumberFormat="1" applyFont="1" applyAlignment="1">
      <alignment horizontal="center"/>
    </xf>
    <xf numFmtId="0" fontId="2" fillId="0" borderId="0" xfId="0" applyFont="1"/>
    <xf numFmtId="0" fontId="35" fillId="0" borderId="0" xfId="6" quotePrefix="1" applyFont="1" applyFill="1" applyAlignment="1">
      <alignment horizontal="left"/>
    </xf>
    <xf numFmtId="0" fontId="35" fillId="0" borderId="0" xfId="6" applyFont="1" applyFill="1"/>
    <xf numFmtId="0" fontId="35" fillId="0" borderId="0" xfId="6" applyFont="1"/>
    <xf numFmtId="0" fontId="2" fillId="0" borderId="1" xfId="9" applyFont="1" applyBorder="1" applyAlignment="1">
      <alignment horizontal="center"/>
    </xf>
    <xf numFmtId="0" fontId="2" fillId="2" borderId="0" xfId="9" applyFont="1" applyFill="1"/>
    <xf numFmtId="40" fontId="19" fillId="2" borderId="0" xfId="9" applyNumberFormat="1" applyFill="1"/>
    <xf numFmtId="0" fontId="2" fillId="2" borderId="1" xfId="9" applyFont="1" applyFill="1" applyBorder="1" applyAlignment="1">
      <alignment horizontal="centerContinuous"/>
    </xf>
    <xf numFmtId="0" fontId="2" fillId="2" borderId="0" xfId="9" applyFont="1" applyFill="1" applyBorder="1" applyAlignment="1">
      <alignment horizontal="centerContinuous"/>
    </xf>
    <xf numFmtId="40" fontId="19" fillId="2" borderId="0" xfId="9" applyNumberFormat="1" applyFill="1" applyBorder="1"/>
    <xf numFmtId="40" fontId="19" fillId="0" borderId="0" xfId="9" applyNumberFormat="1"/>
    <xf numFmtId="40" fontId="19" fillId="0" borderId="0" xfId="9" applyNumberFormat="1" applyBorder="1"/>
    <xf numFmtId="6" fontId="10" fillId="2" borderId="0" xfId="0" applyNumberFormat="1" applyFont="1" applyFill="1"/>
    <xf numFmtId="38" fontId="10" fillId="2" borderId="0" xfId="0" applyNumberFormat="1" applyFont="1" applyFill="1"/>
    <xf numFmtId="7" fontId="10" fillId="0" borderId="0" xfId="0" applyNumberFormat="1" applyFont="1" applyFill="1"/>
    <xf numFmtId="39" fontId="10" fillId="0" borderId="0" xfId="0" applyNumberFormat="1" applyFont="1" applyFill="1"/>
    <xf numFmtId="39" fontId="10" fillId="0" borderId="1" xfId="0" applyNumberFormat="1" applyFont="1" applyFill="1" applyBorder="1"/>
    <xf numFmtId="39" fontId="10" fillId="0" borderId="13" xfId="0" applyNumberFormat="1" applyFont="1" applyFill="1" applyBorder="1"/>
    <xf numFmtId="0" fontId="1" fillId="0" borderId="0" xfId="0" applyFont="1"/>
    <xf numFmtId="6" fontId="11" fillId="0" borderId="13" xfId="0" applyNumberFormat="1" applyFont="1" applyBorder="1"/>
    <xf numFmtId="6" fontId="1" fillId="0" borderId="0" xfId="0" applyNumberFormat="1" applyFont="1"/>
    <xf numFmtId="38" fontId="1" fillId="0" borderId="0" xfId="0" applyNumberFormat="1" applyFont="1"/>
    <xf numFmtId="38" fontId="1" fillId="0" borderId="2" xfId="0" applyNumberFormat="1" applyFont="1" applyBorder="1"/>
    <xf numFmtId="0" fontId="1" fillId="2" borderId="0" xfId="9" quotePrefix="1" applyFont="1" applyFill="1"/>
    <xf numFmtId="0" fontId="1" fillId="0" borderId="0" xfId="20" quotePrefix="1" applyFont="1"/>
    <xf numFmtId="49" fontId="1" fillId="0" borderId="0" xfId="0" quotePrefix="1" applyNumberFormat="1" applyFont="1" applyFill="1" applyBorder="1" applyAlignment="1">
      <alignment horizontal="left" wrapText="1"/>
    </xf>
    <xf numFmtId="38" fontId="18" fillId="2" borderId="0" xfId="0" applyNumberFormat="1" applyFont="1" applyFill="1"/>
    <xf numFmtId="0" fontId="1" fillId="0" borderId="1" xfId="0" quotePrefix="1" applyFont="1" applyBorder="1" applyAlignment="1">
      <alignment horizontal="center" wrapText="1"/>
    </xf>
    <xf numFmtId="6" fontId="24" fillId="0" borderId="0" xfId="0" applyNumberFormat="1" applyFont="1" applyAlignment="1">
      <alignment horizontal="right"/>
    </xf>
    <xf numFmtId="38" fontId="24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0" xfId="0" quotePrefix="1" applyFont="1"/>
    <xf numFmtId="0" fontId="24" fillId="0" borderId="0" xfId="0" applyFont="1"/>
    <xf numFmtId="0" fontId="1" fillId="2" borderId="0" xfId="0" applyFont="1" applyFill="1"/>
    <xf numFmtId="38" fontId="1" fillId="2" borderId="0" xfId="0" applyNumberFormat="1" applyFont="1" applyFill="1"/>
    <xf numFmtId="0" fontId="24" fillId="2" borderId="0" xfId="0" applyFont="1" applyFill="1"/>
    <xf numFmtId="0" fontId="24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38" fontId="1" fillId="0" borderId="3" xfId="0" applyNumberFormat="1" applyFont="1" applyBorder="1"/>
    <xf numFmtId="38" fontId="16" fillId="2" borderId="3" xfId="0" applyNumberFormat="1" applyFont="1" applyFill="1" applyBorder="1"/>
    <xf numFmtId="0" fontId="16" fillId="2" borderId="0" xfId="0" applyFont="1" applyFill="1"/>
    <xf numFmtId="38" fontId="16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2" borderId="0" xfId="9" applyFont="1" applyFill="1"/>
    <xf numFmtId="0" fontId="1" fillId="0" borderId="1" xfId="9" applyFont="1" applyBorder="1" applyAlignment="1">
      <alignment horizontal="center"/>
    </xf>
    <xf numFmtId="166" fontId="1" fillId="3" borderId="4" xfId="0" applyNumberFormat="1" applyFont="1" applyFill="1" applyBorder="1"/>
    <xf numFmtId="6" fontId="11" fillId="2" borderId="0" xfId="0" applyNumberFormat="1" applyFont="1" applyFill="1"/>
    <xf numFmtId="38" fontId="11" fillId="2" borderId="3" xfId="0" applyNumberFormat="1" applyFont="1" applyFill="1" applyBorder="1"/>
    <xf numFmtId="0" fontId="1" fillId="0" borderId="0" xfId="20" applyFont="1"/>
    <xf numFmtId="38" fontId="1" fillId="0" borderId="0" xfId="20" applyNumberFormat="1" applyFont="1"/>
    <xf numFmtId="38" fontId="1" fillId="0" borderId="1" xfId="20" applyNumberFormat="1" applyFont="1" applyBorder="1" applyAlignment="1">
      <alignment horizontal="center"/>
    </xf>
    <xf numFmtId="6" fontId="1" fillId="0" borderId="0" xfId="20" applyNumberFormat="1" applyFont="1"/>
    <xf numFmtId="6" fontId="1" fillId="0" borderId="2" xfId="20" applyNumberFormat="1" applyFont="1" applyBorder="1"/>
    <xf numFmtId="0" fontId="1" fillId="0" borderId="0" xfId="0" applyFont="1" applyAlignment="1">
      <alignment horizontal="center"/>
    </xf>
    <xf numFmtId="8" fontId="19" fillId="2" borderId="0" xfId="9" applyNumberFormat="1" applyFill="1"/>
    <xf numFmtId="0" fontId="1" fillId="0" borderId="0" xfId="9" applyFont="1" applyBorder="1" applyAlignment="1">
      <alignment horizontal="center"/>
    </xf>
    <xf numFmtId="8" fontId="19" fillId="2" borderId="0" xfId="9" applyNumberFormat="1" applyFill="1" applyBorder="1"/>
    <xf numFmtId="8" fontId="19" fillId="0" borderId="0" xfId="9" applyNumberFormat="1" applyBorder="1"/>
    <xf numFmtId="40" fontId="19" fillId="0" borderId="2" xfId="9" applyNumberFormat="1" applyBorder="1"/>
    <xf numFmtId="6" fontId="16" fillId="0" borderId="0" xfId="0" applyNumberFormat="1" applyFont="1" applyFill="1" applyBorder="1"/>
    <xf numFmtId="6" fontId="11" fillId="0" borderId="2" xfId="0" applyNumberFormat="1" applyFont="1" applyBorder="1"/>
    <xf numFmtId="6" fontId="24" fillId="2" borderId="0" xfId="0" applyNumberFormat="1" applyFont="1" applyFill="1" applyBorder="1"/>
    <xf numFmtId="6" fontId="11" fillId="0" borderId="3" xfId="0" applyNumberFormat="1" applyFont="1" applyBorder="1"/>
    <xf numFmtId="0" fontId="33" fillId="0" borderId="0" xfId="0" applyFont="1" applyAlignment="1"/>
    <xf numFmtId="0" fontId="24" fillId="0" borderId="0" xfId="0" applyFont="1" applyAlignment="1"/>
    <xf numFmtId="0" fontId="36" fillId="0" borderId="1" xfId="0" applyFont="1" applyBorder="1" applyAlignment="1"/>
    <xf numFmtId="0" fontId="24" fillId="0" borderId="1" xfId="0" applyFont="1" applyBorder="1" applyAlignment="1"/>
    <xf numFmtId="0" fontId="24" fillId="0" borderId="0" xfId="0" applyFont="1" applyBorder="1" applyAlignment="1"/>
    <xf numFmtId="0" fontId="35" fillId="6" borderId="0" xfId="0" applyFont="1" applyFill="1" applyAlignment="1"/>
    <xf numFmtId="0" fontId="24" fillId="6" borderId="0" xfId="0" applyFont="1" applyFill="1" applyAlignment="1"/>
    <xf numFmtId="0" fontId="35" fillId="0" borderId="0" xfId="0" applyFont="1" applyAlignment="1"/>
    <xf numFmtId="0" fontId="24" fillId="0" borderId="0" xfId="0" applyFont="1" applyAlignment="1">
      <alignment horizontal="center"/>
    </xf>
    <xf numFmtId="0" fontId="24" fillId="0" borderId="4" xfId="0" applyFont="1" applyBorder="1" applyAlignment="1"/>
    <xf numFmtId="0" fontId="24" fillId="0" borderId="3" xfId="0" applyFont="1" applyBorder="1" applyAlignment="1"/>
    <xf numFmtId="0" fontId="24" fillId="0" borderId="6" xfId="0" applyFont="1" applyBorder="1" applyAlignment="1"/>
    <xf numFmtId="169" fontId="24" fillId="7" borderId="0" xfId="23" quotePrefix="1" applyNumberFormat="1" applyFont="1" applyFill="1" applyBorder="1" applyAlignment="1"/>
    <xf numFmtId="169" fontId="24" fillId="8" borderId="0" xfId="23" applyNumberFormat="1" applyFont="1" applyFill="1" applyBorder="1" applyAlignment="1"/>
    <xf numFmtId="0" fontId="24" fillId="0" borderId="7" xfId="0" applyFont="1" applyBorder="1" applyAlignment="1"/>
    <xf numFmtId="169" fontId="24" fillId="0" borderId="0" xfId="0" applyNumberFormat="1" applyFont="1" applyAlignment="1"/>
    <xf numFmtId="10" fontId="24" fillId="9" borderId="0" xfId="22" applyNumberFormat="1" applyFont="1" applyFill="1" applyBorder="1" applyAlignment="1"/>
    <xf numFmtId="0" fontId="24" fillId="0" borderId="11" xfId="0" applyFont="1" applyBorder="1" applyAlignment="1"/>
    <xf numFmtId="0" fontId="35" fillId="0" borderId="0" xfId="0" applyFont="1" applyBorder="1" applyAlignment="1"/>
    <xf numFmtId="169" fontId="24" fillId="0" borderId="3" xfId="0" applyNumberFormat="1" applyFont="1" applyFill="1" applyBorder="1" applyAlignment="1"/>
    <xf numFmtId="169" fontId="35" fillId="0" borderId="7" xfId="0" applyNumberFormat="1" applyFont="1" applyFill="1" applyBorder="1" applyAlignment="1"/>
    <xf numFmtId="169" fontId="24" fillId="7" borderId="0" xfId="23" applyNumberFormat="1" applyFont="1" applyFill="1" applyBorder="1" applyAlignment="1"/>
    <xf numFmtId="0" fontId="24" fillId="0" borderId="8" xfId="0" applyFont="1" applyBorder="1" applyAlignment="1"/>
    <xf numFmtId="169" fontId="24" fillId="0" borderId="9" xfId="0" applyNumberFormat="1" applyFont="1" applyFill="1" applyBorder="1" applyAlignment="1"/>
    <xf numFmtId="169" fontId="35" fillId="0" borderId="11" xfId="0" applyNumberFormat="1" applyFont="1" applyFill="1" applyBorder="1" applyAlignment="1"/>
    <xf numFmtId="169" fontId="35" fillId="0" borderId="0" xfId="23" applyNumberFormat="1" applyFont="1" applyFill="1" applyBorder="1" applyAlignment="1"/>
    <xf numFmtId="169" fontId="24" fillId="0" borderId="7" xfId="23" quotePrefix="1" applyNumberFormat="1" applyFont="1" applyFill="1" applyBorder="1" applyAlignment="1"/>
    <xf numFmtId="169" fontId="24" fillId="7" borderId="1" xfId="23" applyNumberFormat="1" applyFont="1" applyFill="1" applyBorder="1" applyAlignment="1"/>
    <xf numFmtId="169" fontId="35" fillId="0" borderId="1" xfId="23" applyNumberFormat="1" applyFont="1" applyFill="1" applyBorder="1" applyAlignment="1"/>
    <xf numFmtId="169" fontId="24" fillId="0" borderId="11" xfId="23" applyNumberFormat="1" applyFont="1" applyFill="1" applyBorder="1" applyAlignment="1"/>
    <xf numFmtId="0" fontId="35" fillId="0" borderId="6" xfId="0" applyFont="1" applyBorder="1" applyAlignment="1"/>
    <xf numFmtId="169" fontId="35" fillId="7" borderId="0" xfId="0" applyNumberFormat="1" applyFont="1" applyFill="1" applyBorder="1" applyAlignment="1"/>
    <xf numFmtId="169" fontId="35" fillId="0" borderId="0" xfId="0" applyNumberFormat="1" applyFont="1" applyFill="1" applyBorder="1" applyAlignment="1"/>
    <xf numFmtId="0" fontId="24" fillId="0" borderId="0" xfId="0" applyFont="1" applyFill="1" applyBorder="1" applyAlignment="1"/>
    <xf numFmtId="0" fontId="24" fillId="0" borderId="7" xfId="0" applyFont="1" applyFill="1" applyBorder="1" applyAlignment="1"/>
    <xf numFmtId="0" fontId="1" fillId="0" borderId="6" xfId="24" applyFont="1" applyBorder="1"/>
    <xf numFmtId="0" fontId="1" fillId="0" borderId="0" xfId="24" applyFont="1" applyBorder="1"/>
    <xf numFmtId="41" fontId="24" fillId="7" borderId="0" xfId="0" applyNumberFormat="1" applyFont="1" applyFill="1" applyBorder="1" applyAlignment="1"/>
    <xf numFmtId="41" fontId="24" fillId="0" borderId="7" xfId="0" applyNumberFormat="1" applyFont="1" applyFill="1" applyBorder="1" applyAlignment="1"/>
    <xf numFmtId="41" fontId="24" fillId="7" borderId="1" xfId="0" applyNumberFormat="1" applyFont="1" applyFill="1" applyBorder="1" applyAlignment="1"/>
    <xf numFmtId="41" fontId="24" fillId="0" borderId="11" xfId="0" applyNumberFormat="1" applyFont="1" applyFill="1" applyBorder="1" applyAlignment="1"/>
    <xf numFmtId="170" fontId="24" fillId="7" borderId="0" xfId="25" applyNumberFormat="1" applyFont="1" applyFill="1" applyBorder="1"/>
    <xf numFmtId="170" fontId="24" fillId="0" borderId="0" xfId="25" applyNumberFormat="1" applyFont="1" applyBorder="1"/>
    <xf numFmtId="170" fontId="24" fillId="0" borderId="7" xfId="25" applyNumberFormat="1" applyFont="1" applyBorder="1"/>
    <xf numFmtId="0" fontId="21" fillId="0" borderId="6" xfId="24" applyFont="1" applyBorder="1"/>
    <xf numFmtId="0" fontId="21" fillId="0" borderId="0" xfId="24" applyFont="1" applyBorder="1"/>
    <xf numFmtId="169" fontId="35" fillId="0" borderId="7" xfId="23" quotePrefix="1" applyNumberFormat="1" applyFont="1" applyFill="1" applyBorder="1" applyAlignment="1"/>
    <xf numFmtId="169" fontId="38" fillId="10" borderId="0" xfId="0" applyNumberFormat="1" applyFont="1" applyFill="1" applyBorder="1" applyAlignment="1"/>
    <xf numFmtId="169" fontId="24" fillId="0" borderId="0" xfId="0" applyNumberFormat="1" applyFont="1" applyFill="1" applyBorder="1" applyAlignment="1"/>
    <xf numFmtId="169" fontId="24" fillId="0" borderId="7" xfId="0" applyNumberFormat="1" applyFont="1" applyFill="1" applyBorder="1" applyAlignment="1"/>
    <xf numFmtId="0" fontId="21" fillId="0" borderId="6" xfId="24" applyFont="1" applyFill="1" applyBorder="1"/>
    <xf numFmtId="0" fontId="21" fillId="0" borderId="0" xfId="24" applyFont="1" applyFill="1" applyBorder="1"/>
    <xf numFmtId="171" fontId="24" fillId="7" borderId="0" xfId="22" applyNumberFormat="1" applyFont="1" applyFill="1" applyBorder="1" applyAlignment="1"/>
    <xf numFmtId="171" fontId="24" fillId="0" borderId="0" xfId="22" applyNumberFormat="1" applyFont="1" applyFill="1" applyBorder="1" applyAlignment="1"/>
    <xf numFmtId="171" fontId="24" fillId="0" borderId="7" xfId="22" applyNumberFormat="1" applyFont="1" applyFill="1" applyBorder="1" applyAlignment="1"/>
    <xf numFmtId="169" fontId="24" fillId="7" borderId="0" xfId="0" applyNumberFormat="1" applyFont="1" applyFill="1" applyBorder="1" applyAlignment="1"/>
    <xf numFmtId="0" fontId="35" fillId="0" borderId="8" xfId="0" applyFont="1" applyBorder="1" applyAlignment="1"/>
    <xf numFmtId="0" fontId="35" fillId="0" borderId="1" xfId="0" applyFont="1" applyBorder="1" applyAlignment="1"/>
    <xf numFmtId="169" fontId="35" fillId="7" borderId="9" xfId="0" applyNumberFormat="1" applyFont="1" applyFill="1" applyBorder="1" applyAlignment="1"/>
    <xf numFmtId="169" fontId="35" fillId="0" borderId="9" xfId="0" applyNumberFormat="1" applyFont="1" applyFill="1" applyBorder="1" applyAlignment="1"/>
    <xf numFmtId="169" fontId="35" fillId="11" borderId="15" xfId="0" applyNumberFormat="1" applyFont="1" applyFill="1" applyBorder="1" applyAlignment="1"/>
    <xf numFmtId="0" fontId="35" fillId="5" borderId="0" xfId="0" applyFont="1" applyFill="1" applyAlignment="1"/>
    <xf numFmtId="0" fontId="24" fillId="5" borderId="0" xfId="0" applyFont="1" applyFill="1" applyAlignment="1"/>
    <xf numFmtId="169" fontId="24" fillId="7" borderId="5" xfId="23" applyNumberFormat="1" applyFont="1" applyFill="1" applyBorder="1" applyAlignment="1"/>
    <xf numFmtId="169" fontId="38" fillId="10" borderId="7" xfId="23" applyNumberFormat="1" applyFont="1" applyFill="1" applyBorder="1" applyAlignment="1"/>
    <xf numFmtId="169" fontId="35" fillId="0" borderId="10" xfId="0" applyNumberFormat="1" applyFont="1" applyBorder="1" applyAlignment="1"/>
    <xf numFmtId="169" fontId="35" fillId="0" borderId="0" xfId="0" applyNumberFormat="1" applyFont="1" applyBorder="1" applyAlignment="1"/>
    <xf numFmtId="169" fontId="24" fillId="0" borderId="7" xfId="23" applyNumberFormat="1" applyFont="1" applyFill="1" applyBorder="1" applyAlignment="1"/>
    <xf numFmtId="172" fontId="24" fillId="0" borderId="0" xfId="21" applyNumberFormat="1" applyFont="1" applyAlignment="1"/>
    <xf numFmtId="44" fontId="24" fillId="0" borderId="0" xfId="0" applyNumberFormat="1" applyFont="1" applyAlignment="1"/>
    <xf numFmtId="169" fontId="24" fillId="7" borderId="9" xfId="0" applyNumberFormat="1" applyFont="1" applyFill="1" applyBorder="1" applyAlignment="1"/>
    <xf numFmtId="169" fontId="24" fillId="0" borderId="9" xfId="0" applyNumberFormat="1" applyFont="1" applyBorder="1" applyAlignment="1"/>
    <xf numFmtId="169" fontId="24" fillId="0" borderId="10" xfId="0" applyNumberFormat="1" applyFont="1" applyBorder="1" applyAlignment="1"/>
    <xf numFmtId="169" fontId="35" fillId="11" borderId="16" xfId="0" applyNumberFormat="1" applyFont="1" applyFill="1" applyBorder="1" applyAlignment="1"/>
    <xf numFmtId="169" fontId="35" fillId="0" borderId="0" xfId="0" applyNumberFormat="1" applyFont="1" applyFill="1" applyAlignment="1"/>
    <xf numFmtId="0" fontId="22" fillId="0" borderId="0" xfId="26" applyBorder="1" applyAlignment="1">
      <alignment horizontal="center"/>
    </xf>
    <xf numFmtId="0" fontId="35" fillId="12" borderId="0" xfId="0" applyFont="1" applyFill="1" applyAlignment="1"/>
    <xf numFmtId="0" fontId="24" fillId="12" borderId="0" xfId="0" applyFont="1" applyFill="1" applyAlignment="1"/>
    <xf numFmtId="0" fontId="22" fillId="12" borderId="0" xfId="26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4" fillId="7" borderId="0" xfId="0" applyFont="1" applyFill="1" applyAlignment="1"/>
    <xf numFmtId="0" fontId="24" fillId="8" borderId="0" xfId="0" applyFont="1" applyFill="1" applyAlignment="1"/>
    <xf numFmtId="0" fontId="24" fillId="9" borderId="0" xfId="0" applyFont="1" applyFill="1" applyAlignment="1"/>
    <xf numFmtId="0" fontId="38" fillId="10" borderId="0" xfId="0" applyFont="1" applyFill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168" fontId="1" fillId="0" borderId="0" xfId="0" applyNumberFormat="1" applyFont="1" applyAlignment="1">
      <alignment horizontal="centerContinuous"/>
    </xf>
    <xf numFmtId="168" fontId="1" fillId="0" borderId="0" xfId="0" applyNumberFormat="1" applyFont="1"/>
    <xf numFmtId="168" fontId="1" fillId="0" borderId="0" xfId="0" applyNumberFormat="1" applyFont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6" fontId="1" fillId="0" borderId="0" xfId="0" applyNumberFormat="1" applyFont="1" applyAlignment="1">
      <alignment horizontal="left"/>
    </xf>
    <xf numFmtId="164" fontId="39" fillId="0" borderId="0" xfId="0" applyNumberFormat="1" applyFont="1" applyAlignment="1" applyProtection="1">
      <protection locked="0"/>
    </xf>
    <xf numFmtId="0" fontId="39" fillId="0" borderId="0" xfId="0" applyNumberFormat="1" applyFont="1" applyAlignment="1" applyProtection="1">
      <protection locked="0"/>
    </xf>
    <xf numFmtId="0" fontId="39" fillId="0" borderId="0" xfId="0" applyNumberFormat="1" applyFont="1" applyAlignment="1" applyProtection="1">
      <alignment horizontal="left"/>
      <protection locked="0"/>
    </xf>
    <xf numFmtId="0" fontId="39" fillId="0" borderId="0" xfId="0" applyNumberFormat="1" applyFont="1" applyProtection="1">
      <protection locked="0"/>
    </xf>
    <xf numFmtId="0" fontId="39" fillId="0" borderId="0" xfId="0" applyNumberFormat="1" applyFont="1" applyAlignment="1" applyProtection="1">
      <alignment horizontal="right"/>
      <protection locked="0"/>
    </xf>
    <xf numFmtId="0" fontId="39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164" fontId="39" fillId="0" borderId="0" xfId="0" applyNumberFormat="1" applyFont="1" applyBorder="1" applyAlignment="1" applyProtection="1">
      <protection locked="0"/>
    </xf>
    <xf numFmtId="0" fontId="39" fillId="0" borderId="0" xfId="0" applyNumberFormat="1" applyFont="1" applyFill="1" applyProtection="1">
      <protection locked="0"/>
    </xf>
    <xf numFmtId="0" fontId="39" fillId="4" borderId="0" xfId="0" applyNumberFormat="1" applyFont="1" applyFill="1" applyProtection="1">
      <protection locked="0"/>
    </xf>
    <xf numFmtId="3" fontId="39" fillId="0" borderId="0" xfId="0" applyNumberFormat="1" applyFont="1" applyAlignment="1" applyProtection="1"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39" fillId="0" borderId="0" xfId="0" applyNumberFormat="1" applyFont="1" applyAlignment="1" applyProtection="1">
      <alignment horizontal="center"/>
      <protection locked="0"/>
    </xf>
    <xf numFmtId="49" fontId="42" fillId="13" borderId="0" xfId="0" applyNumberFormat="1" applyFont="1" applyFill="1" applyProtection="1">
      <protection locked="0"/>
    </xf>
    <xf numFmtId="0" fontId="39" fillId="13" borderId="0" xfId="0" applyNumberFormat="1" applyFont="1" applyFill="1" applyProtection="1">
      <protection locked="0"/>
    </xf>
    <xf numFmtId="49" fontId="39" fillId="0" borderId="0" xfId="0" applyNumberFormat="1" applyFont="1" applyProtection="1">
      <protection locked="0"/>
    </xf>
    <xf numFmtId="0" fontId="39" fillId="0" borderId="17" xfId="0" applyNumberFormat="1" applyFont="1" applyBorder="1" applyAlignment="1" applyProtection="1">
      <alignment horizontal="center"/>
      <protection locked="0"/>
    </xf>
    <xf numFmtId="3" fontId="39" fillId="0" borderId="0" xfId="0" applyNumberFormat="1" applyFont="1" applyProtection="1">
      <protection locked="0"/>
    </xf>
    <xf numFmtId="42" fontId="39" fillId="0" borderId="0" xfId="0" applyNumberFormat="1" applyFont="1" applyProtection="1"/>
    <xf numFmtId="3" fontId="39" fillId="0" borderId="0" xfId="0" applyNumberFormat="1" applyFont="1" applyFill="1" applyAlignment="1" applyProtection="1">
      <protection locked="0"/>
    </xf>
    <xf numFmtId="0" fontId="39" fillId="0" borderId="17" xfId="0" applyNumberFormat="1" applyFont="1" applyBorder="1" applyAlignment="1" applyProtection="1">
      <alignment horizontal="centerContinuous"/>
      <protection locked="0"/>
    </xf>
    <xf numFmtId="3" fontId="39" fillId="0" borderId="0" xfId="0" applyNumberFormat="1" applyFont="1" applyAlignment="1" applyProtection="1"/>
    <xf numFmtId="173" fontId="39" fillId="0" borderId="0" xfId="0" applyNumberFormat="1" applyFont="1" applyAlignment="1" applyProtection="1"/>
    <xf numFmtId="3" fontId="39" fillId="0" borderId="0" xfId="0" applyNumberFormat="1" applyFont="1" applyFill="1" applyBorder="1" applyProtection="1">
      <protection locked="0"/>
    </xf>
    <xf numFmtId="3" fontId="39" fillId="4" borderId="0" xfId="0" applyNumberFormat="1" applyFont="1" applyFill="1" applyAlignment="1" applyProtection="1">
      <protection locked="0"/>
    </xf>
    <xf numFmtId="0" fontId="43" fillId="0" borderId="0" xfId="0" applyNumberFormat="1" applyFont="1" applyProtection="1">
      <protection locked="0"/>
    </xf>
    <xf numFmtId="164" fontId="25" fillId="0" borderId="0" xfId="0" applyNumberFormat="1" applyFont="1" applyAlignment="1" applyProtection="1">
      <protection locked="0"/>
    </xf>
    <xf numFmtId="3" fontId="39" fillId="0" borderId="17" xfId="0" applyNumberFormat="1" applyFont="1" applyBorder="1" applyAlignment="1" applyProtection="1"/>
    <xf numFmtId="3" fontId="39" fillId="0" borderId="0" xfId="0" applyNumberFormat="1" applyFont="1" applyAlignment="1" applyProtection="1">
      <alignment horizontal="fill"/>
      <protection locked="0"/>
    </xf>
    <xf numFmtId="173" fontId="39" fillId="0" borderId="0" xfId="0" applyNumberFormat="1" applyFont="1" applyAlignment="1" applyProtection="1">
      <protection locked="0"/>
    </xf>
    <xf numFmtId="0" fontId="25" fillId="0" borderId="0" xfId="0" applyNumberFormat="1" applyFont="1" applyProtection="1">
      <protection locked="0"/>
    </xf>
    <xf numFmtId="0" fontId="39" fillId="0" borderId="0" xfId="28" applyNumberFormat="1" applyFont="1" applyFill="1" applyAlignment="1" applyProtection="1">
      <alignment horizontal="center"/>
      <protection locked="0"/>
    </xf>
    <xf numFmtId="164" fontId="39" fillId="0" borderId="0" xfId="28" applyFont="1" applyFill="1" applyAlignment="1" applyProtection="1">
      <protection locked="0"/>
    </xf>
    <xf numFmtId="0" fontId="39" fillId="0" borderId="0" xfId="28" applyNumberFormat="1" applyFont="1" applyFill="1" applyProtection="1">
      <protection locked="0"/>
    </xf>
    <xf numFmtId="3" fontId="39" fillId="0" borderId="0" xfId="28" applyNumberFormat="1" applyFont="1" applyFill="1" applyAlignment="1" applyProtection="1">
      <protection locked="0"/>
    </xf>
    <xf numFmtId="173" fontId="39" fillId="0" borderId="0" xfId="28" applyNumberFormat="1" applyFont="1" applyFill="1" applyAlignment="1" applyProtection="1">
      <protection locked="0"/>
    </xf>
    <xf numFmtId="37" fontId="39" fillId="4" borderId="0" xfId="28" applyNumberFormat="1" applyFont="1" applyFill="1" applyBorder="1" applyAlignment="1" applyProtection="1">
      <protection locked="0"/>
    </xf>
    <xf numFmtId="37" fontId="39" fillId="4" borderId="17" xfId="28" applyNumberFormat="1" applyFont="1" applyFill="1" applyBorder="1" applyAlignment="1" applyProtection="1">
      <protection locked="0"/>
    </xf>
    <xf numFmtId="37" fontId="39" fillId="0" borderId="0" xfId="28" applyNumberFormat="1" applyFont="1" applyFill="1" applyBorder="1" applyAlignment="1" applyProtection="1"/>
    <xf numFmtId="164" fontId="44" fillId="0" borderId="0" xfId="0" applyNumberFormat="1" applyFont="1" applyAlignment="1" applyProtection="1">
      <protection locked="0"/>
    </xf>
    <xf numFmtId="37" fontId="25" fillId="0" borderId="0" xfId="0" applyNumberFormat="1" applyFont="1" applyProtection="1">
      <protection locked="0"/>
    </xf>
    <xf numFmtId="0" fontId="39" fillId="0" borderId="0" xfId="28" quotePrefix="1" applyNumberFormat="1" applyFont="1" applyFill="1" applyProtection="1">
      <protection locked="0"/>
    </xf>
    <xf numFmtId="42" fontId="39" fillId="0" borderId="13" xfId="0" applyNumberFormat="1" applyFont="1" applyBorder="1" applyAlignment="1" applyProtection="1">
      <alignment horizontal="right"/>
    </xf>
    <xf numFmtId="42" fontId="39" fillId="0" borderId="0" xfId="0" applyNumberFormat="1" applyFont="1" applyBorder="1" applyAlignment="1" applyProtection="1">
      <alignment horizontal="right"/>
      <protection locked="0"/>
    </xf>
    <xf numFmtId="0" fontId="0" fillId="13" borderId="0" xfId="0" applyFill="1" applyProtection="1">
      <protection locked="0"/>
    </xf>
    <xf numFmtId="42" fontId="39" fillId="0" borderId="0" xfId="0" applyNumberFormat="1" applyFont="1" applyBorder="1" applyAlignment="1" applyProtection="1">
      <alignment horizontal="left"/>
      <protection locked="0"/>
    </xf>
    <xf numFmtId="0" fontId="0" fillId="13" borderId="17" xfId="0" applyFill="1" applyBorder="1" applyProtection="1">
      <protection locked="0"/>
    </xf>
    <xf numFmtId="3" fontId="39" fillId="0" borderId="0" xfId="0" applyNumberFormat="1" applyFont="1" applyFill="1" applyBorder="1" applyAlignment="1" applyProtection="1"/>
    <xf numFmtId="42" fontId="39" fillId="0" borderId="3" xfId="0" applyNumberFormat="1" applyFont="1" applyBorder="1" applyAlignment="1" applyProtection="1">
      <alignment horizontal="right"/>
      <protection locked="0"/>
    </xf>
    <xf numFmtId="0" fontId="39" fillId="0" borderId="0" xfId="0" applyNumberFormat="1" applyFont="1" applyBorder="1" applyProtection="1">
      <protection locked="0"/>
    </xf>
    <xf numFmtId="164" fontId="39" fillId="0" borderId="0" xfId="0" applyNumberFormat="1" applyFont="1" applyBorder="1" applyAlignment="1" applyProtection="1">
      <alignment horizontal="left"/>
      <protection locked="0"/>
    </xf>
    <xf numFmtId="0" fontId="25" fillId="0" borderId="0" xfId="0" applyNumberFormat="1" applyFont="1" applyBorder="1" applyProtection="1">
      <protection locked="0"/>
    </xf>
    <xf numFmtId="164" fontId="25" fillId="0" borderId="0" xfId="0" applyNumberFormat="1" applyFont="1" applyBorder="1" applyAlignment="1" applyProtection="1">
      <protection locked="0"/>
    </xf>
    <xf numFmtId="3" fontId="45" fillId="0" borderId="0" xfId="0" applyNumberFormat="1" applyFont="1" applyProtection="1">
      <protection locked="0"/>
    </xf>
    <xf numFmtId="3" fontId="39" fillId="4" borderId="0" xfId="0" applyNumberFormat="1" applyFont="1" applyFill="1" applyProtection="1">
      <protection locked="0"/>
    </xf>
    <xf numFmtId="164" fontId="43" fillId="0" borderId="0" xfId="0" applyNumberFormat="1" applyFont="1" applyAlignment="1" applyProtection="1">
      <protection locked="0"/>
    </xf>
    <xf numFmtId="0" fontId="45" fillId="0" borderId="0" xfId="0" applyNumberFormat="1" applyFont="1" applyProtection="1">
      <protection locked="0"/>
    </xf>
    <xf numFmtId="3" fontId="39" fillId="4" borderId="0" xfId="0" applyNumberFormat="1" applyFont="1" applyFill="1" applyBorder="1" applyProtection="1">
      <protection locked="0"/>
    </xf>
    <xf numFmtId="3" fontId="39" fillId="4" borderId="17" xfId="0" applyNumberFormat="1" applyFont="1" applyFill="1" applyBorder="1" applyProtection="1">
      <protection locked="0"/>
    </xf>
    <xf numFmtId="3" fontId="39" fillId="0" borderId="0" xfId="0" applyNumberFormat="1" applyFont="1" applyProtection="1"/>
    <xf numFmtId="174" fontId="39" fillId="0" borderId="0" xfId="0" applyNumberFormat="1" applyFont="1" applyProtection="1"/>
    <xf numFmtId="174" fontId="39" fillId="0" borderId="0" xfId="0" applyNumberFormat="1" applyFont="1" applyProtection="1">
      <protection locked="0"/>
    </xf>
    <xf numFmtId="174" fontId="39" fillId="0" borderId="0" xfId="0" applyNumberFormat="1" applyFont="1" applyAlignment="1" applyProtection="1">
      <alignment horizontal="center"/>
      <protection locked="0"/>
    </xf>
    <xf numFmtId="164" fontId="39" fillId="0" borderId="0" xfId="0" applyNumberFormat="1" applyFont="1" applyAlignment="1" applyProtection="1">
      <alignment horizontal="center"/>
      <protection locked="0"/>
    </xf>
    <xf numFmtId="175" fontId="39" fillId="0" borderId="0" xfId="0" applyNumberFormat="1" applyFont="1" applyAlignment="1" applyProtection="1"/>
    <xf numFmtId="0" fontId="39" fillId="0" borderId="0" xfId="0" applyNumberFormat="1" applyFont="1" applyFill="1" applyAlignment="1" applyProtection="1">
      <alignment horizontal="left"/>
      <protection locked="0"/>
    </xf>
    <xf numFmtId="174" fontId="39" fillId="0" borderId="0" xfId="0" applyNumberFormat="1" applyFont="1" applyFill="1" applyProtection="1"/>
    <xf numFmtId="175" fontId="39" fillId="4" borderId="0" xfId="0" applyNumberFormat="1" applyFont="1" applyFill="1" applyProtection="1">
      <protection locked="0"/>
    </xf>
    <xf numFmtId="175" fontId="39" fillId="0" borderId="0" xfId="0" applyNumberFormat="1" applyFont="1" applyProtection="1">
      <protection locked="0"/>
    </xf>
    <xf numFmtId="175" fontId="39" fillId="0" borderId="0" xfId="0" applyNumberFormat="1" applyFont="1" applyProtection="1"/>
    <xf numFmtId="0" fontId="39" fillId="0" borderId="0" xfId="0" applyNumberFormat="1" applyFont="1" applyFill="1" applyAlignment="1" applyProtection="1">
      <alignment horizontal="center"/>
      <protection locked="0"/>
    </xf>
    <xf numFmtId="164" fontId="39" fillId="0" borderId="0" xfId="0" applyNumberFormat="1" applyFont="1" applyFill="1" applyAlignment="1" applyProtection="1">
      <protection locked="0"/>
    </xf>
    <xf numFmtId="0" fontId="39" fillId="0" borderId="0" xfId="0" applyNumberFormat="1" applyFont="1" applyFill="1" applyAlignment="1" applyProtection="1">
      <protection locked="0"/>
    </xf>
    <xf numFmtId="175" fontId="39" fillId="0" borderId="0" xfId="0" applyNumberFormat="1" applyFont="1" applyFill="1" applyProtection="1">
      <protection locked="0"/>
    </xf>
    <xf numFmtId="0" fontId="39" fillId="4" borderId="0" xfId="0" applyNumberFormat="1" applyFont="1" applyFill="1" applyProtection="1"/>
    <xf numFmtId="49" fontId="42" fillId="13" borderId="0" xfId="0" applyNumberFormat="1" applyFont="1" applyFill="1" applyProtection="1"/>
    <xf numFmtId="49" fontId="39" fillId="0" borderId="0" xfId="0" applyNumberFormat="1" applyFont="1" applyAlignment="1" applyProtection="1">
      <alignment horizontal="left"/>
      <protection locked="0"/>
    </xf>
    <xf numFmtId="49" fontId="39" fillId="0" borderId="0" xfId="0" applyNumberFormat="1" applyFont="1" applyAlignment="1" applyProtection="1">
      <alignment horizontal="center"/>
      <protection locked="0"/>
    </xf>
    <xf numFmtId="3" fontId="42" fillId="0" borderId="0" xfId="0" applyNumberFormat="1" applyFont="1" applyAlignment="1" applyProtection="1">
      <alignment horizontal="center"/>
      <protection locked="0"/>
    </xf>
    <xf numFmtId="0" fontId="42" fillId="0" borderId="0" xfId="0" applyNumberFormat="1" applyFont="1" applyAlignment="1" applyProtection="1">
      <alignment horizontal="center"/>
      <protection locked="0"/>
    </xf>
    <xf numFmtId="164" fontId="42" fillId="0" borderId="0" xfId="0" applyNumberFormat="1" applyFont="1" applyAlignment="1" applyProtection="1">
      <alignment horizontal="center"/>
      <protection locked="0"/>
    </xf>
    <xf numFmtId="3" fontId="42" fillId="0" borderId="0" xfId="0" applyNumberFormat="1" applyFont="1" applyAlignment="1" applyProtection="1">
      <protection locked="0"/>
    </xf>
    <xf numFmtId="0" fontId="42" fillId="0" borderId="0" xfId="0" applyNumberFormat="1" applyFont="1" applyAlignment="1" applyProtection="1">
      <protection locked="0"/>
    </xf>
    <xf numFmtId="3" fontId="39" fillId="0" borderId="0" xfId="0" applyNumberFormat="1" applyFont="1" applyFill="1" applyBorder="1" applyAlignment="1" applyProtection="1">
      <protection locked="0"/>
    </xf>
    <xf numFmtId="3" fontId="39" fillId="0" borderId="0" xfId="0" applyNumberFormat="1" applyFont="1" applyFill="1" applyBorder="1" applyAlignment="1" applyProtection="1">
      <alignment horizontal="center"/>
      <protection locked="0"/>
    </xf>
    <xf numFmtId="164" fontId="39" fillId="0" borderId="0" xfId="0" applyNumberFormat="1" applyFont="1" applyBorder="1" applyAlignment="1" applyProtection="1">
      <alignment horizontal="center"/>
      <protection locked="0"/>
    </xf>
    <xf numFmtId="0" fontId="39" fillId="0" borderId="0" xfId="28" applyNumberFormat="1" applyFont="1" applyFill="1" applyAlignment="1" applyProtection="1">
      <protection locked="0"/>
    </xf>
    <xf numFmtId="3" fontId="45" fillId="0" borderId="0" xfId="0" applyNumberFormat="1" applyFont="1" applyAlignment="1" applyProtection="1">
      <alignment horizontal="center"/>
      <protection locked="0"/>
    </xf>
    <xf numFmtId="176" fontId="39" fillId="0" borderId="0" xfId="0" applyNumberFormat="1" applyFont="1" applyAlignment="1" applyProtection="1">
      <protection locked="0"/>
    </xf>
    <xf numFmtId="3" fontId="39" fillId="0" borderId="0" xfId="0" applyNumberFormat="1" applyFont="1" applyBorder="1" applyAlignment="1" applyProtection="1">
      <protection locked="0"/>
    </xf>
    <xf numFmtId="176" fontId="39" fillId="0" borderId="0" xfId="0" applyNumberFormat="1" applyFont="1" applyAlignment="1" applyProtection="1"/>
    <xf numFmtId="3" fontId="39" fillId="4" borderId="17" xfId="0" applyNumberFormat="1" applyFont="1" applyFill="1" applyBorder="1" applyAlignment="1" applyProtection="1">
      <protection locked="0"/>
    </xf>
    <xf numFmtId="168" fontId="39" fillId="0" borderId="0" xfId="0" applyNumberFormat="1" applyFont="1" applyAlignment="1" applyProtection="1">
      <alignment horizontal="center"/>
    </xf>
    <xf numFmtId="168" fontId="39" fillId="0" borderId="0" xfId="0" applyNumberFormat="1" applyFont="1" applyAlignment="1" applyProtection="1">
      <alignment horizontal="center"/>
      <protection locked="0"/>
    </xf>
    <xf numFmtId="0" fontId="39" fillId="0" borderId="0" xfId="0" applyNumberFormat="1" applyFont="1" applyAlignment="1" applyProtection="1"/>
    <xf numFmtId="3" fontId="39" fillId="4" borderId="0" xfId="28" applyNumberFormat="1" applyFont="1" applyFill="1" applyAlignment="1" applyProtection="1">
      <protection locked="0"/>
    </xf>
    <xf numFmtId="3" fontId="39" fillId="0" borderId="0" xfId="28" applyNumberFormat="1" applyFont="1" applyFill="1" applyAlignment="1" applyProtection="1"/>
    <xf numFmtId="37" fontId="39" fillId="4" borderId="0" xfId="0" applyNumberFormat="1" applyFont="1" applyFill="1" applyAlignment="1" applyProtection="1">
      <protection locked="0"/>
    </xf>
    <xf numFmtId="3" fontId="39" fillId="0" borderId="0" xfId="0" applyNumberFormat="1" applyFont="1" applyFill="1" applyAlignment="1" applyProtection="1"/>
    <xf numFmtId="176" fontId="39" fillId="0" borderId="0" xfId="0" applyNumberFormat="1" applyFont="1" applyFill="1" applyAlignment="1" applyProtection="1">
      <alignment horizontal="right"/>
      <protection locked="0"/>
    </xf>
    <xf numFmtId="37" fontId="39" fillId="0" borderId="0" xfId="0" applyNumberFormat="1" applyFont="1" applyAlignment="1" applyProtection="1">
      <protection locked="0"/>
    </xf>
    <xf numFmtId="37" fontId="39" fillId="0" borderId="0" xfId="0" applyNumberFormat="1" applyFont="1" applyAlignment="1" applyProtection="1"/>
    <xf numFmtId="37" fontId="39" fillId="4" borderId="0" xfId="0" applyNumberFormat="1" applyFont="1" applyFill="1" applyBorder="1" applyAlignment="1" applyProtection="1">
      <protection locked="0"/>
    </xf>
    <xf numFmtId="37" fontId="39" fillId="0" borderId="0" xfId="0" applyNumberFormat="1" applyFont="1" applyBorder="1" applyAlignment="1" applyProtection="1"/>
    <xf numFmtId="37" fontId="39" fillId="0" borderId="0" xfId="0" applyNumberFormat="1" applyFont="1" applyBorder="1" applyAlignment="1" applyProtection="1">
      <protection locked="0"/>
    </xf>
    <xf numFmtId="37" fontId="39" fillId="4" borderId="1" xfId="0" applyNumberFormat="1" applyFont="1" applyFill="1" applyBorder="1" applyAlignment="1" applyProtection="1">
      <protection locked="0"/>
    </xf>
    <xf numFmtId="164" fontId="39" fillId="0" borderId="17" xfId="0" applyNumberFormat="1" applyFont="1" applyBorder="1" applyAlignment="1" applyProtection="1">
      <protection locked="0"/>
    </xf>
    <xf numFmtId="0" fontId="39" fillId="0" borderId="0" xfId="28" applyNumberFormat="1" applyFont="1" applyAlignment="1" applyProtection="1">
      <protection locked="0"/>
    </xf>
    <xf numFmtId="3" fontId="39" fillId="0" borderId="13" xfId="0" applyNumberFormat="1" applyFont="1" applyBorder="1" applyAlignment="1" applyProtection="1"/>
    <xf numFmtId="168" fontId="39" fillId="0" borderId="0" xfId="0" applyNumberFormat="1" applyFont="1" applyFill="1" applyAlignment="1" applyProtection="1">
      <alignment horizontal="center"/>
      <protection locked="0"/>
    </xf>
    <xf numFmtId="0" fontId="42" fillId="0" borderId="0" xfId="0" applyNumberFormat="1" applyFont="1" applyFill="1" applyAlignment="1" applyProtection="1">
      <alignment horizontal="center"/>
      <protection locked="0"/>
    </xf>
    <xf numFmtId="0" fontId="46" fillId="0" borderId="0" xfId="0" applyNumberFormat="1" applyFont="1" applyAlignment="1" applyProtection="1">
      <alignment horizontal="center"/>
      <protection locked="0"/>
    </xf>
    <xf numFmtId="3" fontId="46" fillId="0" borderId="0" xfId="0" applyNumberFormat="1" applyFont="1" applyAlignment="1" applyProtection="1">
      <protection locked="0"/>
    </xf>
    <xf numFmtId="3" fontId="47" fillId="0" borderId="0" xfId="0" applyNumberFormat="1" applyFont="1" applyAlignment="1" applyProtection="1">
      <protection locked="0"/>
    </xf>
    <xf numFmtId="177" fontId="39" fillId="0" borderId="0" xfId="0" applyNumberFormat="1" applyFont="1" applyFill="1" applyAlignment="1" applyProtection="1">
      <alignment horizontal="left"/>
    </xf>
    <xf numFmtId="176" fontId="39" fillId="0" borderId="0" xfId="0" applyNumberFormat="1" applyFont="1" applyFill="1" applyAlignment="1" applyProtection="1"/>
    <xf numFmtId="0" fontId="39" fillId="0" borderId="0" xfId="28" applyNumberFormat="1" applyFont="1" applyAlignment="1" applyProtection="1">
      <alignment horizontal="center"/>
      <protection locked="0"/>
    </xf>
    <xf numFmtId="164" fontId="39" fillId="0" borderId="0" xfId="28" applyFont="1" applyAlignment="1" applyProtection="1">
      <protection locked="0"/>
    </xf>
    <xf numFmtId="3" fontId="39" fillId="0" borderId="0" xfId="28" applyNumberFormat="1" applyFont="1" applyAlignment="1" applyProtection="1">
      <protection locked="0"/>
    </xf>
    <xf numFmtId="176" fontId="39" fillId="0" borderId="0" xfId="28" applyNumberFormat="1" applyFont="1" applyAlignment="1" applyProtection="1">
      <protection locked="0"/>
    </xf>
    <xf numFmtId="3" fontId="39" fillId="0" borderId="0" xfId="28" applyNumberFormat="1" applyFont="1" applyAlignment="1" applyProtection="1"/>
    <xf numFmtId="173" fontId="39" fillId="0" borderId="0" xfId="0" applyNumberFormat="1" applyFont="1" applyFill="1" applyAlignment="1" applyProtection="1">
      <alignment horizontal="right"/>
      <protection locked="0"/>
    </xf>
    <xf numFmtId="173" fontId="39" fillId="0" borderId="0" xfId="0" applyNumberFormat="1" applyFont="1" applyAlignment="1" applyProtection="1">
      <alignment horizontal="center"/>
      <protection locked="0"/>
    </xf>
    <xf numFmtId="168" fontId="39" fillId="0" borderId="0" xfId="0" applyNumberFormat="1" applyFont="1" applyAlignment="1" applyProtection="1">
      <alignment horizontal="left"/>
      <protection locked="0"/>
    </xf>
    <xf numFmtId="10" fontId="39" fillId="0" borderId="0" xfId="0" applyNumberFormat="1" applyFont="1" applyFill="1" applyAlignment="1" applyProtection="1">
      <alignment horizontal="right"/>
    </xf>
    <xf numFmtId="178" fontId="39" fillId="0" borderId="0" xfId="0" applyNumberFormat="1" applyFont="1" applyFill="1" applyAlignment="1" applyProtection="1">
      <alignment horizontal="right"/>
    </xf>
    <xf numFmtId="3" fontId="45" fillId="0" borderId="0" xfId="0" applyNumberFormat="1" applyFont="1" applyAlignment="1" applyProtection="1">
      <protection locked="0"/>
    </xf>
    <xf numFmtId="10" fontId="39" fillId="0" borderId="0" xfId="0" applyNumberFormat="1" applyFont="1" applyAlignment="1" applyProtection="1">
      <alignment horizontal="left"/>
      <protection locked="0"/>
    </xf>
    <xf numFmtId="37" fontId="39" fillId="0" borderId="17" xfId="0" applyNumberFormat="1" applyFont="1" applyBorder="1" applyAlignment="1" applyProtection="1"/>
    <xf numFmtId="3" fontId="39" fillId="0" borderId="0" xfId="0" applyNumberFormat="1" applyFont="1" applyFill="1" applyAlignment="1" applyProtection="1">
      <alignment horizontal="right"/>
    </xf>
    <xf numFmtId="179" fontId="39" fillId="0" borderId="0" xfId="0" applyNumberFormat="1" applyFont="1" applyAlignment="1" applyProtection="1">
      <protection locked="0"/>
    </xf>
    <xf numFmtId="3" fontId="39" fillId="0" borderId="0" xfId="0" applyNumberFormat="1" applyFont="1" applyBorder="1" applyAlignment="1" applyProtection="1"/>
    <xf numFmtId="3" fontId="39" fillId="13" borderId="0" xfId="0" applyNumberFormat="1" applyFont="1" applyFill="1" applyBorder="1" applyAlignment="1" applyProtection="1"/>
    <xf numFmtId="3" fontId="39" fillId="13" borderId="0" xfId="0" applyNumberFormat="1" applyFont="1" applyFill="1" applyAlignment="1" applyProtection="1">
      <protection locked="0"/>
    </xf>
    <xf numFmtId="3" fontId="39" fillId="0" borderId="18" xfId="0" applyNumberFormat="1" applyFont="1" applyBorder="1" applyAlignment="1" applyProtection="1"/>
    <xf numFmtId="3" fontId="39" fillId="0" borderId="0" xfId="0" applyNumberFormat="1" applyFont="1" applyFill="1" applyAlignment="1" applyProtection="1">
      <alignment horizontal="right"/>
      <protection locked="0"/>
    </xf>
    <xf numFmtId="0" fontId="39" fillId="0" borderId="17" xfId="0" applyNumberFormat="1" applyFont="1" applyFill="1" applyBorder="1" applyProtection="1">
      <protection locked="0"/>
    </xf>
    <xf numFmtId="3" fontId="39" fillId="0" borderId="17" xfId="0" applyNumberFormat="1" applyFont="1" applyFill="1" applyBorder="1" applyAlignment="1" applyProtection="1">
      <protection locked="0"/>
    </xf>
    <xf numFmtId="3" fontId="39" fillId="0" borderId="0" xfId="0" applyNumberFormat="1" applyFont="1" applyFill="1" applyAlignment="1" applyProtection="1">
      <alignment horizontal="center"/>
      <protection locked="0"/>
    </xf>
    <xf numFmtId="164" fontId="39" fillId="0" borderId="0" xfId="0" applyNumberFormat="1" applyFont="1" applyFill="1" applyBorder="1" applyAlignment="1" applyProtection="1">
      <protection locked="0"/>
    </xf>
    <xf numFmtId="49" fontId="39" fillId="0" borderId="0" xfId="0" applyNumberFormat="1" applyFont="1" applyFill="1" applyProtection="1">
      <protection locked="0"/>
    </xf>
    <xf numFmtId="49" fontId="39" fillId="0" borderId="0" xfId="0" applyNumberFormat="1" applyFont="1" applyFill="1" applyAlignment="1" applyProtection="1">
      <protection locked="0"/>
    </xf>
    <xf numFmtId="49" fontId="39" fillId="0" borderId="0" xfId="0" applyNumberFormat="1" applyFont="1" applyFill="1" applyAlignment="1" applyProtection="1">
      <alignment horizontal="center"/>
      <protection locked="0"/>
    </xf>
    <xf numFmtId="176" fontId="39" fillId="0" borderId="0" xfId="0" applyNumberFormat="1" applyFont="1" applyFill="1" applyAlignment="1" applyProtection="1">
      <alignment horizontal="right"/>
    </xf>
    <xf numFmtId="164" fontId="48" fillId="0" borderId="0" xfId="0" applyNumberFormat="1" applyFont="1" applyFill="1" applyBorder="1" applyAlignment="1" applyProtection="1">
      <protection locked="0"/>
    </xf>
    <xf numFmtId="0" fontId="25" fillId="0" borderId="0" xfId="0" applyNumberFormat="1" applyFont="1" applyFill="1" applyBorder="1" applyAlignment="1" applyProtection="1">
      <protection locked="0"/>
    </xf>
    <xf numFmtId="164" fontId="25" fillId="0" borderId="0" xfId="0" applyNumberFormat="1" applyFont="1" applyFill="1" applyBorder="1" applyAlignment="1" applyProtection="1">
      <protection locked="0"/>
    </xf>
    <xf numFmtId="3" fontId="25" fillId="0" borderId="0" xfId="0" applyNumberFormat="1" applyFont="1" applyFill="1" applyBorder="1" applyAlignment="1" applyProtection="1">
      <protection locked="0"/>
    </xf>
    <xf numFmtId="164" fontId="0" fillId="0" borderId="0" xfId="0" applyNumberForma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3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172" fontId="0" fillId="0" borderId="0" xfId="21" applyNumberFormat="1" applyFont="1" applyFill="1" applyBorder="1" applyAlignment="1" applyProtection="1">
      <protection locked="0"/>
    </xf>
    <xf numFmtId="3" fontId="43" fillId="0" borderId="0" xfId="0" applyNumberFormat="1" applyFont="1" applyFill="1" applyBorder="1" applyAlignment="1" applyProtection="1">
      <protection locked="0"/>
    </xf>
    <xf numFmtId="180" fontId="0" fillId="0" borderId="0" xfId="27" applyNumberFormat="1" applyFont="1" applyFill="1" applyBorder="1" applyAlignment="1" applyProtection="1">
      <protection locked="0"/>
    </xf>
    <xf numFmtId="164" fontId="43" fillId="0" borderId="0" xfId="0" applyNumberFormat="1" applyFont="1" applyFill="1" applyBorder="1" applyAlignment="1" applyProtection="1">
      <protection locked="0"/>
    </xf>
    <xf numFmtId="164" fontId="49" fillId="0" borderId="0" xfId="0" applyNumberFormat="1" applyFont="1" applyFill="1" applyBorder="1" applyAlignment="1" applyProtection="1">
      <protection locked="0"/>
    </xf>
    <xf numFmtId="164" fontId="50" fillId="0" borderId="0" xfId="0" applyNumberFormat="1" applyFont="1" applyFill="1" applyBorder="1" applyProtection="1">
      <protection locked="0"/>
    </xf>
    <xf numFmtId="164" fontId="43" fillId="0" borderId="0" xfId="0" applyNumberFormat="1" applyFont="1" applyFill="1" applyBorder="1" applyProtection="1">
      <protection locked="0"/>
    </xf>
    <xf numFmtId="176" fontId="39" fillId="0" borderId="0" xfId="0" applyNumberFormat="1" applyFont="1" applyFill="1" applyProtection="1"/>
    <xf numFmtId="173" fontId="39" fillId="0" borderId="0" xfId="0" applyNumberFormat="1" applyFont="1" applyFill="1" applyProtection="1"/>
    <xf numFmtId="3" fontId="39" fillId="0" borderId="0" xfId="0" applyNumberFormat="1" applyFont="1" applyAlignment="1" applyProtection="1">
      <alignment horizontal="center"/>
      <protection locked="0"/>
    </xf>
    <xf numFmtId="164" fontId="43" fillId="0" borderId="0" xfId="0" applyNumberFormat="1" applyFont="1" applyFill="1" applyBorder="1" applyAlignment="1" applyProtection="1">
      <alignment horizontal="left" wrapText="1"/>
      <protection locked="0"/>
    </xf>
    <xf numFmtId="3" fontId="39" fillId="0" borderId="17" xfId="0" applyNumberFormat="1" applyFont="1" applyBorder="1" applyAlignment="1" applyProtection="1">
      <protection locked="0"/>
    </xf>
    <xf numFmtId="3" fontId="39" fillId="0" borderId="17" xfId="0" applyNumberFormat="1" applyFont="1" applyBorder="1" applyAlignment="1" applyProtection="1">
      <alignment horizontal="center"/>
      <protection locked="0"/>
    </xf>
    <xf numFmtId="4" fontId="39" fillId="0" borderId="0" xfId="0" applyNumberFormat="1" applyFont="1" applyAlignment="1" applyProtection="1">
      <protection locked="0"/>
    </xf>
    <xf numFmtId="4" fontId="39" fillId="0" borderId="0" xfId="0" applyNumberFormat="1" applyFont="1" applyAlignment="1" applyProtection="1"/>
    <xf numFmtId="3" fontId="39" fillId="0" borderId="0" xfId="0" applyNumberFormat="1" applyFont="1" applyBorder="1" applyAlignment="1" applyProtection="1">
      <alignment horizontal="center"/>
      <protection locked="0"/>
    </xf>
    <xf numFmtId="173" fontId="39" fillId="0" borderId="0" xfId="0" applyNumberFormat="1" applyFont="1" applyFill="1" applyAlignment="1" applyProtection="1"/>
    <xf numFmtId="0" fontId="39" fillId="0" borderId="17" xfId="0" applyNumberFormat="1" applyFont="1" applyBorder="1" applyAlignment="1" applyProtection="1">
      <protection locked="0"/>
    </xf>
    <xf numFmtId="0" fontId="25" fillId="0" borderId="0" xfId="0" applyNumberFormat="1" applyFont="1" applyAlignment="1" applyProtection="1">
      <protection locked="0"/>
    </xf>
    <xf numFmtId="3" fontId="25" fillId="0" borderId="0" xfId="0" applyNumberFormat="1" applyFont="1" applyAlignment="1" applyProtection="1">
      <protection locked="0"/>
    </xf>
    <xf numFmtId="169" fontId="39" fillId="4" borderId="0" xfId="0" applyNumberFormat="1" applyFont="1" applyFill="1" applyAlignment="1" applyProtection="1">
      <protection locked="0"/>
    </xf>
    <xf numFmtId="42" fontId="39" fillId="4" borderId="0" xfId="0" applyNumberFormat="1" applyFont="1" applyFill="1" applyAlignment="1" applyProtection="1">
      <protection locked="0"/>
    </xf>
    <xf numFmtId="9" fontId="39" fillId="0" borderId="0" xfId="0" applyNumberFormat="1" applyFont="1" applyAlignment="1" applyProtection="1"/>
    <xf numFmtId="178" fontId="39" fillId="0" borderId="0" xfId="0" applyNumberFormat="1" applyFont="1" applyAlignment="1" applyProtection="1">
      <protection locked="0"/>
    </xf>
    <xf numFmtId="178" fontId="39" fillId="0" borderId="0" xfId="0" applyNumberFormat="1" applyFont="1" applyAlignment="1" applyProtection="1"/>
    <xf numFmtId="3" fontId="39" fillId="0" borderId="0" xfId="0" quotePrefix="1" applyNumberFormat="1" applyFont="1" applyAlignment="1" applyProtection="1">
      <protection locked="0"/>
    </xf>
    <xf numFmtId="0" fontId="39" fillId="0" borderId="4" xfId="0" applyFont="1" applyBorder="1" applyAlignment="1" applyProtection="1">
      <protection locked="0"/>
    </xf>
    <xf numFmtId="0" fontId="39" fillId="0" borderId="3" xfId="0" applyFont="1" applyBorder="1" applyAlignment="1" applyProtection="1">
      <protection locked="0"/>
    </xf>
    <xf numFmtId="0" fontId="39" fillId="0" borderId="5" xfId="0" applyFont="1" applyBorder="1" applyAlignment="1" applyProtection="1">
      <protection locked="0"/>
    </xf>
    <xf numFmtId="0" fontId="39" fillId="0" borderId="6" xfId="0" applyFont="1" applyBorder="1" applyAlignment="1" applyProtection="1">
      <protection locked="0"/>
    </xf>
    <xf numFmtId="0" fontId="39" fillId="0" borderId="0" xfId="0" applyFont="1" applyBorder="1" applyAlignment="1" applyProtection="1">
      <protection locked="0"/>
    </xf>
    <xf numFmtId="0" fontId="39" fillId="0" borderId="7" xfId="0" applyFont="1" applyBorder="1" applyAlignment="1" applyProtection="1">
      <protection locked="0"/>
    </xf>
    <xf numFmtId="178" fontId="39" fillId="4" borderId="0" xfId="0" applyNumberFormat="1" applyFont="1" applyFill="1" applyAlignment="1" applyProtection="1"/>
    <xf numFmtId="178" fontId="39" fillId="0" borderId="17" xfId="0" applyNumberFormat="1" applyFont="1" applyBorder="1" applyAlignment="1" applyProtection="1"/>
    <xf numFmtId="10" fontId="41" fillId="10" borderId="7" xfId="22" applyNumberFormat="1" applyFont="1" applyFill="1" applyBorder="1" applyAlignment="1" applyProtection="1">
      <protection locked="0"/>
    </xf>
    <xf numFmtId="0" fontId="39" fillId="0" borderId="8" xfId="0" applyFont="1" applyBorder="1" applyAlignment="1" applyProtection="1">
      <protection locked="0"/>
    </xf>
    <xf numFmtId="0" fontId="39" fillId="0" borderId="1" xfId="0" applyFont="1" applyBorder="1" applyAlignment="1" applyProtection="1">
      <protection locked="0"/>
    </xf>
    <xf numFmtId="0" fontId="39" fillId="0" borderId="11" xfId="0" applyFont="1" applyBorder="1" applyAlignment="1" applyProtection="1">
      <protection locked="0"/>
    </xf>
    <xf numFmtId="0" fontId="39" fillId="0" borderId="0" xfId="0" applyNumberFormat="1" applyFont="1" applyBorder="1" applyAlignment="1" applyProtection="1">
      <alignment horizontal="center"/>
      <protection locked="0"/>
    </xf>
    <xf numFmtId="0" fontId="51" fillId="0" borderId="0" xfId="0" applyNumberFormat="1" applyFont="1" applyProtection="1">
      <protection locked="0"/>
    </xf>
    <xf numFmtId="164" fontId="51" fillId="0" borderId="0" xfId="0" applyNumberFormat="1" applyFont="1" applyAlignment="1" applyProtection="1">
      <protection locked="0"/>
    </xf>
    <xf numFmtId="38" fontId="39" fillId="4" borderId="0" xfId="0" applyNumberFormat="1" applyFont="1" applyFill="1" applyBorder="1" applyProtection="1">
      <protection locked="0"/>
    </xf>
    <xf numFmtId="38" fontId="39" fillId="0" borderId="0" xfId="0" applyNumberFormat="1" applyFont="1" applyAlignment="1" applyProtection="1">
      <protection locked="0"/>
    </xf>
    <xf numFmtId="0" fontId="39" fillId="0" borderId="17" xfId="0" applyNumberFormat="1" applyFont="1" applyBorder="1" applyProtection="1">
      <protection locked="0"/>
    </xf>
    <xf numFmtId="38" fontId="39" fillId="4" borderId="17" xfId="0" applyNumberFormat="1" applyFont="1" applyFill="1" applyBorder="1" applyProtection="1">
      <protection locked="0"/>
    </xf>
    <xf numFmtId="38" fontId="39" fillId="0" borderId="0" xfId="0" applyNumberFormat="1" applyFont="1" applyFill="1" applyBorder="1" applyProtection="1"/>
    <xf numFmtId="169" fontId="39" fillId="0" borderId="0" xfId="0" applyNumberFormat="1" applyFont="1" applyFill="1" applyBorder="1" applyProtection="1">
      <protection locked="0"/>
    </xf>
    <xf numFmtId="1" fontId="39" fillId="0" borderId="0" xfId="0" applyNumberFormat="1" applyFont="1" applyFill="1" applyProtection="1">
      <protection locked="0"/>
    </xf>
    <xf numFmtId="169" fontId="39" fillId="4" borderId="0" xfId="0" applyNumberFormat="1" applyFont="1" applyFill="1" applyBorder="1" applyProtection="1">
      <protection locked="0"/>
    </xf>
    <xf numFmtId="1" fontId="39" fillId="0" borderId="0" xfId="0" applyNumberFormat="1" applyFont="1" applyFill="1" applyBorder="1" applyProtection="1">
      <protection locked="0"/>
    </xf>
    <xf numFmtId="3" fontId="52" fillId="0" borderId="0" xfId="0" applyNumberFormat="1" applyFont="1" applyBorder="1" applyAlignment="1" applyProtection="1">
      <alignment horizontal="left"/>
      <protection locked="0"/>
    </xf>
    <xf numFmtId="169" fontId="39" fillId="4" borderId="0" xfId="0" applyNumberFormat="1" applyFont="1" applyFill="1" applyBorder="1" applyAlignment="1" applyProtection="1">
      <protection locked="0"/>
    </xf>
    <xf numFmtId="0" fontId="39" fillId="0" borderId="0" xfId="0" applyNumberFormat="1" applyFont="1" applyBorder="1" applyAlignment="1" applyProtection="1">
      <protection locked="0"/>
    </xf>
    <xf numFmtId="169" fontId="39" fillId="4" borderId="17" xfId="0" applyNumberFormat="1" applyFont="1" applyFill="1" applyBorder="1" applyAlignment="1" applyProtection="1">
      <protection locked="0"/>
    </xf>
    <xf numFmtId="164" fontId="39" fillId="0" borderId="0" xfId="28" applyNumberFormat="1" applyFont="1" applyAlignment="1" applyProtection="1">
      <protection locked="0"/>
    </xf>
    <xf numFmtId="169" fontId="39" fillId="0" borderId="0" xfId="0" applyNumberFormat="1" applyFont="1" applyFill="1" applyBorder="1" applyAlignment="1" applyProtection="1"/>
    <xf numFmtId="169" fontId="39" fillId="0" borderId="0" xfId="0" applyNumberFormat="1" applyFont="1" applyFill="1" applyBorder="1" applyAlignment="1" applyProtection="1">
      <protection locked="0"/>
    </xf>
    <xf numFmtId="169" fontId="39" fillId="0" borderId="0" xfId="0" applyNumberFormat="1" applyFont="1" applyProtection="1">
      <protection locked="0"/>
    </xf>
    <xf numFmtId="10" fontId="39" fillId="4" borderId="0" xfId="0" applyNumberFormat="1" applyFont="1" applyFill="1" applyProtection="1">
      <protection locked="0"/>
    </xf>
    <xf numFmtId="0" fontId="52" fillId="0" borderId="0" xfId="0" applyNumberFormat="1" applyFont="1" applyFill="1" applyAlignment="1" applyProtection="1">
      <alignment horizontal="left"/>
      <protection locked="0"/>
    </xf>
    <xf numFmtId="0" fontId="53" fillId="0" borderId="0" xfId="0" applyNumberFormat="1" applyFont="1" applyFill="1" applyProtection="1">
      <protection locked="0"/>
    </xf>
    <xf numFmtId="10" fontId="39" fillId="0" borderId="0" xfId="0" applyNumberFormat="1" applyFont="1" applyFill="1" applyProtection="1">
      <protection locked="0"/>
    </xf>
    <xf numFmtId="164" fontId="39" fillId="0" borderId="0" xfId="0" applyNumberFormat="1" applyFont="1" applyFill="1" applyAlignment="1" applyProtection="1">
      <alignment horizontal="center"/>
      <protection locked="0"/>
    </xf>
    <xf numFmtId="0" fontId="39" fillId="0" borderId="0" xfId="28" applyNumberFormat="1" applyFont="1" applyProtection="1">
      <protection locked="0"/>
    </xf>
    <xf numFmtId="164" fontId="39" fillId="0" borderId="0" xfId="28" applyFont="1" applyFill="1" applyAlignment="1" applyProtection="1">
      <alignment horizontal="center"/>
      <protection locked="0"/>
    </xf>
    <xf numFmtId="164" fontId="39" fillId="0" borderId="0" xfId="28" applyFont="1" applyFill="1" applyAlignment="1" applyProtection="1">
      <alignment horizontal="center" vertical="top" wrapText="1"/>
      <protection locked="0"/>
    </xf>
    <xf numFmtId="164" fontId="39" fillId="0" borderId="0" xfId="28" applyFont="1" applyAlignment="1" applyProtection="1">
      <alignment horizontal="center"/>
      <protection locked="0"/>
    </xf>
    <xf numFmtId="0" fontId="39" fillId="0" borderId="0" xfId="28" applyNumberFormat="1" applyFont="1" applyFill="1" applyAlignment="1" applyProtection="1">
      <alignment horizontal="left" indent="2"/>
      <protection locked="0"/>
    </xf>
    <xf numFmtId="37" fontId="41" fillId="13" borderId="0" xfId="28" applyNumberFormat="1" applyFont="1" applyFill="1" applyAlignment="1" applyProtection="1">
      <protection locked="0"/>
    </xf>
    <xf numFmtId="37" fontId="41" fillId="13" borderId="1" xfId="28" applyNumberFormat="1" applyFont="1" applyFill="1" applyBorder="1" applyAlignment="1" applyProtection="1">
      <protection locked="0"/>
    </xf>
    <xf numFmtId="164" fontId="39" fillId="0" borderId="0" xfId="28" applyFont="1" applyFill="1" applyAlignment="1" applyProtection="1">
      <alignment horizontal="left" indent="2"/>
      <protection locked="0"/>
    </xf>
    <xf numFmtId="37" fontId="39" fillId="0" borderId="0" xfId="28" applyNumberFormat="1" applyFont="1" applyFill="1" applyAlignment="1" applyProtection="1"/>
    <xf numFmtId="181" fontId="41" fillId="13" borderId="1" xfId="28" applyNumberFormat="1" applyFont="1" applyFill="1" applyBorder="1" applyAlignment="1" applyProtection="1">
      <protection locked="0"/>
    </xf>
    <xf numFmtId="38" fontId="1" fillId="0" borderId="0" xfId="0" applyNumberFormat="1" applyFont="1" applyAlignment="1">
      <alignment horizontal="centerContinuous"/>
    </xf>
    <xf numFmtId="6" fontId="1" fillId="0" borderId="13" xfId="0" applyNumberFormat="1" applyFont="1" applyBorder="1"/>
    <xf numFmtId="42" fontId="1" fillId="0" borderId="0" xfId="0" applyNumberFormat="1" applyFont="1" applyFill="1"/>
    <xf numFmtId="38" fontId="1" fillId="0" borderId="0" xfId="0" applyNumberFormat="1" applyFont="1" applyFill="1"/>
    <xf numFmtId="38" fontId="1" fillId="0" borderId="3" xfId="0" applyNumberFormat="1" applyFont="1" applyFill="1" applyBorder="1"/>
    <xf numFmtId="182" fontId="1" fillId="0" borderId="0" xfId="0" applyNumberFormat="1" applyFont="1" applyFill="1"/>
    <xf numFmtId="171" fontId="1" fillId="0" borderId="0" xfId="0" applyNumberFormat="1" applyFont="1" applyFill="1"/>
    <xf numFmtId="0" fontId="1" fillId="0" borderId="0" xfId="0" applyFont="1" applyFill="1"/>
    <xf numFmtId="0" fontId="54" fillId="0" borderId="0" xfId="0" applyFont="1" applyAlignment="1">
      <alignment horizontal="centerContinuous"/>
    </xf>
    <xf numFmtId="0" fontId="54" fillId="0" borderId="0" xfId="0" applyFont="1"/>
    <xf numFmtId="0" fontId="39" fillId="0" borderId="0" xfId="28" applyNumberFormat="1" applyFont="1" applyFill="1" applyAlignment="1" applyProtection="1">
      <alignment horizontal="left" wrapText="1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9" fillId="0" borderId="0" xfId="28" applyNumberFormat="1" applyFont="1" applyFill="1" applyAlignment="1" applyProtection="1">
      <alignment vertical="top" wrapText="1"/>
      <protection locked="0"/>
    </xf>
    <xf numFmtId="0" fontId="24" fillId="0" borderId="3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29">
    <cellStyle name="Comma" xfId="27" builtinId="3"/>
    <cellStyle name="Comma 2" xfId="1"/>
    <cellStyle name="Comma 2 2" xfId="11"/>
    <cellStyle name="Comma 3" xfId="2"/>
    <cellStyle name="Comma 3 14" xfId="25"/>
    <cellStyle name="Comma 4" xfId="12"/>
    <cellStyle name="Comma 5" xfId="13"/>
    <cellStyle name="Currency" xfId="21" builtinId="4"/>
    <cellStyle name="Currency 10" xfId="23"/>
    <cellStyle name="Currency 2" xfId="3"/>
    <cellStyle name="Currency 3" xfId="4"/>
    <cellStyle name="Currency 4" xfId="14"/>
    <cellStyle name="Currency 5" xfId="15"/>
    <cellStyle name="Normal" xfId="0" builtinId="0"/>
    <cellStyle name="Normal 2" xfId="5"/>
    <cellStyle name="Normal 2 2" xfId="16"/>
    <cellStyle name="Normal 2 3" xfId="17"/>
    <cellStyle name="Normal 29" xfId="26"/>
    <cellStyle name="Normal 3" xfId="6"/>
    <cellStyle name="Normal 3 2" xfId="18"/>
    <cellStyle name="Normal 4" xfId="7"/>
    <cellStyle name="Normal 4 15 2 3" xfId="24"/>
    <cellStyle name="Normal 4 2" xfId="8"/>
    <cellStyle name="Normal 5" xfId="9"/>
    <cellStyle name="Normal 5 2" xfId="20"/>
    <cellStyle name="Normal 6" xfId="19"/>
    <cellStyle name="Normal_Attachment O &amp; GG Final 11_11_09" xfId="28"/>
    <cellStyle name="Percent" xfId="22" builtinId="5"/>
    <cellStyle name="Percent 2" xfId="1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1323976</xdr:colOff>
      <xdr:row>6</xdr:row>
      <xdr:rowOff>152399</xdr:rowOff>
    </xdr:from>
    <xdr:to>
      <xdr:col>2</xdr:col>
      <xdr:colOff>133351</xdr:colOff>
      <xdr:row>13</xdr:row>
      <xdr:rowOff>38099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587E89C6-9410-4E9D-9090-DB3D106E954F}"/>
            </a:ext>
          </a:extLst>
        </xdr:cNvPr>
        <xdr:cNvSpPr/>
      </xdr:nvSpPr>
      <xdr:spPr>
        <a:xfrm>
          <a:off x="2924176" y="1123949"/>
          <a:ext cx="190500" cy="10191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ROE%20Complaint/ROE%20Issue/Revised%20Attachments%20reflecting%201st%20FERC%20Order%20on%20ROE/Projected/MDU%20Refund%20Summary%20Template%20-%20EL14-12%20(2.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2013 TU"/>
      <sheetName val="2014 TU "/>
      <sheetName val="2015 TU "/>
      <sheetName val="Rev Req Calcs Inputs"/>
      <sheetName val="2013 &amp; 2015 Weightings"/>
      <sheetName val="Refunds on Projected Rates"/>
      <sheetName val="2013 GG TU 12.38"/>
      <sheetName val="2013 GG TU 10.32"/>
      <sheetName val="2013 GG Weight"/>
      <sheetName val="2013 MM TU 12.38"/>
      <sheetName val="2013 MM TU 10.32"/>
      <sheetName val="2013 MM Weight"/>
      <sheetName val="2014 GG TU 10.32"/>
      <sheetName val="2014 MM TU 10.32"/>
      <sheetName val="2015 GG TU 12.38"/>
      <sheetName val="2015 GG TU 10.32"/>
      <sheetName val="2015 GG TU 10.82"/>
      <sheetName val="2015 GG Weight"/>
      <sheetName val="2015 MM TU 12.38"/>
      <sheetName val="2015 MM TU 10.32"/>
      <sheetName val="2015 MM TU 10.82"/>
      <sheetName val="2015 MM We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0">
          <cell r="H40">
            <v>1553836</v>
          </cell>
        </row>
        <row r="42">
          <cell r="L42">
            <v>159849</v>
          </cell>
        </row>
      </sheetData>
      <sheetData sheetId="15">
        <row r="40">
          <cell r="H40">
            <v>410230</v>
          </cell>
        </row>
        <row r="42">
          <cell r="L42">
            <v>-264254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"/>
  <sheetViews>
    <sheetView showGridLines="0" tabSelected="1" workbookViewId="0"/>
  </sheetViews>
  <sheetFormatPr defaultRowHeight="12.75"/>
  <cols>
    <col min="1" max="16384" width="9.140625" style="2"/>
  </cols>
  <sheetData>
    <row r="4" spans="1:9" ht="15.75">
      <c r="A4" s="1"/>
    </row>
    <row r="5" spans="1:9" ht="15.75">
      <c r="A5" s="3" t="s">
        <v>0</v>
      </c>
      <c r="B5" s="4"/>
      <c r="C5" s="4"/>
      <c r="D5" s="4"/>
      <c r="E5" s="4"/>
      <c r="F5" s="4"/>
      <c r="G5" s="4"/>
      <c r="H5" s="4"/>
      <c r="I5" s="4"/>
    </row>
    <row r="6" spans="1:9" ht="15.75">
      <c r="A6" s="3" t="s">
        <v>1</v>
      </c>
      <c r="B6" s="4"/>
      <c r="C6" s="4"/>
      <c r="D6" s="4"/>
      <c r="E6" s="4"/>
      <c r="F6" s="4"/>
      <c r="G6" s="4"/>
      <c r="H6" s="4"/>
      <c r="I6" s="4"/>
    </row>
    <row r="7" spans="1:9" ht="15.75">
      <c r="A7" s="3" t="s">
        <v>372</v>
      </c>
      <c r="B7" s="4"/>
      <c r="C7" s="4"/>
      <c r="D7" s="4"/>
      <c r="E7" s="4"/>
      <c r="F7" s="4"/>
      <c r="G7" s="4"/>
      <c r="H7" s="4"/>
      <c r="I7" s="4"/>
    </row>
    <row r="8" spans="1:9" ht="15.75">
      <c r="A8" s="3" t="s">
        <v>916</v>
      </c>
      <c r="B8" s="4"/>
      <c r="C8" s="4"/>
      <c r="D8" s="4"/>
      <c r="E8" s="4"/>
      <c r="F8" s="4"/>
      <c r="G8" s="4"/>
      <c r="H8" s="4"/>
      <c r="I8" s="4"/>
    </row>
  </sheetData>
  <printOptions horizontalCentered="1"/>
  <pageMargins left="0.17" right="0.17" top="1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workbookViewId="0"/>
  </sheetViews>
  <sheetFormatPr defaultRowHeight="12.75"/>
  <cols>
    <col min="1" max="1" width="15.7109375" style="21" customWidth="1"/>
    <col min="2" max="2" width="2.7109375" style="8" customWidth="1"/>
    <col min="3" max="3" width="14.42578125" style="8" bestFit="1" customWidth="1"/>
    <col min="4" max="4" width="2.7109375" style="18" customWidth="1"/>
    <col min="5" max="5" width="13.42578125" style="8" bestFit="1" customWidth="1"/>
    <col min="6" max="6" width="2.7109375" style="18" customWidth="1"/>
    <col min="7" max="7" width="12.7109375" style="8" customWidth="1"/>
    <col min="8" max="16384" width="9.140625" style="8"/>
  </cols>
  <sheetData>
    <row r="1" spans="1:7">
      <c r="A1" s="5" t="s">
        <v>0</v>
      </c>
      <c r="B1" s="6"/>
      <c r="C1" s="6"/>
      <c r="D1" s="7"/>
      <c r="E1" s="6"/>
      <c r="F1" s="7"/>
      <c r="G1" s="6"/>
    </row>
    <row r="2" spans="1:7">
      <c r="A2" s="5" t="str">
        <f>'Reconcile FF1 to Juris-Plt'!A2</f>
        <v>MISO Attachment O Annual True-up</v>
      </c>
      <c r="B2" s="6"/>
      <c r="C2" s="6"/>
      <c r="D2" s="7"/>
      <c r="E2" s="6"/>
      <c r="F2" s="7"/>
      <c r="G2" s="6"/>
    </row>
    <row r="3" spans="1:7">
      <c r="A3" s="5" t="s">
        <v>80</v>
      </c>
      <c r="B3" s="6"/>
      <c r="C3" s="6"/>
      <c r="D3" s="7"/>
      <c r="E3" s="6"/>
      <c r="F3" s="7"/>
      <c r="G3" s="6"/>
    </row>
    <row r="4" spans="1:7">
      <c r="A4" s="5" t="str">
        <f>'Plant in Service'!A4</f>
        <v>Thirteen Months Ended December 31, 2016</v>
      </c>
      <c r="B4" s="6"/>
      <c r="C4" s="6"/>
      <c r="D4" s="7"/>
      <c r="E4" s="6"/>
      <c r="F4" s="7"/>
      <c r="G4" s="6"/>
    </row>
    <row r="7" spans="1:7">
      <c r="A7" s="60" t="s">
        <v>10</v>
      </c>
      <c r="D7" s="8"/>
      <c r="E7" s="10" t="s">
        <v>24</v>
      </c>
      <c r="G7" s="10" t="s">
        <v>10</v>
      </c>
    </row>
    <row r="8" spans="1:7">
      <c r="A8" s="57" t="s">
        <v>78</v>
      </c>
      <c r="C8" s="12" t="s">
        <v>24</v>
      </c>
      <c r="D8" s="8"/>
      <c r="E8" s="12" t="s">
        <v>9</v>
      </c>
      <c r="G8" s="12" t="s">
        <v>24</v>
      </c>
    </row>
    <row r="9" spans="1:7">
      <c r="A9" s="13" t="str">
        <f>'Plant in Service'!A9</f>
        <v>December 2015</v>
      </c>
      <c r="C9" s="354">
        <v>30186572.949999999</v>
      </c>
      <c r="D9" s="48"/>
      <c r="E9" s="354">
        <v>3648521.91</v>
      </c>
      <c r="F9" s="49"/>
      <c r="G9" s="48">
        <f>ROUND(E9+C9,0)</f>
        <v>33835095</v>
      </c>
    </row>
    <row r="10" spans="1:7">
      <c r="A10" s="13" t="str">
        <f>'Plant in Service'!A10</f>
        <v>January 2016</v>
      </c>
      <c r="C10" s="305">
        <v>30156000.210000005</v>
      </c>
      <c r="D10" s="305"/>
      <c r="E10" s="305">
        <v>3664999.09</v>
      </c>
      <c r="F10" s="51"/>
      <c r="G10" s="50">
        <f>ROUND(E10+C10,0)</f>
        <v>33820999</v>
      </c>
    </row>
    <row r="11" spans="1:7">
      <c r="A11" s="13" t="s">
        <v>11</v>
      </c>
      <c r="C11" s="305">
        <v>30159407.359999999</v>
      </c>
      <c r="D11" s="305"/>
      <c r="E11" s="305">
        <v>3664999.1100000003</v>
      </c>
      <c r="F11" s="51"/>
      <c r="G11" s="50">
        <f t="shared" ref="G11:G21" si="0">ROUND(E11+C11,0)</f>
        <v>33824406</v>
      </c>
    </row>
    <row r="12" spans="1:7">
      <c r="A12" s="13" t="s">
        <v>12</v>
      </c>
      <c r="C12" s="305">
        <v>29905360.439999998</v>
      </c>
      <c r="D12" s="305"/>
      <c r="E12" s="305">
        <v>3678650.4199999995</v>
      </c>
      <c r="F12" s="51"/>
      <c r="G12" s="50">
        <f t="shared" si="0"/>
        <v>33584011</v>
      </c>
    </row>
    <row r="13" spans="1:7">
      <c r="A13" s="13" t="s">
        <v>13</v>
      </c>
      <c r="C13" s="305">
        <v>30289135.830000006</v>
      </c>
      <c r="D13" s="305"/>
      <c r="E13" s="305">
        <v>3678642.8900000006</v>
      </c>
      <c r="F13" s="51"/>
      <c r="G13" s="50">
        <f t="shared" si="0"/>
        <v>33967779</v>
      </c>
    </row>
    <row r="14" spans="1:7">
      <c r="A14" s="13" t="s">
        <v>14</v>
      </c>
      <c r="C14" s="305">
        <v>29532071.02</v>
      </c>
      <c r="D14" s="305"/>
      <c r="E14" s="305">
        <v>3678642.91</v>
      </c>
      <c r="F14" s="51"/>
      <c r="G14" s="50">
        <f t="shared" si="0"/>
        <v>33210714</v>
      </c>
    </row>
    <row r="15" spans="1:7">
      <c r="A15" s="13" t="s">
        <v>15</v>
      </c>
      <c r="C15" s="305">
        <v>29570270.790000003</v>
      </c>
      <c r="D15" s="305"/>
      <c r="E15" s="305">
        <v>3734849.62</v>
      </c>
      <c r="F15" s="51"/>
      <c r="G15" s="50">
        <f t="shared" si="0"/>
        <v>33305120</v>
      </c>
    </row>
    <row r="16" spans="1:7">
      <c r="A16" s="13" t="s">
        <v>16</v>
      </c>
      <c r="C16" s="305">
        <v>27575393.760000005</v>
      </c>
      <c r="D16" s="305"/>
      <c r="E16" s="305">
        <v>3735025.36</v>
      </c>
      <c r="F16" s="51"/>
      <c r="G16" s="50">
        <f t="shared" si="0"/>
        <v>31310419</v>
      </c>
    </row>
    <row r="17" spans="1:7">
      <c r="A17" s="13" t="s">
        <v>17</v>
      </c>
      <c r="C17" s="305">
        <v>27582912.490000002</v>
      </c>
      <c r="D17" s="305"/>
      <c r="E17" s="305">
        <v>3735033.25</v>
      </c>
      <c r="F17" s="51"/>
      <c r="G17" s="50">
        <f t="shared" si="0"/>
        <v>31317946</v>
      </c>
    </row>
    <row r="18" spans="1:7">
      <c r="A18" s="13" t="s">
        <v>18</v>
      </c>
      <c r="C18" s="305">
        <v>27535063.410000004</v>
      </c>
      <c r="D18" s="305"/>
      <c r="E18" s="305">
        <v>3735033.25</v>
      </c>
      <c r="F18" s="51"/>
      <c r="G18" s="50">
        <f t="shared" si="0"/>
        <v>31270097</v>
      </c>
    </row>
    <row r="19" spans="1:7">
      <c r="A19" s="13" t="s">
        <v>19</v>
      </c>
      <c r="C19" s="305">
        <v>27531073.009999998</v>
      </c>
      <c r="D19" s="305"/>
      <c r="E19" s="305">
        <v>3734735.7700000005</v>
      </c>
      <c r="F19" s="51"/>
      <c r="G19" s="50">
        <f t="shared" si="0"/>
        <v>31265809</v>
      </c>
    </row>
    <row r="20" spans="1:7">
      <c r="A20" s="13" t="s">
        <v>20</v>
      </c>
      <c r="C20" s="305">
        <v>28204052.850000001</v>
      </c>
      <c r="D20" s="305"/>
      <c r="E20" s="305">
        <v>3734689.97</v>
      </c>
      <c r="F20" s="51"/>
      <c r="G20" s="50">
        <f t="shared" si="0"/>
        <v>31938743</v>
      </c>
    </row>
    <row r="21" spans="1:7">
      <c r="A21" s="13" t="s">
        <v>21</v>
      </c>
      <c r="C21" s="305">
        <v>29202517.610000007</v>
      </c>
      <c r="D21" s="305"/>
      <c r="E21" s="305">
        <v>3734604.9</v>
      </c>
      <c r="F21" s="51"/>
      <c r="G21" s="50">
        <f t="shared" si="0"/>
        <v>32937123</v>
      </c>
    </row>
    <row r="24" spans="1:7">
      <c r="A24" s="60" t="s">
        <v>65</v>
      </c>
      <c r="D24" s="8"/>
      <c r="E24" s="10" t="s">
        <v>24</v>
      </c>
      <c r="G24" s="10" t="s">
        <v>10</v>
      </c>
    </row>
    <row r="25" spans="1:7">
      <c r="A25" s="11" t="s">
        <v>72</v>
      </c>
      <c r="C25" s="12" t="s">
        <v>24</v>
      </c>
      <c r="D25" s="8"/>
      <c r="E25" s="12" t="s">
        <v>9</v>
      </c>
      <c r="G25" s="12" t="s">
        <v>24</v>
      </c>
    </row>
    <row r="26" spans="1:7">
      <c r="A26" s="13" t="str">
        <f>A9</f>
        <v>December 2015</v>
      </c>
      <c r="C26" s="305">
        <v>2263862.4300000002</v>
      </c>
      <c r="D26" s="21"/>
      <c r="E26" s="305">
        <v>337482.86</v>
      </c>
      <c r="F26" s="51"/>
      <c r="G26" s="50">
        <f>ROUND(C26+E26,0)</f>
        <v>2601345</v>
      </c>
    </row>
    <row r="27" spans="1:7">
      <c r="A27" s="13" t="str">
        <f>A10</f>
        <v>January 2016</v>
      </c>
      <c r="C27" s="305">
        <v>2183932.2200000002</v>
      </c>
      <c r="D27" s="305"/>
      <c r="E27" s="305">
        <v>261667.99000000002</v>
      </c>
      <c r="F27" s="51"/>
      <c r="G27" s="50">
        <f>ROUND(C27+E27,0)</f>
        <v>2445600</v>
      </c>
    </row>
    <row r="28" spans="1:7">
      <c r="A28" s="13" t="s">
        <v>11</v>
      </c>
      <c r="C28" s="305">
        <v>2185452.9199999995</v>
      </c>
      <c r="D28" s="305"/>
      <c r="E28" s="305">
        <v>260820.07</v>
      </c>
      <c r="F28" s="51"/>
      <c r="G28" s="50">
        <f t="shared" ref="G28:G38" si="1">ROUND(C28+E28,0)</f>
        <v>2446273</v>
      </c>
    </row>
    <row r="29" spans="1:7">
      <c r="A29" s="13" t="s">
        <v>12</v>
      </c>
      <c r="C29" s="305">
        <v>2185450.37</v>
      </c>
      <c r="D29" s="305"/>
      <c r="E29" s="305">
        <v>261803.48</v>
      </c>
      <c r="F29" s="51"/>
      <c r="G29" s="50">
        <f t="shared" si="1"/>
        <v>2447254</v>
      </c>
    </row>
    <row r="30" spans="1:7">
      <c r="A30" s="13" t="s">
        <v>13</v>
      </c>
      <c r="C30" s="305">
        <v>2212186.5299999998</v>
      </c>
      <c r="D30" s="305"/>
      <c r="E30" s="305">
        <v>261802.93000000002</v>
      </c>
      <c r="F30" s="51"/>
      <c r="G30" s="50">
        <f t="shared" si="1"/>
        <v>2473989</v>
      </c>
    </row>
    <row r="31" spans="1:7">
      <c r="A31" s="13" t="s">
        <v>14</v>
      </c>
      <c r="C31" s="305">
        <v>2169465.5100000002</v>
      </c>
      <c r="D31" s="305"/>
      <c r="E31" s="305">
        <v>261802.93000000002</v>
      </c>
      <c r="F31" s="51"/>
      <c r="G31" s="50">
        <f t="shared" si="1"/>
        <v>2431268</v>
      </c>
    </row>
    <row r="32" spans="1:7">
      <c r="A32" s="13" t="s">
        <v>15</v>
      </c>
      <c r="C32" s="305">
        <v>2164069.8200000003</v>
      </c>
      <c r="D32" s="305"/>
      <c r="E32" s="305">
        <v>261802.93000000002</v>
      </c>
      <c r="F32" s="51"/>
      <c r="G32" s="50">
        <f t="shared" si="1"/>
        <v>2425873</v>
      </c>
    </row>
    <row r="33" spans="1:7">
      <c r="A33" s="13" t="s">
        <v>16</v>
      </c>
      <c r="C33" s="305">
        <v>2230683.92</v>
      </c>
      <c r="D33" s="305"/>
      <c r="E33" s="305">
        <v>261802.93000000002</v>
      </c>
      <c r="F33" s="51"/>
      <c r="G33" s="50">
        <f t="shared" si="1"/>
        <v>2492487</v>
      </c>
    </row>
    <row r="34" spans="1:7">
      <c r="A34" s="13" t="s">
        <v>17</v>
      </c>
      <c r="C34" s="305">
        <v>2230038.7300000004</v>
      </c>
      <c r="D34" s="305"/>
      <c r="E34" s="305">
        <v>261803.49000000002</v>
      </c>
      <c r="F34" s="51"/>
      <c r="G34" s="50">
        <f t="shared" si="1"/>
        <v>2491842</v>
      </c>
    </row>
    <row r="35" spans="1:7">
      <c r="A35" s="13" t="s">
        <v>18</v>
      </c>
      <c r="C35" s="305">
        <v>2163499.0600000005</v>
      </c>
      <c r="D35" s="305"/>
      <c r="E35" s="305">
        <v>261803.49000000002</v>
      </c>
      <c r="F35" s="51"/>
      <c r="G35" s="50">
        <f t="shared" si="1"/>
        <v>2425303</v>
      </c>
    </row>
    <row r="36" spans="1:7">
      <c r="A36" s="13" t="s">
        <v>19</v>
      </c>
      <c r="C36" s="305">
        <v>2167876.3000000003</v>
      </c>
      <c r="D36" s="305"/>
      <c r="E36" s="305">
        <v>261803.49000000002</v>
      </c>
      <c r="F36" s="51"/>
      <c r="G36" s="50">
        <f t="shared" si="1"/>
        <v>2429680</v>
      </c>
    </row>
    <row r="37" spans="1:7">
      <c r="A37" s="13" t="s">
        <v>20</v>
      </c>
      <c r="C37" s="305">
        <v>2310136.1900000004</v>
      </c>
      <c r="D37" s="305"/>
      <c r="E37" s="305">
        <v>261803.49000000002</v>
      </c>
      <c r="F37" s="51"/>
      <c r="G37" s="50">
        <f t="shared" si="1"/>
        <v>2571940</v>
      </c>
    </row>
    <row r="38" spans="1:7">
      <c r="A38" s="13" t="s">
        <v>21</v>
      </c>
      <c r="C38" s="305">
        <v>2551594.3000000003</v>
      </c>
      <c r="D38" s="305"/>
      <c r="E38" s="305">
        <v>261802.53000000003</v>
      </c>
      <c r="F38" s="51"/>
      <c r="G38" s="50">
        <f t="shared" si="1"/>
        <v>2813397</v>
      </c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workbookViewId="0"/>
  </sheetViews>
  <sheetFormatPr defaultRowHeight="12.75"/>
  <cols>
    <col min="1" max="2" width="2.7109375" style="2" customWidth="1"/>
    <col min="3" max="3" width="17" style="2" bestFit="1" customWidth="1"/>
    <col min="4" max="4" width="2.7109375" style="2" customWidth="1"/>
    <col min="5" max="5" width="11.7109375" style="25" bestFit="1" customWidth="1"/>
    <col min="6" max="6" width="2.7109375" style="25" customWidth="1"/>
    <col min="7" max="7" width="11.7109375" style="25" bestFit="1" customWidth="1"/>
    <col min="8" max="8" width="2.7109375" style="25" customWidth="1"/>
    <col min="9" max="9" width="11.85546875" style="25" bestFit="1" customWidth="1"/>
    <col min="10" max="10" width="2.7109375" style="25" customWidth="1"/>
    <col min="11" max="11" width="10.85546875" style="25" bestFit="1" customWidth="1"/>
    <col min="12" max="12" width="2.7109375" style="25" customWidth="1"/>
    <col min="13" max="13" width="10.85546875" style="25" bestFit="1" customWidth="1"/>
    <col min="14" max="14" width="2.7109375" style="25" customWidth="1"/>
    <col min="15" max="15" width="10.85546875" style="25" bestFit="1" customWidth="1"/>
    <col min="16" max="16384" width="9.140625" style="2"/>
  </cols>
  <sheetData>
    <row r="1" spans="1:15">
      <c r="A1" s="4" t="s">
        <v>0</v>
      </c>
      <c r="B1" s="4"/>
      <c r="C1" s="4"/>
      <c r="D1" s="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>
      <c r="A2" s="4" t="s">
        <v>60</v>
      </c>
      <c r="B2" s="4"/>
      <c r="C2" s="4"/>
      <c r="D2" s="4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>
      <c r="A3" s="4" t="s">
        <v>71</v>
      </c>
      <c r="B3" s="4"/>
      <c r="C3" s="4"/>
      <c r="D3" s="4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>
      <c r="A4" s="4" t="s">
        <v>31</v>
      </c>
      <c r="B4" s="4"/>
      <c r="C4" s="4"/>
      <c r="D4" s="4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>
      <c r="A5" s="4" t="s">
        <v>374</v>
      </c>
      <c r="B5" s="4"/>
      <c r="C5" s="4"/>
      <c r="D5" s="4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7" spans="1:15">
      <c r="E7" s="44"/>
      <c r="G7" s="44"/>
      <c r="I7" s="44" t="s">
        <v>61</v>
      </c>
      <c r="K7" s="44" t="s">
        <v>62</v>
      </c>
      <c r="M7" s="44"/>
      <c r="O7" s="44"/>
    </row>
    <row r="8" spans="1:15">
      <c r="E8" s="31" t="s">
        <v>10</v>
      </c>
      <c r="G8" s="31" t="s">
        <v>63</v>
      </c>
      <c r="I8" s="31" t="s">
        <v>64</v>
      </c>
      <c r="K8" s="31" t="s">
        <v>64</v>
      </c>
      <c r="M8" s="31" t="s">
        <v>65</v>
      </c>
      <c r="O8" s="31" t="s">
        <v>66</v>
      </c>
    </row>
    <row r="9" spans="1:15">
      <c r="A9" s="158" t="s">
        <v>184</v>
      </c>
    </row>
    <row r="10" spans="1:15">
      <c r="B10" s="2" t="s">
        <v>23</v>
      </c>
      <c r="E10" s="2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>
      <c r="C11" s="2" t="s">
        <v>25</v>
      </c>
      <c r="E11" s="45">
        <f>SUM(G11:M11)</f>
        <v>45436461</v>
      </c>
      <c r="F11" s="45"/>
      <c r="G11" s="288">
        <v>7294254</v>
      </c>
      <c r="H11" s="288"/>
      <c r="I11" s="288">
        <v>32671227</v>
      </c>
      <c r="J11" s="288"/>
      <c r="K11" s="288">
        <v>1613886</v>
      </c>
      <c r="L11" s="288"/>
      <c r="M11" s="288">
        <v>3857094</v>
      </c>
      <c r="N11" s="288"/>
      <c r="O11" s="288"/>
    </row>
    <row r="12" spans="1:15">
      <c r="C12" s="2" t="s">
        <v>67</v>
      </c>
      <c r="E12" s="25">
        <f>SUM(G12:M12)</f>
        <v>24732829</v>
      </c>
      <c r="F12" s="46"/>
      <c r="G12" s="289">
        <v>4787535</v>
      </c>
      <c r="H12" s="289"/>
      <c r="I12" s="289">
        <v>16448833</v>
      </c>
      <c r="J12" s="289"/>
      <c r="K12" s="289">
        <v>1328706</v>
      </c>
      <c r="L12" s="289"/>
      <c r="M12" s="289">
        <v>2167755</v>
      </c>
      <c r="N12" s="289"/>
      <c r="O12" s="289"/>
    </row>
    <row r="13" spans="1:15">
      <c r="B13" s="2" t="s">
        <v>68</v>
      </c>
      <c r="E13" s="2"/>
      <c r="G13" s="290"/>
      <c r="H13" s="290"/>
      <c r="I13" s="290"/>
      <c r="J13" s="290"/>
      <c r="K13" s="290"/>
      <c r="L13" s="290"/>
      <c r="M13" s="290"/>
      <c r="N13" s="290"/>
      <c r="O13" s="290"/>
    </row>
    <row r="14" spans="1:15">
      <c r="C14" s="2" t="s">
        <v>25</v>
      </c>
      <c r="E14" s="25">
        <f>SUM(G14:M14)</f>
        <v>23433875</v>
      </c>
      <c r="G14" s="290">
        <v>5305308</v>
      </c>
      <c r="H14" s="290"/>
      <c r="I14" s="290">
        <v>13394871</v>
      </c>
      <c r="J14" s="290"/>
      <c r="K14" s="290">
        <v>2723121</v>
      </c>
      <c r="L14" s="290"/>
      <c r="M14" s="290">
        <v>2010575</v>
      </c>
      <c r="N14" s="290"/>
      <c r="O14" s="290"/>
    </row>
    <row r="15" spans="1:15">
      <c r="C15" s="2" t="s">
        <v>67</v>
      </c>
      <c r="E15" s="25">
        <f>SUM(G15:M15)</f>
        <v>30472126</v>
      </c>
      <c r="G15" s="290">
        <v>8772316</v>
      </c>
      <c r="H15" s="290"/>
      <c r="I15" s="290">
        <v>13048910</v>
      </c>
      <c r="J15" s="290"/>
      <c r="K15" s="290">
        <v>6580966</v>
      </c>
      <c r="L15" s="290"/>
      <c r="M15" s="290">
        <v>2069934</v>
      </c>
      <c r="N15" s="290"/>
      <c r="O15" s="290"/>
    </row>
    <row r="16" spans="1:15">
      <c r="B16" s="2" t="s">
        <v>26</v>
      </c>
      <c r="E16" s="2"/>
      <c r="G16" s="290"/>
      <c r="H16" s="290"/>
      <c r="I16" s="290"/>
      <c r="J16" s="290"/>
      <c r="K16" s="290"/>
      <c r="L16" s="290"/>
      <c r="M16" s="290"/>
      <c r="N16" s="290"/>
      <c r="O16" s="290"/>
    </row>
    <row r="17" spans="1:15">
      <c r="C17" s="2" t="s">
        <v>25</v>
      </c>
      <c r="E17" s="25">
        <f>SUM(G17:O17)</f>
        <v>1143469</v>
      </c>
      <c r="G17" s="290"/>
      <c r="H17" s="290"/>
      <c r="I17" s="290"/>
      <c r="J17" s="290"/>
      <c r="K17" s="290"/>
      <c r="L17" s="290"/>
      <c r="M17" s="290"/>
      <c r="N17" s="290"/>
      <c r="O17" s="290">
        <v>1143469</v>
      </c>
    </row>
    <row r="18" spans="1:15">
      <c r="C18" s="2" t="s">
        <v>67</v>
      </c>
      <c r="E18" s="25">
        <f>SUM(G18:O18)</f>
        <v>714248</v>
      </c>
      <c r="G18" s="290"/>
      <c r="H18" s="290"/>
      <c r="I18" s="290"/>
      <c r="J18" s="290"/>
      <c r="K18" s="290"/>
      <c r="L18" s="290"/>
      <c r="M18" s="290"/>
      <c r="N18" s="290"/>
      <c r="O18" s="290">
        <v>714248</v>
      </c>
    </row>
    <row r="19" spans="1:15" ht="13.5" thickBot="1">
      <c r="A19" s="2" t="s">
        <v>69</v>
      </c>
      <c r="E19" s="47">
        <f>SUM(E11:E18)</f>
        <v>125933008</v>
      </c>
      <c r="G19" s="47">
        <f>SUM(G11:G18)</f>
        <v>26159413</v>
      </c>
      <c r="I19" s="47">
        <f>SUM(I11:I18)</f>
        <v>75563841</v>
      </c>
      <c r="K19" s="47">
        <f>SUM(K11:K18)</f>
        <v>12246679</v>
      </c>
      <c r="M19" s="47">
        <f>SUM(M11:M18)</f>
        <v>10105358</v>
      </c>
      <c r="O19" s="47">
        <f>SUM(O11:O18)</f>
        <v>1857717</v>
      </c>
    </row>
    <row r="20" spans="1:15" ht="13.5" thickTop="1"/>
  </sheetData>
  <printOptions horizontalCentered="1"/>
  <pageMargins left="0.17" right="0.17" top="1" bottom="0.75" header="0.3" footer="0.3"/>
  <pageSetup orientation="landscape" r:id="rId1"/>
  <headerFooter>
    <oddFooter>&amp;C&amp;F - 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/>
  </sheetViews>
  <sheetFormatPr defaultRowHeight="12.75"/>
  <cols>
    <col min="1" max="1" width="13.140625" style="21" customWidth="1"/>
    <col min="2" max="2" width="1" style="8" customWidth="1"/>
    <col min="3" max="3" width="14.42578125" style="8" bestFit="1" customWidth="1"/>
    <col min="4" max="4" width="1.7109375" style="18" customWidth="1"/>
    <col min="5" max="5" width="14.42578125" style="8" bestFit="1" customWidth="1"/>
    <col min="6" max="6" width="1.7109375" style="18" customWidth="1"/>
    <col min="7" max="7" width="12.7109375" style="8" bestFit="1" customWidth="1"/>
    <col min="8" max="8" width="2.7109375" style="18" customWidth="1"/>
    <col min="9" max="9" width="12.28515625" style="8" bestFit="1" customWidth="1"/>
    <col min="10" max="10" width="1.85546875" style="18" customWidth="1"/>
    <col min="11" max="11" width="12.28515625" style="8" bestFit="1" customWidth="1"/>
    <col min="12" max="12" width="1.85546875" style="18" customWidth="1"/>
    <col min="13" max="13" width="11.7109375" style="8" bestFit="1" customWidth="1"/>
    <col min="14" max="14" width="2.7109375" style="18" customWidth="1"/>
    <col min="15" max="15" width="10.7109375" style="8" bestFit="1" customWidth="1"/>
    <col min="16" max="16384" width="9.140625" style="8"/>
  </cols>
  <sheetData>
    <row r="1" spans="1:15">
      <c r="A1" s="5" t="s">
        <v>0</v>
      </c>
      <c r="B1" s="6"/>
      <c r="C1" s="6"/>
      <c r="D1" s="7"/>
      <c r="E1" s="6"/>
      <c r="F1" s="7"/>
      <c r="G1" s="6"/>
      <c r="H1" s="7"/>
      <c r="I1" s="6"/>
      <c r="J1" s="6"/>
      <c r="K1" s="6"/>
      <c r="L1" s="6"/>
      <c r="M1" s="6"/>
      <c r="N1" s="6"/>
      <c r="O1" s="6"/>
    </row>
    <row r="2" spans="1:15">
      <c r="A2" s="5" t="str">
        <f>'Reconcile FF1 to Juris-Plt'!A2</f>
        <v>MISO Attachment O Annual True-up</v>
      </c>
      <c r="B2" s="6"/>
      <c r="C2" s="6"/>
      <c r="D2" s="7"/>
      <c r="E2" s="6"/>
      <c r="F2" s="7"/>
      <c r="G2" s="6"/>
      <c r="H2" s="7"/>
      <c r="I2" s="6"/>
      <c r="J2" s="6"/>
      <c r="K2" s="6"/>
      <c r="L2" s="6"/>
      <c r="M2" s="6"/>
      <c r="N2" s="6"/>
      <c r="O2" s="6"/>
    </row>
    <row r="3" spans="1:15">
      <c r="A3" s="5" t="s">
        <v>77</v>
      </c>
      <c r="B3" s="6"/>
      <c r="C3" s="6"/>
      <c r="D3" s="7"/>
      <c r="E3" s="6"/>
      <c r="F3" s="7"/>
      <c r="G3" s="6"/>
      <c r="H3" s="7"/>
      <c r="I3" s="6"/>
      <c r="J3" s="6"/>
      <c r="K3" s="6"/>
      <c r="L3" s="6"/>
      <c r="M3" s="6"/>
      <c r="N3" s="6"/>
      <c r="O3" s="6"/>
    </row>
    <row r="4" spans="1:15">
      <c r="A4" s="5" t="str">
        <f>'General Plant'!A4</f>
        <v>Thirteen Months Ended December 31, 2016</v>
      </c>
      <c r="B4" s="6"/>
      <c r="C4" s="6"/>
      <c r="D4" s="7"/>
      <c r="E4" s="6"/>
      <c r="F4" s="7"/>
      <c r="G4" s="6"/>
      <c r="H4" s="7"/>
      <c r="I4" s="6"/>
      <c r="J4" s="6"/>
      <c r="K4" s="6"/>
      <c r="L4" s="6"/>
      <c r="M4" s="6"/>
      <c r="N4" s="6"/>
      <c r="O4" s="6"/>
    </row>
    <row r="6" spans="1:15">
      <c r="C6" s="307" t="s">
        <v>142</v>
      </c>
      <c r="D6" s="7"/>
      <c r="E6" s="7"/>
      <c r="F6" s="7"/>
      <c r="G6" s="7"/>
    </row>
    <row r="7" spans="1:15">
      <c r="C7" s="306" t="s">
        <v>356</v>
      </c>
      <c r="D7" s="22"/>
      <c r="E7" s="22"/>
      <c r="F7" s="22"/>
      <c r="G7" s="22"/>
    </row>
    <row r="8" spans="1:15">
      <c r="C8" s="10" t="s">
        <v>25</v>
      </c>
      <c r="E8" s="10" t="s">
        <v>25</v>
      </c>
      <c r="G8" s="10" t="s">
        <v>10</v>
      </c>
    </row>
    <row r="9" spans="1:15">
      <c r="C9" s="12" t="s">
        <v>24</v>
      </c>
      <c r="E9" s="12" t="s">
        <v>9</v>
      </c>
      <c r="G9" s="12" t="s">
        <v>25</v>
      </c>
    </row>
    <row r="10" spans="1:15">
      <c r="A10" s="13" t="str">
        <f>'Plant in Service'!A9</f>
        <v>December 2015</v>
      </c>
      <c r="C10" s="354">
        <v>78852761.110000014</v>
      </c>
      <c r="D10" s="49"/>
      <c r="E10" s="354">
        <v>54586283.229999997</v>
      </c>
      <c r="F10" s="15"/>
      <c r="G10" s="14">
        <f>ROUND(SUM(C10:E10),0)</f>
        <v>133439044</v>
      </c>
      <c r="H10" s="49"/>
    </row>
    <row r="11" spans="1:15">
      <c r="A11" s="13" t="str">
        <f>'Plant in Service'!A10</f>
        <v>January 2016</v>
      </c>
      <c r="C11" s="305">
        <v>79030388.88000001</v>
      </c>
      <c r="D11" s="308"/>
      <c r="E11" s="305">
        <v>54638275.920000002</v>
      </c>
      <c r="F11" s="17"/>
      <c r="G11" s="16">
        <f>ROUND(SUM(C11:E11),0)</f>
        <v>133668665</v>
      </c>
      <c r="H11" s="56"/>
    </row>
    <row r="12" spans="1:15">
      <c r="A12" s="13" t="s">
        <v>11</v>
      </c>
      <c r="C12" s="305">
        <v>79061939.049999997</v>
      </c>
      <c r="D12" s="308"/>
      <c r="E12" s="305">
        <v>54637261.360000007</v>
      </c>
      <c r="F12" s="17"/>
      <c r="G12" s="16">
        <f t="shared" ref="G12:G22" si="0">ROUND(SUM(C12:E12),0)</f>
        <v>133699200</v>
      </c>
      <c r="H12" s="56"/>
    </row>
    <row r="13" spans="1:15">
      <c r="A13" s="13" t="s">
        <v>12</v>
      </c>
      <c r="C13" s="305">
        <v>78267763.039999992</v>
      </c>
      <c r="D13" s="308"/>
      <c r="E13" s="305">
        <v>54746438.170000017</v>
      </c>
      <c r="F13" s="17"/>
      <c r="G13" s="16">
        <f t="shared" si="0"/>
        <v>133014201</v>
      </c>
      <c r="H13" s="56"/>
    </row>
    <row r="14" spans="1:15">
      <c r="A14" s="13" t="s">
        <v>13</v>
      </c>
      <c r="C14" s="305">
        <v>78009176.809999987</v>
      </c>
      <c r="D14" s="308"/>
      <c r="E14" s="305">
        <v>54744784.009999998</v>
      </c>
      <c r="F14" s="17"/>
      <c r="G14" s="16">
        <f t="shared" si="0"/>
        <v>132753961</v>
      </c>
      <c r="H14" s="56"/>
    </row>
    <row r="15" spans="1:15">
      <c r="A15" s="13" t="s">
        <v>14</v>
      </c>
      <c r="C15" s="305">
        <v>77377112.540000007</v>
      </c>
      <c r="D15" s="308"/>
      <c r="E15" s="305">
        <v>54744784.020000003</v>
      </c>
      <c r="F15" s="17"/>
      <c r="G15" s="16">
        <f t="shared" si="0"/>
        <v>132121897</v>
      </c>
      <c r="H15" s="56"/>
    </row>
    <row r="16" spans="1:15">
      <c r="A16" s="13" t="s">
        <v>15</v>
      </c>
      <c r="C16" s="305">
        <v>76837175.140000001</v>
      </c>
      <c r="D16" s="308"/>
      <c r="E16" s="305">
        <v>54744783.990000002</v>
      </c>
      <c r="F16" s="17"/>
      <c r="G16" s="16">
        <f t="shared" si="0"/>
        <v>131581959</v>
      </c>
      <c r="H16" s="56"/>
    </row>
    <row r="17" spans="1:15">
      <c r="A17" s="13" t="s">
        <v>16</v>
      </c>
      <c r="C17" s="305">
        <v>76747268.560000002</v>
      </c>
      <c r="D17" s="308"/>
      <c r="E17" s="305">
        <v>54744784.299999997</v>
      </c>
      <c r="F17" s="17"/>
      <c r="G17" s="16">
        <f t="shared" si="0"/>
        <v>131492053</v>
      </c>
      <c r="H17" s="56"/>
    </row>
    <row r="18" spans="1:15">
      <c r="A18" s="13" t="s">
        <v>17</v>
      </c>
      <c r="C18" s="305">
        <v>76667518.189999998</v>
      </c>
      <c r="D18" s="308"/>
      <c r="E18" s="305">
        <v>54744784.299999997</v>
      </c>
      <c r="F18" s="17"/>
      <c r="G18" s="16">
        <f t="shared" si="0"/>
        <v>131412302</v>
      </c>
      <c r="H18" s="56"/>
    </row>
    <row r="19" spans="1:15">
      <c r="A19" s="13" t="s">
        <v>18</v>
      </c>
      <c r="C19" s="305">
        <v>76781490.930000022</v>
      </c>
      <c r="D19" s="308"/>
      <c r="E19" s="305">
        <v>54744784.299999997</v>
      </c>
      <c r="F19" s="17"/>
      <c r="G19" s="16">
        <f t="shared" si="0"/>
        <v>131526275</v>
      </c>
      <c r="H19" s="56"/>
    </row>
    <row r="20" spans="1:15">
      <c r="A20" s="13" t="s">
        <v>19</v>
      </c>
      <c r="C20" s="305">
        <v>76869231.490000024</v>
      </c>
      <c r="D20" s="308"/>
      <c r="E20" s="305">
        <v>55877840.839999996</v>
      </c>
      <c r="F20" s="17"/>
      <c r="G20" s="16">
        <f t="shared" si="0"/>
        <v>132747072</v>
      </c>
      <c r="H20" s="56"/>
    </row>
    <row r="21" spans="1:15">
      <c r="A21" s="13" t="s">
        <v>20</v>
      </c>
      <c r="C21" s="305">
        <v>70501402.160000011</v>
      </c>
      <c r="D21" s="308"/>
      <c r="E21" s="305">
        <v>55918363.920000002</v>
      </c>
      <c r="F21" s="17"/>
      <c r="G21" s="16">
        <f t="shared" si="0"/>
        <v>126419766</v>
      </c>
      <c r="H21" s="56"/>
    </row>
    <row r="22" spans="1:15">
      <c r="A22" s="13" t="s">
        <v>21</v>
      </c>
      <c r="C22" s="305">
        <v>70013804.810000002</v>
      </c>
      <c r="D22" s="308"/>
      <c r="E22" s="305">
        <v>55919202.699999996</v>
      </c>
      <c r="F22" s="17"/>
      <c r="G22" s="16">
        <f t="shared" si="0"/>
        <v>125933008</v>
      </c>
      <c r="H22" s="56"/>
    </row>
    <row r="23" spans="1:15">
      <c r="C23" s="309"/>
      <c r="D23" s="310"/>
      <c r="E23" s="309"/>
    </row>
    <row r="26" spans="1:15">
      <c r="C26" s="58" t="s">
        <v>76</v>
      </c>
      <c r="D26" s="22"/>
      <c r="E26" s="22"/>
      <c r="F26" s="22"/>
      <c r="G26" s="22"/>
      <c r="I26" s="59" t="s">
        <v>81</v>
      </c>
      <c r="J26" s="22"/>
      <c r="K26" s="22"/>
      <c r="L26" s="22"/>
      <c r="M26" s="22"/>
      <c r="O26" s="61" t="s">
        <v>10</v>
      </c>
    </row>
    <row r="27" spans="1:15">
      <c r="C27" s="10" t="s">
        <v>25</v>
      </c>
      <c r="E27" s="10" t="s">
        <v>25</v>
      </c>
      <c r="G27" s="10" t="s">
        <v>10</v>
      </c>
      <c r="I27" s="10" t="s">
        <v>25</v>
      </c>
      <c r="K27" s="10" t="s">
        <v>25</v>
      </c>
      <c r="M27" s="10" t="s">
        <v>10</v>
      </c>
      <c r="O27" s="54" t="s">
        <v>65</v>
      </c>
    </row>
    <row r="28" spans="1:15">
      <c r="C28" s="12" t="s">
        <v>24</v>
      </c>
      <c r="E28" s="12" t="s">
        <v>9</v>
      </c>
      <c r="G28" s="12" t="s">
        <v>25</v>
      </c>
      <c r="I28" s="12" t="s">
        <v>24</v>
      </c>
      <c r="K28" s="12" t="s">
        <v>9</v>
      </c>
      <c r="M28" s="12" t="s">
        <v>25</v>
      </c>
      <c r="O28" s="12" t="s">
        <v>25</v>
      </c>
    </row>
    <row r="29" spans="1:15">
      <c r="A29" s="13" t="str">
        <f>A10</f>
        <v>December 2015</v>
      </c>
      <c r="C29" s="305">
        <v>3720598.8999999994</v>
      </c>
      <c r="D29" s="51"/>
      <c r="E29" s="305">
        <v>2396510.7199999997</v>
      </c>
      <c r="F29" s="17"/>
      <c r="G29" s="16">
        <f>ROUND(SUM(C29:E29),0)</f>
        <v>6117110</v>
      </c>
      <c r="H29" s="56"/>
      <c r="I29" s="305">
        <v>1978986.5199999998</v>
      </c>
      <c r="J29" s="308"/>
      <c r="K29" s="305">
        <v>2111815.81</v>
      </c>
      <c r="L29" s="17"/>
      <c r="M29" s="16">
        <f>ROUND(SUM(I29:K29),0)</f>
        <v>4090802</v>
      </c>
      <c r="N29" s="56"/>
      <c r="O29" s="16">
        <f t="shared" ref="O29:O41" si="1">G29+M29</f>
        <v>10207912</v>
      </c>
    </row>
    <row r="30" spans="1:15">
      <c r="A30" s="13" t="str">
        <f>A11</f>
        <v>January 2016</v>
      </c>
      <c r="C30" s="305">
        <v>3404414.6500000004</v>
      </c>
      <c r="D30" s="51"/>
      <c r="E30" s="305">
        <v>2116447.66</v>
      </c>
      <c r="F30" s="17"/>
      <c r="G30" s="16">
        <f>ROUND(SUM(C30:E30),0)</f>
        <v>5520862</v>
      </c>
      <c r="H30" s="56"/>
      <c r="I30" s="305">
        <v>1895904.1500000001</v>
      </c>
      <c r="J30" s="308"/>
      <c r="K30" s="305">
        <v>2038627.07</v>
      </c>
      <c r="L30" s="17"/>
      <c r="M30" s="16">
        <f>ROUND(SUM(I30:K30),0)</f>
        <v>3934531</v>
      </c>
      <c r="N30" s="56"/>
      <c r="O30" s="16">
        <f t="shared" si="1"/>
        <v>9455393</v>
      </c>
    </row>
    <row r="31" spans="1:15">
      <c r="A31" s="13" t="s">
        <v>11</v>
      </c>
      <c r="C31" s="305">
        <v>3393697.5599999996</v>
      </c>
      <c r="D31" s="51"/>
      <c r="E31" s="305">
        <v>2112960.8400000003</v>
      </c>
      <c r="F31" s="17"/>
      <c r="G31" s="16">
        <f t="shared" ref="G31:G41" si="2">ROUND(SUM(C31:E31),0)</f>
        <v>5506658</v>
      </c>
      <c r="H31" s="56"/>
      <c r="I31" s="305">
        <v>1892144.44</v>
      </c>
      <c r="J31" s="308"/>
      <c r="K31" s="305">
        <v>2038570.1000000003</v>
      </c>
      <c r="L31" s="17"/>
      <c r="M31" s="16">
        <f t="shared" ref="M31:M41" si="3">ROUND(SUM(I31:K31),0)</f>
        <v>3930715</v>
      </c>
      <c r="N31" s="56"/>
      <c r="O31" s="16">
        <f t="shared" si="1"/>
        <v>9437373</v>
      </c>
    </row>
    <row r="32" spans="1:15">
      <c r="A32" s="13" t="s">
        <v>12</v>
      </c>
      <c r="C32" s="305">
        <v>3394252.47</v>
      </c>
      <c r="D32" s="51"/>
      <c r="E32" s="305">
        <v>2117576.8000000003</v>
      </c>
      <c r="F32" s="17"/>
      <c r="G32" s="16">
        <f t="shared" si="2"/>
        <v>5511829</v>
      </c>
      <c r="H32" s="56"/>
      <c r="I32" s="305">
        <v>1892454.1399999997</v>
      </c>
      <c r="J32" s="308"/>
      <c r="K32" s="305">
        <v>2041397.5800000003</v>
      </c>
      <c r="L32" s="17"/>
      <c r="M32" s="16">
        <f t="shared" si="3"/>
        <v>3933852</v>
      </c>
      <c r="N32" s="56"/>
      <c r="O32" s="16">
        <f t="shared" si="1"/>
        <v>9445681</v>
      </c>
    </row>
    <row r="33" spans="1:15">
      <c r="A33" s="13" t="s">
        <v>13</v>
      </c>
      <c r="C33" s="305">
        <v>3385629.42</v>
      </c>
      <c r="D33" s="51"/>
      <c r="E33" s="305">
        <v>2117586.2400000002</v>
      </c>
      <c r="F33" s="17"/>
      <c r="G33" s="16">
        <f t="shared" si="2"/>
        <v>5503216</v>
      </c>
      <c r="H33" s="56"/>
      <c r="I33" s="305">
        <v>1887518.76</v>
      </c>
      <c r="J33" s="308"/>
      <c r="K33" s="305">
        <v>2041109.6400000001</v>
      </c>
      <c r="L33" s="17"/>
      <c r="M33" s="16">
        <f t="shared" si="3"/>
        <v>3928628</v>
      </c>
      <c r="N33" s="56"/>
      <c r="O33" s="16">
        <f t="shared" si="1"/>
        <v>9431844</v>
      </c>
    </row>
    <row r="34" spans="1:15">
      <c r="A34" s="13" t="s">
        <v>14</v>
      </c>
      <c r="C34" s="305">
        <v>3346457.3499999996</v>
      </c>
      <c r="D34" s="51"/>
      <c r="E34" s="305">
        <v>2117586.23</v>
      </c>
      <c r="F34" s="17"/>
      <c r="G34" s="16">
        <f t="shared" si="2"/>
        <v>5464044</v>
      </c>
      <c r="H34" s="56"/>
      <c r="I34" s="305">
        <v>1867457.45</v>
      </c>
      <c r="J34" s="308"/>
      <c r="K34" s="305">
        <v>2041109.6400000001</v>
      </c>
      <c r="L34" s="17"/>
      <c r="M34" s="16">
        <f t="shared" si="3"/>
        <v>3908567</v>
      </c>
      <c r="N34" s="56"/>
      <c r="O34" s="16">
        <f t="shared" si="1"/>
        <v>9372611</v>
      </c>
    </row>
    <row r="35" spans="1:15">
      <c r="A35" s="13" t="s">
        <v>15</v>
      </c>
      <c r="C35" s="305">
        <v>3345917.2899999996</v>
      </c>
      <c r="D35" s="51"/>
      <c r="E35" s="305">
        <v>2117586.23</v>
      </c>
      <c r="F35" s="17"/>
      <c r="G35" s="16">
        <f t="shared" si="2"/>
        <v>5463504</v>
      </c>
      <c r="H35" s="56"/>
      <c r="I35" s="305">
        <v>1867033.44</v>
      </c>
      <c r="J35" s="308"/>
      <c r="K35" s="305">
        <v>2041109.6400000001</v>
      </c>
      <c r="L35" s="17"/>
      <c r="M35" s="16">
        <f t="shared" si="3"/>
        <v>3908143</v>
      </c>
      <c r="N35" s="56"/>
      <c r="O35" s="16">
        <f t="shared" si="1"/>
        <v>9371647</v>
      </c>
    </row>
    <row r="36" spans="1:15">
      <c r="A36" s="13" t="s">
        <v>16</v>
      </c>
      <c r="C36" s="305">
        <v>3340928.09</v>
      </c>
      <c r="D36" s="51"/>
      <c r="E36" s="305">
        <v>2117586.23</v>
      </c>
      <c r="F36" s="17"/>
      <c r="G36" s="16">
        <f t="shared" si="2"/>
        <v>5458514</v>
      </c>
      <c r="H36" s="56"/>
      <c r="I36" s="305">
        <v>1864386.52</v>
      </c>
      <c r="J36" s="308"/>
      <c r="K36" s="305">
        <v>2041109.6300000001</v>
      </c>
      <c r="L36" s="17"/>
      <c r="M36" s="16">
        <f t="shared" si="3"/>
        <v>3905496</v>
      </c>
      <c r="N36" s="56"/>
      <c r="O36" s="16">
        <f t="shared" si="1"/>
        <v>9364010</v>
      </c>
    </row>
    <row r="37" spans="1:15">
      <c r="A37" s="13" t="s">
        <v>17</v>
      </c>
      <c r="C37" s="305">
        <v>3339476.31</v>
      </c>
      <c r="D37" s="51"/>
      <c r="E37" s="305">
        <v>2117586.23</v>
      </c>
      <c r="F37" s="17"/>
      <c r="G37" s="16">
        <f t="shared" si="2"/>
        <v>5457063</v>
      </c>
      <c r="H37" s="56"/>
      <c r="I37" s="305">
        <v>1863589.7300000002</v>
      </c>
      <c r="J37" s="308"/>
      <c r="K37" s="305">
        <v>2041109.6300000001</v>
      </c>
      <c r="L37" s="17"/>
      <c r="M37" s="16">
        <f t="shared" si="3"/>
        <v>3904699</v>
      </c>
      <c r="N37" s="56"/>
      <c r="O37" s="16">
        <f t="shared" si="1"/>
        <v>9361762</v>
      </c>
    </row>
    <row r="38" spans="1:15">
      <c r="A38" s="13" t="s">
        <v>18</v>
      </c>
      <c r="C38" s="305">
        <v>3345350.0999999992</v>
      </c>
      <c r="D38" s="51"/>
      <c r="E38" s="305">
        <v>2117586.23</v>
      </c>
      <c r="F38" s="17"/>
      <c r="G38" s="16">
        <f t="shared" si="2"/>
        <v>5462936</v>
      </c>
      <c r="H38" s="56"/>
      <c r="I38" s="305">
        <v>1866949.92</v>
      </c>
      <c r="J38" s="308"/>
      <c r="K38" s="305">
        <v>2041109.6300000001</v>
      </c>
      <c r="L38" s="17"/>
      <c r="M38" s="16">
        <f t="shared" si="3"/>
        <v>3908060</v>
      </c>
      <c r="N38" s="56"/>
      <c r="O38" s="16">
        <f t="shared" si="1"/>
        <v>9370996</v>
      </c>
    </row>
    <row r="39" spans="1:15">
      <c r="A39" s="13" t="s">
        <v>19</v>
      </c>
      <c r="C39" s="305">
        <v>3347493.3899999992</v>
      </c>
      <c r="D39" s="51"/>
      <c r="E39" s="305">
        <v>2165988.41</v>
      </c>
      <c r="F39" s="17"/>
      <c r="G39" s="16">
        <f t="shared" si="2"/>
        <v>5513482</v>
      </c>
      <c r="H39" s="56"/>
      <c r="I39" s="305">
        <v>1868182.1999999997</v>
      </c>
      <c r="J39" s="308"/>
      <c r="K39" s="305">
        <v>2068919.0500000003</v>
      </c>
      <c r="L39" s="17"/>
      <c r="M39" s="16">
        <f t="shared" si="3"/>
        <v>3937101</v>
      </c>
      <c r="N39" s="56"/>
      <c r="O39" s="16">
        <f t="shared" si="1"/>
        <v>9450583</v>
      </c>
    </row>
    <row r="40" spans="1:15">
      <c r="A40" s="13" t="s">
        <v>20</v>
      </c>
      <c r="C40" s="305">
        <v>3296245.58</v>
      </c>
      <c r="D40" s="51"/>
      <c r="E40" s="305">
        <v>2167719.48</v>
      </c>
      <c r="F40" s="17"/>
      <c r="G40" s="16">
        <f t="shared" si="2"/>
        <v>5463965</v>
      </c>
      <c r="H40" s="56"/>
      <c r="I40" s="305">
        <v>1739299.43</v>
      </c>
      <c r="J40" s="308"/>
      <c r="K40" s="305">
        <v>2069913.6400000004</v>
      </c>
      <c r="L40" s="17"/>
      <c r="M40" s="16">
        <f t="shared" si="3"/>
        <v>3809213</v>
      </c>
      <c r="N40" s="56"/>
      <c r="O40" s="16">
        <f t="shared" si="1"/>
        <v>9273178</v>
      </c>
    </row>
    <row r="41" spans="1:15">
      <c r="A41" s="13" t="s">
        <v>21</v>
      </c>
      <c r="C41" s="305">
        <v>3857094.3899999997</v>
      </c>
      <c r="D41" s="51"/>
      <c r="E41" s="305">
        <v>2167755.3199999998</v>
      </c>
      <c r="F41" s="17"/>
      <c r="G41" s="16">
        <f t="shared" si="2"/>
        <v>6024850</v>
      </c>
      <c r="H41" s="56"/>
      <c r="I41" s="305">
        <v>2010575.2599999995</v>
      </c>
      <c r="J41" s="308"/>
      <c r="K41" s="305">
        <v>2069934.2300000002</v>
      </c>
      <c r="L41" s="17"/>
      <c r="M41" s="16">
        <f t="shared" si="3"/>
        <v>4080509</v>
      </c>
      <c r="N41" s="56"/>
      <c r="O41" s="16">
        <f t="shared" si="1"/>
        <v>10105359</v>
      </c>
    </row>
  </sheetData>
  <printOptions horizontalCentered="1"/>
  <pageMargins left="0.17" right="0.17" top="1" bottom="0.6" header="0.3" footer="0.2"/>
  <pageSetup scale="90" orientation="landscape" r:id="rId1"/>
  <headerFooter>
    <oddFooter>&amp;C&amp;F -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showGridLines="0" workbookViewId="0"/>
  </sheetViews>
  <sheetFormatPr defaultRowHeight="12.75"/>
  <cols>
    <col min="1" max="1" width="16.7109375" style="62" customWidth="1"/>
    <col min="2" max="2" width="2.7109375" style="62" customWidth="1"/>
    <col min="3" max="3" width="14.42578125" style="62" bestFit="1" customWidth="1"/>
    <col min="4" max="4" width="2.7109375" style="62" customWidth="1"/>
    <col min="5" max="5" width="14.140625" style="63" bestFit="1" customWidth="1"/>
    <col min="6" max="6" width="2.7109375" style="63" customWidth="1"/>
    <col min="7" max="7" width="13.42578125" style="63" bestFit="1" customWidth="1"/>
    <col min="8" max="8" width="2.7109375" style="63" customWidth="1"/>
    <col min="9" max="9" width="11.85546875" style="63" bestFit="1" customWidth="1"/>
    <col min="10" max="10" width="2.7109375" style="63" customWidth="1"/>
    <col min="11" max="11" width="12.7109375" style="63" bestFit="1" customWidth="1"/>
    <col min="12" max="12" width="2.7109375" style="63" customWidth="1"/>
    <col min="13" max="13" width="10.28515625" style="63" bestFit="1" customWidth="1"/>
    <col min="14" max="24" width="9.140625" style="63"/>
    <col min="25" max="16384" width="9.140625" style="62"/>
  </cols>
  <sheetData>
    <row r="1" spans="1:10" s="63" customFormat="1">
      <c r="A1" s="4" t="s">
        <v>0</v>
      </c>
      <c r="B1" s="64"/>
      <c r="C1" s="64"/>
      <c r="D1" s="64"/>
      <c r="E1" s="65"/>
      <c r="F1" s="65"/>
      <c r="G1" s="65"/>
      <c r="H1" s="65"/>
      <c r="I1" s="65"/>
    </row>
    <row r="2" spans="1:10" s="63" customFormat="1">
      <c r="A2" s="4" t="s">
        <v>85</v>
      </c>
      <c r="B2" s="64"/>
      <c r="C2" s="64"/>
      <c r="D2" s="64"/>
      <c r="E2" s="65"/>
      <c r="F2" s="65"/>
      <c r="G2" s="65"/>
      <c r="H2" s="65"/>
      <c r="I2" s="65"/>
    </row>
    <row r="3" spans="1:10" s="63" customFormat="1">
      <c r="A3" s="4" t="s">
        <v>96</v>
      </c>
      <c r="B3" s="64"/>
      <c r="C3" s="64"/>
      <c r="D3" s="64"/>
      <c r="E3" s="65"/>
      <c r="F3" s="65"/>
      <c r="G3" s="65"/>
      <c r="H3" s="65"/>
      <c r="I3" s="65"/>
    </row>
    <row r="4" spans="1:10" s="63" customFormat="1">
      <c r="A4" s="4" t="s">
        <v>31</v>
      </c>
      <c r="B4" s="64"/>
      <c r="C4" s="64"/>
      <c r="D4" s="64"/>
      <c r="E4" s="65"/>
      <c r="F4" s="65"/>
      <c r="G4" s="65"/>
      <c r="H4" s="65"/>
      <c r="I4" s="65"/>
    </row>
    <row r="5" spans="1:10" s="63" customFormat="1">
      <c r="A5" s="4" t="str">
        <f>'Reconcile FF1 to Juris-Plt'!A5</f>
        <v>Twelve Months Ended December 31, 2016</v>
      </c>
      <c r="B5" s="64"/>
      <c r="C5" s="64"/>
      <c r="D5" s="64"/>
      <c r="E5" s="65"/>
      <c r="F5" s="65"/>
      <c r="G5" s="65"/>
      <c r="H5" s="65"/>
      <c r="I5" s="65"/>
    </row>
    <row r="6" spans="1:10" s="63" customFormat="1">
      <c r="A6" s="24"/>
      <c r="B6" s="62"/>
      <c r="C6" s="62"/>
      <c r="D6" s="62"/>
    </row>
    <row r="8" spans="1:10" s="63" customFormat="1">
      <c r="A8" s="62"/>
      <c r="B8" s="62"/>
      <c r="C8" s="66" t="s">
        <v>33</v>
      </c>
      <c r="D8" s="62"/>
      <c r="E8" s="67" t="s">
        <v>33</v>
      </c>
      <c r="G8" s="68" t="s">
        <v>34</v>
      </c>
      <c r="I8" s="68"/>
    </row>
    <row r="9" spans="1:10" s="63" customFormat="1">
      <c r="A9" s="62"/>
      <c r="B9" s="62"/>
      <c r="C9" s="69" t="s">
        <v>86</v>
      </c>
      <c r="D9" s="62"/>
      <c r="E9" s="70" t="s">
        <v>37</v>
      </c>
      <c r="G9" s="156" t="s">
        <v>182</v>
      </c>
      <c r="I9" s="70" t="s">
        <v>87</v>
      </c>
    </row>
    <row r="10" spans="1:10" s="63" customFormat="1">
      <c r="A10" s="62" t="s">
        <v>88</v>
      </c>
      <c r="B10" s="62"/>
      <c r="C10" s="62" t="s">
        <v>89</v>
      </c>
      <c r="D10" s="62"/>
      <c r="E10" s="71">
        <v>243975327</v>
      </c>
      <c r="G10" s="319">
        <f>250775403-10387642</f>
        <v>240387761</v>
      </c>
      <c r="H10" s="157" t="s">
        <v>43</v>
      </c>
      <c r="I10" s="71">
        <f>E10-G10</f>
        <v>3587566</v>
      </c>
    </row>
    <row r="11" spans="1:10" s="63" customFormat="1">
      <c r="A11" s="62" t="s">
        <v>90</v>
      </c>
      <c r="B11" s="62"/>
      <c r="C11" s="62" t="s">
        <v>91</v>
      </c>
      <c r="D11" s="62"/>
      <c r="E11" s="63">
        <v>69445344</v>
      </c>
      <c r="G11" s="320">
        <v>71128122</v>
      </c>
      <c r="I11" s="63">
        <f t="shared" ref="I11" si="0">E11-G11</f>
        <v>-1682778</v>
      </c>
    </row>
    <row r="12" spans="1:10" s="63" customFormat="1">
      <c r="A12" s="62" t="s">
        <v>92</v>
      </c>
      <c r="B12" s="62"/>
      <c r="C12" s="62"/>
      <c r="D12" s="62"/>
      <c r="E12" s="72">
        <f>SUM(E10:E11)</f>
        <v>313420671</v>
      </c>
      <c r="G12" s="338">
        <f>SUM(G10:G11)</f>
        <v>311515883</v>
      </c>
      <c r="I12" s="72">
        <f>SUM(I10:I11)</f>
        <v>1904788</v>
      </c>
      <c r="J12" s="73"/>
    </row>
    <row r="13" spans="1:10" s="63" customFormat="1">
      <c r="A13" s="62" t="s">
        <v>7</v>
      </c>
      <c r="B13" s="62"/>
      <c r="C13" s="62" t="s">
        <v>54</v>
      </c>
      <c r="D13" s="62"/>
      <c r="E13" s="63">
        <v>102052730</v>
      </c>
      <c r="F13" s="275"/>
      <c r="G13" s="320">
        <v>102052237</v>
      </c>
      <c r="H13" s="282"/>
      <c r="I13" s="63">
        <f>E13-G13</f>
        <v>493</v>
      </c>
    </row>
    <row r="14" spans="1:10" s="63" customFormat="1">
      <c r="A14" s="62" t="s">
        <v>8</v>
      </c>
      <c r="B14" s="62"/>
      <c r="C14" s="62" t="s">
        <v>55</v>
      </c>
      <c r="D14" s="62"/>
      <c r="E14" s="63">
        <v>144645599</v>
      </c>
      <c r="G14" s="320">
        <v>144609703</v>
      </c>
      <c r="I14" s="63">
        <f>E14-G14</f>
        <v>35896</v>
      </c>
    </row>
    <row r="15" spans="1:10" s="63" customFormat="1">
      <c r="A15" s="62" t="s">
        <v>24</v>
      </c>
      <c r="B15" s="62"/>
      <c r="C15" s="62" t="s">
        <v>93</v>
      </c>
      <c r="D15" s="62"/>
      <c r="E15" s="63">
        <v>9919828</v>
      </c>
      <c r="G15" s="320">
        <v>9919828</v>
      </c>
      <c r="I15" s="73">
        <f>E15-G15</f>
        <v>0</v>
      </c>
    </row>
    <row r="16" spans="1:10" s="63" customFormat="1">
      <c r="A16" s="62" t="s">
        <v>94</v>
      </c>
      <c r="B16" s="62"/>
      <c r="C16" s="62" t="s">
        <v>57</v>
      </c>
      <c r="D16" s="62"/>
      <c r="E16" s="63">
        <v>2056608</v>
      </c>
      <c r="G16" s="320">
        <v>2056608</v>
      </c>
      <c r="I16" s="63">
        <f>E16-G16</f>
        <v>0</v>
      </c>
    </row>
    <row r="17" spans="1:9" s="63" customFormat="1">
      <c r="A17" s="62"/>
      <c r="B17" s="62"/>
      <c r="C17" s="75"/>
      <c r="D17" s="62"/>
      <c r="E17" s="72">
        <f>SUM(E12:E16)</f>
        <v>572095436</v>
      </c>
      <c r="G17" s="338">
        <f>SUM(G12:G16)</f>
        <v>570154259</v>
      </c>
      <c r="I17" s="72">
        <f>SUM(I12:I16)</f>
        <v>1941177</v>
      </c>
    </row>
    <row r="18" spans="1:9" s="63" customFormat="1">
      <c r="A18" s="62" t="s">
        <v>25</v>
      </c>
      <c r="B18" s="62"/>
      <c r="C18" s="76">
        <v>356.1</v>
      </c>
      <c r="D18" s="62"/>
      <c r="E18" s="341">
        <v>50608060</v>
      </c>
      <c r="G18" s="294">
        <f>'Reconcile FF1 to Com Res'!E26</f>
        <v>50608060</v>
      </c>
      <c r="I18" s="63">
        <f>E18-G18</f>
        <v>0</v>
      </c>
    </row>
    <row r="19" spans="1:9" s="63" customFormat="1" ht="13.5" thickBot="1">
      <c r="A19" s="62"/>
      <c r="B19" s="62"/>
      <c r="C19" s="62"/>
      <c r="D19" s="62"/>
      <c r="E19" s="77">
        <f>SUM(E17:E18)</f>
        <v>622703496</v>
      </c>
      <c r="G19" s="77">
        <f>SUM(G17:G18)</f>
        <v>620762319</v>
      </c>
      <c r="I19" s="78">
        <f>SUM(I17:I18)</f>
        <v>1941177</v>
      </c>
    </row>
    <row r="20" spans="1:9" s="63" customFormat="1" ht="13.5" thickTop="1">
      <c r="A20" s="62"/>
      <c r="B20" s="62"/>
      <c r="C20" s="62"/>
      <c r="D20" s="62"/>
    </row>
    <row r="23" spans="1:9">
      <c r="A23" s="158" t="s">
        <v>183</v>
      </c>
    </row>
    <row r="24" spans="1:9" s="63" customFormat="1">
      <c r="A24" s="62" t="s">
        <v>95</v>
      </c>
      <c r="B24" s="62"/>
      <c r="C24" s="62"/>
      <c r="D24" s="62"/>
    </row>
    <row r="25" spans="1:9">
      <c r="A25" s="281"/>
      <c r="B25" s="281"/>
    </row>
  </sheetData>
  <printOptions horizontalCentered="1"/>
  <pageMargins left="0.17" right="0.17" top="1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workbookViewId="0"/>
  </sheetViews>
  <sheetFormatPr defaultRowHeight="12.75"/>
  <cols>
    <col min="1" max="1" width="14.28515625" style="21" customWidth="1"/>
    <col min="2" max="2" width="1.5703125" style="8" customWidth="1"/>
    <col min="3" max="3" width="12.7109375" style="8" customWidth="1"/>
    <col min="4" max="4" width="1.85546875" style="18" customWidth="1"/>
    <col min="5" max="5" width="12.7109375" style="8" customWidth="1"/>
    <col min="6" max="6" width="1.42578125" style="18" customWidth="1"/>
    <col min="7" max="7" width="12.7109375" style="8" customWidth="1"/>
    <col min="8" max="8" width="1.42578125" style="18" customWidth="1"/>
    <col min="9" max="9" width="12.7109375" style="8" customWidth="1"/>
    <col min="10" max="10" width="1.5703125" style="18" customWidth="1"/>
    <col min="11" max="11" width="12.7109375" style="8" customWidth="1"/>
    <col min="12" max="12" width="1.7109375" style="18" customWidth="1"/>
    <col min="13" max="13" width="14.42578125" style="8" bestFit="1" customWidth="1"/>
    <col min="14" max="16384" width="9.140625" style="8"/>
  </cols>
  <sheetData>
    <row r="1" spans="1:13">
      <c r="A1" s="5" t="s">
        <v>0</v>
      </c>
      <c r="B1" s="6"/>
      <c r="C1" s="6"/>
      <c r="D1" s="7"/>
      <c r="E1" s="6"/>
      <c r="F1" s="7"/>
      <c r="G1" s="6"/>
      <c r="H1" s="7"/>
      <c r="I1" s="6"/>
      <c r="J1" s="7"/>
      <c r="K1" s="6"/>
      <c r="L1" s="7"/>
      <c r="M1" s="6"/>
    </row>
    <row r="2" spans="1:13">
      <c r="A2" s="5" t="str">
        <f>'Reconcile FF1 to Juris-Plt'!A2</f>
        <v>MISO Attachment O Annual True-up</v>
      </c>
      <c r="B2" s="6"/>
      <c r="C2" s="6"/>
      <c r="D2" s="7"/>
      <c r="E2" s="6"/>
      <c r="F2" s="7"/>
      <c r="G2" s="6"/>
      <c r="H2" s="7"/>
      <c r="I2" s="6"/>
      <c r="J2" s="7"/>
      <c r="K2" s="6"/>
      <c r="L2" s="7"/>
      <c r="M2" s="6"/>
    </row>
    <row r="3" spans="1:13">
      <c r="A3" s="5" t="s">
        <v>82</v>
      </c>
      <c r="B3" s="6"/>
      <c r="C3" s="6"/>
      <c r="D3" s="7"/>
      <c r="E3" s="6"/>
      <c r="F3" s="7"/>
      <c r="G3" s="6"/>
      <c r="H3" s="7"/>
      <c r="I3" s="6"/>
      <c r="J3" s="7"/>
      <c r="K3" s="6"/>
      <c r="L3" s="7"/>
      <c r="M3" s="6"/>
    </row>
    <row r="4" spans="1:13">
      <c r="A4" s="5" t="str">
        <f>'Plant in Service'!A4</f>
        <v>Thirteen Months Ended December 31, 2016</v>
      </c>
      <c r="B4" s="6"/>
      <c r="C4" s="6"/>
      <c r="D4" s="7"/>
      <c r="E4" s="6"/>
      <c r="F4" s="7"/>
      <c r="G4" s="6"/>
      <c r="H4" s="7"/>
      <c r="I4" s="6"/>
      <c r="J4" s="7"/>
      <c r="K4" s="6"/>
      <c r="L4" s="7"/>
      <c r="M4" s="6"/>
    </row>
    <row r="6" spans="1:13">
      <c r="K6" s="55" t="s">
        <v>75</v>
      </c>
    </row>
    <row r="7" spans="1:13">
      <c r="A7" s="60" t="s">
        <v>10</v>
      </c>
      <c r="C7" s="10"/>
      <c r="D7" s="10"/>
      <c r="E7" s="274"/>
      <c r="F7" s="10"/>
      <c r="G7" s="10"/>
      <c r="H7" s="10"/>
      <c r="I7" s="10" t="s">
        <v>3</v>
      </c>
      <c r="J7" s="10"/>
      <c r="K7" s="10" t="s">
        <v>4</v>
      </c>
      <c r="L7" s="10"/>
      <c r="M7" s="10"/>
    </row>
    <row r="8" spans="1:13">
      <c r="A8" s="57" t="s">
        <v>78</v>
      </c>
      <c r="C8" s="261" t="s">
        <v>333</v>
      </c>
      <c r="D8" s="10"/>
      <c r="E8" s="303" t="s">
        <v>7</v>
      </c>
      <c r="F8" s="10"/>
      <c r="G8" s="12" t="s">
        <v>8</v>
      </c>
      <c r="H8" s="10"/>
      <c r="I8" s="12" t="s">
        <v>9</v>
      </c>
      <c r="J8" s="10"/>
      <c r="K8" s="303" t="s">
        <v>355</v>
      </c>
      <c r="L8" s="10"/>
      <c r="M8" s="12" t="s">
        <v>10</v>
      </c>
    </row>
    <row r="9" spans="1:13" ht="15" customHeight="1">
      <c r="A9" s="278" t="str">
        <f>'Common Plant'!A10</f>
        <v>December 2015</v>
      </c>
      <c r="C9" s="48">
        <v>291746444</v>
      </c>
      <c r="D9" s="49"/>
      <c r="E9" s="48">
        <v>97214025</v>
      </c>
      <c r="F9" s="49"/>
      <c r="G9" s="48">
        <v>137837972</v>
      </c>
      <c r="H9" s="15"/>
      <c r="I9" s="14">
        <v>13865964</v>
      </c>
      <c r="J9" s="15"/>
      <c r="K9" s="14">
        <v>48193767</v>
      </c>
      <c r="L9" s="15"/>
      <c r="M9" s="14">
        <f t="shared" ref="M9" si="0">SUM(C9:L9)</f>
        <v>588858172</v>
      </c>
    </row>
    <row r="10" spans="1:13">
      <c r="A10" s="278" t="str">
        <f>'Common Plant'!A11</f>
        <v>January 2016</v>
      </c>
      <c r="C10" s="50">
        <v>293165111</v>
      </c>
      <c r="D10" s="51"/>
      <c r="E10" s="50">
        <v>97517324</v>
      </c>
      <c r="F10" s="51"/>
      <c r="G10" s="50">
        <v>138462971</v>
      </c>
      <c r="H10" s="17"/>
      <c r="I10" s="16">
        <v>14114027</v>
      </c>
      <c r="J10" s="17"/>
      <c r="K10" s="16">
        <v>48683314</v>
      </c>
      <c r="L10" s="17"/>
      <c r="M10" s="16">
        <f t="shared" ref="M10:M21" si="1">SUM(C10:L10)</f>
        <v>591942747</v>
      </c>
    </row>
    <row r="11" spans="1:13">
      <c r="A11" s="278" t="str">
        <f>'Common Plant'!A12</f>
        <v>February</v>
      </c>
      <c r="C11" s="50">
        <v>296100324</v>
      </c>
      <c r="D11" s="51"/>
      <c r="E11" s="50">
        <v>97952170</v>
      </c>
      <c r="F11" s="51"/>
      <c r="G11" s="50">
        <v>139096362</v>
      </c>
      <c r="H11" s="17"/>
      <c r="I11" s="16">
        <v>13991857</v>
      </c>
      <c r="J11" s="17"/>
      <c r="K11" s="16">
        <v>49061951</v>
      </c>
      <c r="L11" s="17"/>
      <c r="M11" s="16">
        <f t="shared" si="1"/>
        <v>596202664</v>
      </c>
    </row>
    <row r="12" spans="1:13">
      <c r="A12" s="278" t="str">
        <f>'Common Plant'!A13</f>
        <v>March</v>
      </c>
      <c r="C12" s="50">
        <v>298465600</v>
      </c>
      <c r="D12" s="51"/>
      <c r="E12" s="50">
        <v>99093144</v>
      </c>
      <c r="F12" s="51"/>
      <c r="G12" s="50">
        <v>139596117</v>
      </c>
      <c r="H12" s="17"/>
      <c r="I12" s="16">
        <v>13909010</v>
      </c>
      <c r="J12" s="17"/>
      <c r="K12" s="16">
        <v>49328694</v>
      </c>
      <c r="L12" s="17"/>
      <c r="M12" s="16">
        <f t="shared" si="1"/>
        <v>600392565</v>
      </c>
    </row>
    <row r="13" spans="1:13">
      <c r="A13" s="278" t="str">
        <f>'Common Plant'!A14</f>
        <v>April</v>
      </c>
      <c r="C13" s="50">
        <v>293783518</v>
      </c>
      <c r="D13" s="51"/>
      <c r="E13" s="50">
        <v>99300622</v>
      </c>
      <c r="F13" s="51"/>
      <c r="G13" s="50">
        <v>140187456</v>
      </c>
      <c r="H13" s="17"/>
      <c r="I13" s="16">
        <v>14114184</v>
      </c>
      <c r="J13" s="17"/>
      <c r="K13" s="16">
        <v>49611569</v>
      </c>
      <c r="L13" s="17"/>
      <c r="M13" s="16">
        <f t="shared" si="1"/>
        <v>596997349</v>
      </c>
    </row>
    <row r="14" spans="1:13">
      <c r="A14" s="278" t="str">
        <f>'Common Plant'!A15</f>
        <v>May</v>
      </c>
      <c r="C14" s="50">
        <v>296759459</v>
      </c>
      <c r="D14" s="51"/>
      <c r="E14" s="50">
        <v>99598001</v>
      </c>
      <c r="F14" s="51"/>
      <c r="G14" s="50">
        <v>140785431</v>
      </c>
      <c r="H14" s="17"/>
      <c r="I14" s="16">
        <v>13354914</v>
      </c>
      <c r="J14" s="17"/>
      <c r="K14" s="16">
        <v>49306703</v>
      </c>
      <c r="L14" s="17"/>
      <c r="M14" s="16">
        <f t="shared" si="1"/>
        <v>599804508</v>
      </c>
    </row>
    <row r="15" spans="1:13">
      <c r="A15" s="278" t="str">
        <f>'Common Plant'!A16</f>
        <v>June</v>
      </c>
      <c r="C15" s="50">
        <v>298134198</v>
      </c>
      <c r="D15" s="51"/>
      <c r="E15" s="50">
        <v>100020364</v>
      </c>
      <c r="F15" s="51"/>
      <c r="G15" s="50">
        <v>141267859</v>
      </c>
      <c r="H15" s="17"/>
      <c r="I15" s="16">
        <v>13625482</v>
      </c>
      <c r="J15" s="17"/>
      <c r="K15" s="16">
        <v>49148100</v>
      </c>
      <c r="L15" s="17"/>
      <c r="M15" s="16">
        <f t="shared" si="1"/>
        <v>602196003</v>
      </c>
    </row>
    <row r="16" spans="1:13">
      <c r="A16" s="278" t="str">
        <f>'Common Plant'!A17</f>
        <v>July</v>
      </c>
      <c r="C16" s="50">
        <v>300317807</v>
      </c>
      <c r="D16" s="51"/>
      <c r="E16" s="50">
        <v>100245467</v>
      </c>
      <c r="F16" s="51"/>
      <c r="G16" s="50">
        <v>141874175</v>
      </c>
      <c r="H16" s="17"/>
      <c r="I16" s="16">
        <v>11668820</v>
      </c>
      <c r="J16" s="17"/>
      <c r="K16" s="16">
        <v>48810746</v>
      </c>
      <c r="L16" s="17"/>
      <c r="M16" s="16">
        <f t="shared" si="1"/>
        <v>602917015</v>
      </c>
    </row>
    <row r="17" spans="1:13">
      <c r="A17" s="278" t="str">
        <f>'Common Plant'!A18</f>
        <v>August</v>
      </c>
      <c r="C17" s="50">
        <v>302826964</v>
      </c>
      <c r="D17" s="51"/>
      <c r="E17" s="50">
        <v>100637148</v>
      </c>
      <c r="F17" s="51"/>
      <c r="G17" s="50">
        <v>142440305</v>
      </c>
      <c r="H17" s="17"/>
      <c r="I17" s="16">
        <v>11803497</v>
      </c>
      <c r="J17" s="17"/>
      <c r="K17" s="16">
        <v>49869386</v>
      </c>
      <c r="L17" s="17"/>
      <c r="M17" s="16">
        <f t="shared" si="1"/>
        <v>607577300</v>
      </c>
    </row>
    <row r="18" spans="1:13">
      <c r="A18" s="278" t="str">
        <f>'Common Plant'!A19</f>
        <v>September</v>
      </c>
      <c r="C18" s="50">
        <v>305311823</v>
      </c>
      <c r="D18" s="51"/>
      <c r="E18" s="50">
        <v>100994609</v>
      </c>
      <c r="F18" s="51"/>
      <c r="G18" s="50">
        <v>142911654</v>
      </c>
      <c r="H18" s="17"/>
      <c r="I18" s="16">
        <v>11804234</v>
      </c>
      <c r="J18" s="17"/>
      <c r="K18" s="16">
        <v>50474703</v>
      </c>
      <c r="L18" s="17"/>
      <c r="M18" s="16">
        <f t="shared" si="1"/>
        <v>611497023</v>
      </c>
    </row>
    <row r="19" spans="1:13">
      <c r="A19" s="278" t="str">
        <f>'Common Plant'!A20</f>
        <v>October</v>
      </c>
      <c r="C19" s="50">
        <v>307628035</v>
      </c>
      <c r="D19" s="51"/>
      <c r="E19" s="50">
        <v>101246148</v>
      </c>
      <c r="F19" s="51"/>
      <c r="G19" s="50">
        <v>143372397</v>
      </c>
      <c r="H19" s="17"/>
      <c r="I19" s="16">
        <v>11816173</v>
      </c>
      <c r="J19" s="17"/>
      <c r="K19" s="16">
        <v>50843156</v>
      </c>
      <c r="L19" s="17"/>
      <c r="M19" s="16">
        <f t="shared" si="1"/>
        <v>614905909</v>
      </c>
    </row>
    <row r="20" spans="1:13">
      <c r="A20" s="278" t="str">
        <f>'Common Plant'!A21</f>
        <v>November</v>
      </c>
      <c r="C20" s="50">
        <v>310084213</v>
      </c>
      <c r="D20" s="51"/>
      <c r="E20" s="50">
        <v>101482060</v>
      </c>
      <c r="F20" s="51"/>
      <c r="G20" s="50">
        <v>143940049</v>
      </c>
      <c r="H20" s="17"/>
      <c r="I20" s="16">
        <v>12024467</v>
      </c>
      <c r="J20" s="17"/>
      <c r="K20" s="16">
        <v>49880397</v>
      </c>
      <c r="L20" s="17"/>
      <c r="M20" s="16">
        <f t="shared" si="1"/>
        <v>617411186</v>
      </c>
    </row>
    <row r="21" spans="1:13">
      <c r="A21" s="278" t="str">
        <f>'Common Plant'!A22</f>
        <v>December</v>
      </c>
      <c r="C21" s="50">
        <v>311515882</v>
      </c>
      <c r="D21" s="51"/>
      <c r="E21" s="50">
        <v>102052237</v>
      </c>
      <c r="F21" s="51"/>
      <c r="G21" s="50">
        <v>144609703</v>
      </c>
      <c r="H21" s="17"/>
      <c r="I21" s="16">
        <v>11976436</v>
      </c>
      <c r="J21" s="17"/>
      <c r="K21" s="16">
        <v>50608059</v>
      </c>
      <c r="L21" s="17"/>
      <c r="M21" s="16">
        <f t="shared" si="1"/>
        <v>620762317</v>
      </c>
    </row>
    <row r="22" spans="1:13" ht="13.5" thickBot="1">
      <c r="A22" s="19" t="s">
        <v>22</v>
      </c>
      <c r="C22" s="20">
        <f>ROUND(AVERAGE(C9:C21),0)</f>
        <v>300449183</v>
      </c>
      <c r="D22" s="17"/>
      <c r="E22" s="20">
        <f>ROUND(AVERAGE(E9:E21),0)</f>
        <v>99796409</v>
      </c>
      <c r="F22" s="17"/>
      <c r="G22" s="20">
        <f>ROUND(AVERAGE(G9:G21),0)</f>
        <v>141260189</v>
      </c>
      <c r="H22" s="17"/>
      <c r="I22" s="20">
        <f>ROUND(AVERAGE(I9:I21),0)</f>
        <v>12928390</v>
      </c>
      <c r="J22" s="17"/>
      <c r="K22" s="20">
        <f>ROUND(AVERAGE(K9:K21),0)</f>
        <v>49524657</v>
      </c>
      <c r="L22" s="17"/>
      <c r="M22" s="20">
        <f>ROUND(AVERAGE(M9:M21),0)</f>
        <v>603958828</v>
      </c>
    </row>
    <row r="23" spans="1:13" ht="13.5" thickTop="1">
      <c r="A23" s="19"/>
    </row>
    <row r="24" spans="1:13">
      <c r="K24" s="55" t="s">
        <v>75</v>
      </c>
    </row>
    <row r="25" spans="1:13">
      <c r="A25" s="60" t="s">
        <v>65</v>
      </c>
      <c r="C25" s="10"/>
      <c r="D25" s="10"/>
      <c r="E25" s="10"/>
      <c r="F25" s="10"/>
      <c r="G25" s="10"/>
      <c r="H25" s="10"/>
      <c r="I25" s="10" t="s">
        <v>3</v>
      </c>
      <c r="J25" s="10"/>
      <c r="K25" s="10" t="s">
        <v>4</v>
      </c>
      <c r="L25" s="10"/>
      <c r="M25" s="10"/>
    </row>
    <row r="26" spans="1:13">
      <c r="A26" s="11" t="s">
        <v>72</v>
      </c>
      <c r="C26" s="12" t="s">
        <v>6</v>
      </c>
      <c r="D26" s="10"/>
      <c r="E26" s="12" t="s">
        <v>7</v>
      </c>
      <c r="F26" s="10"/>
      <c r="G26" s="12" t="s">
        <v>8</v>
      </c>
      <c r="H26" s="10"/>
      <c r="I26" s="12" t="s">
        <v>9</v>
      </c>
      <c r="J26" s="10"/>
      <c r="K26" s="12" t="s">
        <v>9</v>
      </c>
      <c r="L26" s="10"/>
      <c r="M26" s="12" t="s">
        <v>10</v>
      </c>
    </row>
    <row r="27" spans="1:13" ht="15" customHeight="1">
      <c r="A27" s="278" t="str">
        <f>A9</f>
        <v>December 2015</v>
      </c>
      <c r="C27" s="48">
        <v>6773089.9299999997</v>
      </c>
      <c r="D27" s="49"/>
      <c r="E27" s="48">
        <v>2718872</v>
      </c>
      <c r="F27" s="49"/>
      <c r="G27" s="48">
        <v>24613080</v>
      </c>
      <c r="H27" s="15"/>
      <c r="I27" s="14">
        <v>1298366</v>
      </c>
      <c r="J27" s="15"/>
      <c r="K27" s="14">
        <v>4203008</v>
      </c>
      <c r="L27" s="15"/>
      <c r="M27" s="14">
        <f t="shared" ref="M27" si="2">SUM(C27:L27)</f>
        <v>39606415.93</v>
      </c>
    </row>
    <row r="28" spans="1:13">
      <c r="A28" s="278" t="str">
        <f t="shared" ref="A28:A39" si="3">A10</f>
        <v>January 2016</v>
      </c>
      <c r="C28" s="50">
        <v>6881211.3699999992</v>
      </c>
      <c r="D28" s="51"/>
      <c r="E28" s="50">
        <v>2723352</v>
      </c>
      <c r="F28" s="51"/>
      <c r="G28" s="50">
        <v>24657286</v>
      </c>
      <c r="H28" s="17"/>
      <c r="I28" s="16">
        <v>1227293</v>
      </c>
      <c r="J28" s="17"/>
      <c r="K28" s="16">
        <v>3820825</v>
      </c>
      <c r="L28" s="17"/>
      <c r="M28" s="16">
        <f t="shared" ref="M28:M39" si="4">SUM(C28:L28)</f>
        <v>39309967.369999997</v>
      </c>
    </row>
    <row r="29" spans="1:13">
      <c r="A29" s="278" t="str">
        <f t="shared" si="3"/>
        <v>February</v>
      </c>
      <c r="C29" s="50">
        <v>6989332.8099999996</v>
      </c>
      <c r="D29" s="51"/>
      <c r="E29" s="50">
        <v>2727860</v>
      </c>
      <c r="F29" s="51"/>
      <c r="G29" s="50">
        <v>24748340</v>
      </c>
      <c r="H29" s="17"/>
      <c r="I29" s="16">
        <v>1238890</v>
      </c>
      <c r="J29" s="17"/>
      <c r="K29" s="16">
        <v>3851964</v>
      </c>
      <c r="L29" s="17"/>
      <c r="M29" s="16">
        <f t="shared" si="4"/>
        <v>39556386.810000002</v>
      </c>
    </row>
    <row r="30" spans="1:13">
      <c r="A30" s="278" t="str">
        <f t="shared" si="3"/>
        <v>March</v>
      </c>
      <c r="C30" s="50">
        <v>7097454.1300000008</v>
      </c>
      <c r="D30" s="51"/>
      <c r="E30" s="50">
        <v>2728382</v>
      </c>
      <c r="F30" s="51"/>
      <c r="G30" s="50">
        <v>24826001</v>
      </c>
      <c r="H30" s="17"/>
      <c r="I30" s="16">
        <v>1250625</v>
      </c>
      <c r="J30" s="17"/>
      <c r="K30" s="16">
        <v>3885893</v>
      </c>
      <c r="L30" s="17"/>
      <c r="M30" s="16">
        <f t="shared" si="4"/>
        <v>39788355.130000003</v>
      </c>
    </row>
    <row r="31" spans="1:13">
      <c r="A31" s="278" t="str">
        <f t="shared" si="3"/>
        <v>April</v>
      </c>
      <c r="C31" s="50">
        <v>7205575.4500000002</v>
      </c>
      <c r="D31" s="51"/>
      <c r="E31" s="50">
        <v>2729310</v>
      </c>
      <c r="F31" s="51"/>
      <c r="G31" s="50">
        <v>24924233</v>
      </c>
      <c r="H31" s="17"/>
      <c r="I31" s="16">
        <v>1267964</v>
      </c>
      <c r="J31" s="17"/>
      <c r="K31" s="16">
        <v>3900376</v>
      </c>
      <c r="L31" s="17"/>
      <c r="M31" s="16">
        <f t="shared" si="4"/>
        <v>40027458.450000003</v>
      </c>
    </row>
    <row r="32" spans="1:13">
      <c r="A32" s="278" t="str">
        <f t="shared" si="3"/>
        <v>May</v>
      </c>
      <c r="C32" s="50">
        <v>7313696.7700000005</v>
      </c>
      <c r="D32" s="51"/>
      <c r="E32" s="50">
        <v>2719899</v>
      </c>
      <c r="F32" s="51"/>
      <c r="G32" s="50">
        <v>25012200</v>
      </c>
      <c r="H32" s="17"/>
      <c r="I32" s="16">
        <v>1223489</v>
      </c>
      <c r="J32" s="17"/>
      <c r="K32" s="16">
        <v>3873061</v>
      </c>
      <c r="L32" s="17"/>
      <c r="M32" s="16">
        <f t="shared" si="4"/>
        <v>40142345.769999996</v>
      </c>
    </row>
    <row r="33" spans="1:13">
      <c r="A33" s="278" t="str">
        <f t="shared" si="3"/>
        <v>June</v>
      </c>
      <c r="C33" s="50">
        <v>6889437.8100000015</v>
      </c>
      <c r="D33" s="51"/>
      <c r="E33" s="50">
        <v>2715304</v>
      </c>
      <c r="F33" s="51"/>
      <c r="G33" s="50">
        <v>25114023</v>
      </c>
      <c r="H33" s="17"/>
      <c r="I33" s="16">
        <v>1236274</v>
      </c>
      <c r="J33" s="17"/>
      <c r="K33" s="16">
        <v>3909894</v>
      </c>
      <c r="L33" s="17"/>
      <c r="M33" s="16">
        <f t="shared" si="4"/>
        <v>39864932.810000002</v>
      </c>
    </row>
    <row r="34" spans="1:13">
      <c r="A34" s="278" t="str">
        <f t="shared" si="3"/>
        <v>July</v>
      </c>
      <c r="C34" s="50">
        <v>6996672.6199999992</v>
      </c>
      <c r="D34" s="51"/>
      <c r="E34" s="50">
        <v>2669331</v>
      </c>
      <c r="F34" s="51"/>
      <c r="G34" s="50">
        <v>25205908</v>
      </c>
      <c r="H34" s="17"/>
      <c r="I34" s="16">
        <v>1307437</v>
      </c>
      <c r="J34" s="17"/>
      <c r="K34" s="16">
        <v>3849011</v>
      </c>
      <c r="L34" s="17"/>
      <c r="M34" s="16">
        <f t="shared" si="4"/>
        <v>40028359.619999997</v>
      </c>
    </row>
    <row r="35" spans="1:13">
      <c r="A35" s="278" t="str">
        <f t="shared" si="3"/>
        <v>August</v>
      </c>
      <c r="C35" s="50">
        <v>7103907.4299999997</v>
      </c>
      <c r="D35" s="51"/>
      <c r="E35" s="50">
        <v>2667061</v>
      </c>
      <c r="F35" s="51"/>
      <c r="G35" s="50">
        <v>25286642</v>
      </c>
      <c r="H35" s="17"/>
      <c r="I35" s="16">
        <v>1315057</v>
      </c>
      <c r="J35" s="17"/>
      <c r="K35" s="16">
        <v>3880878</v>
      </c>
      <c r="L35" s="17"/>
      <c r="M35" s="16">
        <f t="shared" si="4"/>
        <v>40253545.43</v>
      </c>
    </row>
    <row r="36" spans="1:13">
      <c r="A36" s="278" t="str">
        <f t="shared" si="3"/>
        <v>September</v>
      </c>
      <c r="C36" s="50">
        <v>7211133.8900000006</v>
      </c>
      <c r="D36" s="51"/>
      <c r="E36" s="50">
        <v>2664836</v>
      </c>
      <c r="F36" s="51"/>
      <c r="G36" s="50">
        <v>25309336</v>
      </c>
      <c r="H36" s="17"/>
      <c r="I36" s="16">
        <v>1260651</v>
      </c>
      <c r="J36" s="17"/>
      <c r="K36" s="16">
        <v>3916001</v>
      </c>
      <c r="L36" s="17"/>
      <c r="M36" s="16">
        <f t="shared" si="4"/>
        <v>40361957.890000001</v>
      </c>
    </row>
    <row r="37" spans="1:13">
      <c r="A37" s="278" t="str">
        <f t="shared" si="3"/>
        <v>October</v>
      </c>
      <c r="C37" s="50">
        <v>7311041.3499999996</v>
      </c>
      <c r="D37" s="51"/>
      <c r="E37" s="50">
        <v>2573497</v>
      </c>
      <c r="F37" s="51"/>
      <c r="G37" s="50">
        <v>25388158</v>
      </c>
      <c r="H37" s="17"/>
      <c r="I37" s="16">
        <v>1272471</v>
      </c>
      <c r="J37" s="17"/>
      <c r="K37" s="16">
        <v>3948355</v>
      </c>
      <c r="L37" s="17"/>
      <c r="M37" s="16">
        <f t="shared" si="4"/>
        <v>40493522.350000001</v>
      </c>
    </row>
    <row r="38" spans="1:13">
      <c r="A38" s="278" t="str">
        <f t="shared" si="3"/>
        <v>November</v>
      </c>
      <c r="C38" s="50">
        <v>7433428.0000000009</v>
      </c>
      <c r="D38" s="51"/>
      <c r="E38" s="50">
        <v>2549916</v>
      </c>
      <c r="F38" s="51"/>
      <c r="G38" s="50">
        <v>25516788</v>
      </c>
      <c r="H38" s="17"/>
      <c r="I38" s="16">
        <v>1327058</v>
      </c>
      <c r="J38" s="17"/>
      <c r="K38" s="16">
        <v>3932367</v>
      </c>
      <c r="L38" s="17"/>
      <c r="M38" s="16">
        <f t="shared" si="4"/>
        <v>40759557</v>
      </c>
    </row>
    <row r="39" spans="1:13">
      <c r="A39" s="278" t="str">
        <f t="shared" si="3"/>
        <v>December</v>
      </c>
      <c r="C39" s="50">
        <v>7543596.7300000004</v>
      </c>
      <c r="D39" s="51"/>
      <c r="E39" s="50">
        <v>2703846</v>
      </c>
      <c r="F39" s="51"/>
      <c r="G39" s="50">
        <v>25647517</v>
      </c>
      <c r="H39" s="17"/>
      <c r="I39" s="16">
        <v>1320164</v>
      </c>
      <c r="J39" s="17"/>
      <c r="K39" s="16">
        <v>4076647</v>
      </c>
      <c r="L39" s="17"/>
      <c r="M39" s="16">
        <f t="shared" si="4"/>
        <v>41291770.730000004</v>
      </c>
    </row>
    <row r="40" spans="1:13" ht="13.5" thickBot="1">
      <c r="A40" s="19" t="s">
        <v>22</v>
      </c>
      <c r="C40" s="20">
        <f>ROUND(AVERAGE(C27:C39),0)</f>
        <v>7134583</v>
      </c>
      <c r="D40" s="17"/>
      <c r="E40" s="20">
        <f>ROUND(AVERAGE(E27:E39),0)</f>
        <v>2683959</v>
      </c>
      <c r="F40" s="17"/>
      <c r="G40" s="20">
        <f>ROUND(AVERAGE(G27:G39),0)</f>
        <v>25096116</v>
      </c>
      <c r="H40" s="17"/>
      <c r="I40" s="20">
        <f>ROUND(AVERAGE(I27:I39),0)</f>
        <v>1272749</v>
      </c>
      <c r="J40" s="17"/>
      <c r="K40" s="20">
        <f>ROUND(AVERAGE(K27:K39),0)</f>
        <v>3926791</v>
      </c>
      <c r="L40" s="17"/>
      <c r="M40" s="20">
        <f>ROUND(AVERAGE(M27:M39),0)</f>
        <v>40114198</v>
      </c>
    </row>
    <row r="41" spans="1:13" ht="13.5" thickTop="1">
      <c r="A41" s="19"/>
    </row>
    <row r="42" spans="1:13">
      <c r="A42" s="19"/>
      <c r="K42" s="55" t="s">
        <v>75</v>
      </c>
    </row>
    <row r="43" spans="1:13">
      <c r="A43" s="9" t="s">
        <v>2</v>
      </c>
      <c r="C43" s="10"/>
      <c r="D43" s="10"/>
      <c r="E43" s="10"/>
      <c r="F43" s="10"/>
      <c r="G43" s="10"/>
      <c r="H43" s="10"/>
      <c r="I43" s="10" t="s">
        <v>3</v>
      </c>
      <c r="J43" s="10"/>
      <c r="K43" s="10" t="s">
        <v>4</v>
      </c>
      <c r="L43" s="10"/>
      <c r="M43" s="10"/>
    </row>
    <row r="44" spans="1:13">
      <c r="A44" s="11" t="s">
        <v>5</v>
      </c>
      <c r="C44" s="12" t="s">
        <v>6</v>
      </c>
      <c r="D44" s="10"/>
      <c r="E44" s="12" t="s">
        <v>7</v>
      </c>
      <c r="F44" s="10"/>
      <c r="G44" s="12" t="s">
        <v>8</v>
      </c>
      <c r="H44" s="10"/>
      <c r="I44" s="12" t="s">
        <v>9</v>
      </c>
      <c r="J44" s="10"/>
      <c r="K44" s="12" t="s">
        <v>9</v>
      </c>
      <c r="L44" s="10"/>
      <c r="M44" s="12" t="s">
        <v>10</v>
      </c>
    </row>
    <row r="45" spans="1:13" ht="15" customHeight="1">
      <c r="A45" s="278" t="str">
        <f>A27</f>
        <v>December 2015</v>
      </c>
      <c r="C45" s="48">
        <f t="shared" ref="C45:C57" si="5">C9-C27</f>
        <v>284973354.06999999</v>
      </c>
      <c r="D45" s="49"/>
      <c r="E45" s="48">
        <f t="shared" ref="E45:E57" si="6">E9-E27</f>
        <v>94495153</v>
      </c>
      <c r="F45" s="49"/>
      <c r="G45" s="48">
        <f t="shared" ref="G45:G57" si="7">G9-G27</f>
        <v>113224892</v>
      </c>
      <c r="H45" s="15"/>
      <c r="I45" s="14">
        <f t="shared" ref="I45:I57" si="8">I9-I27</f>
        <v>12567598</v>
      </c>
      <c r="J45" s="15"/>
      <c r="K45" s="14">
        <f t="shared" ref="K45:K57" si="9">K9-K27</f>
        <v>43990759</v>
      </c>
      <c r="L45" s="15"/>
      <c r="M45" s="14">
        <f t="shared" ref="M45:M57" si="10">SUM(C45:L45)</f>
        <v>549251756.06999993</v>
      </c>
    </row>
    <row r="46" spans="1:13">
      <c r="A46" s="278" t="str">
        <f t="shared" ref="A46:A57" si="11">A28</f>
        <v>January 2016</v>
      </c>
      <c r="C46" s="50">
        <f t="shared" si="5"/>
        <v>286283899.63</v>
      </c>
      <c r="D46" s="51"/>
      <c r="E46" s="50">
        <f t="shared" si="6"/>
        <v>94793972</v>
      </c>
      <c r="F46" s="51"/>
      <c r="G46" s="50">
        <f t="shared" si="7"/>
        <v>113805685</v>
      </c>
      <c r="H46" s="17"/>
      <c r="I46" s="16">
        <f t="shared" si="8"/>
        <v>12886734</v>
      </c>
      <c r="J46" s="17"/>
      <c r="K46" s="16">
        <f t="shared" si="9"/>
        <v>44862489</v>
      </c>
      <c r="L46" s="17"/>
      <c r="M46" s="16">
        <f t="shared" si="10"/>
        <v>552632779.63</v>
      </c>
    </row>
    <row r="47" spans="1:13">
      <c r="A47" s="278" t="str">
        <f t="shared" si="11"/>
        <v>February</v>
      </c>
      <c r="C47" s="50">
        <f t="shared" si="5"/>
        <v>289110991.19</v>
      </c>
      <c r="D47" s="51"/>
      <c r="E47" s="50">
        <f t="shared" si="6"/>
        <v>95224310</v>
      </c>
      <c r="F47" s="51"/>
      <c r="G47" s="50">
        <f t="shared" si="7"/>
        <v>114348022</v>
      </c>
      <c r="H47" s="17"/>
      <c r="I47" s="16">
        <f t="shared" si="8"/>
        <v>12752967</v>
      </c>
      <c r="J47" s="17"/>
      <c r="K47" s="16">
        <f t="shared" si="9"/>
        <v>45209987</v>
      </c>
      <c r="L47" s="17"/>
      <c r="M47" s="16">
        <f t="shared" si="10"/>
        <v>556646277.19000006</v>
      </c>
    </row>
    <row r="48" spans="1:13">
      <c r="A48" s="278" t="str">
        <f t="shared" si="11"/>
        <v>March</v>
      </c>
      <c r="C48" s="50">
        <f t="shared" si="5"/>
        <v>291368145.87</v>
      </c>
      <c r="D48" s="51"/>
      <c r="E48" s="50">
        <f t="shared" si="6"/>
        <v>96364762</v>
      </c>
      <c r="F48" s="51"/>
      <c r="G48" s="50">
        <f t="shared" si="7"/>
        <v>114770116</v>
      </c>
      <c r="H48" s="17"/>
      <c r="I48" s="16">
        <f t="shared" si="8"/>
        <v>12658385</v>
      </c>
      <c r="J48" s="17"/>
      <c r="K48" s="16">
        <f t="shared" si="9"/>
        <v>45442801</v>
      </c>
      <c r="L48" s="17"/>
      <c r="M48" s="16">
        <f t="shared" si="10"/>
        <v>560604209.87</v>
      </c>
    </row>
    <row r="49" spans="1:13">
      <c r="A49" s="278" t="str">
        <f t="shared" si="11"/>
        <v>April</v>
      </c>
      <c r="C49" s="50">
        <f t="shared" si="5"/>
        <v>286577942.55000001</v>
      </c>
      <c r="D49" s="51"/>
      <c r="E49" s="50">
        <f t="shared" si="6"/>
        <v>96571312</v>
      </c>
      <c r="F49" s="51"/>
      <c r="G49" s="50">
        <f t="shared" si="7"/>
        <v>115263223</v>
      </c>
      <c r="H49" s="17"/>
      <c r="I49" s="16">
        <f t="shared" si="8"/>
        <v>12846220</v>
      </c>
      <c r="J49" s="17"/>
      <c r="K49" s="16">
        <f t="shared" si="9"/>
        <v>45711193</v>
      </c>
      <c r="L49" s="17"/>
      <c r="M49" s="16">
        <f t="shared" si="10"/>
        <v>556969890.54999995</v>
      </c>
    </row>
    <row r="50" spans="1:13">
      <c r="A50" s="278" t="str">
        <f t="shared" si="11"/>
        <v>May</v>
      </c>
      <c r="C50" s="50">
        <f t="shared" si="5"/>
        <v>289445762.23000002</v>
      </c>
      <c r="D50" s="51"/>
      <c r="E50" s="50">
        <f t="shared" si="6"/>
        <v>96878102</v>
      </c>
      <c r="F50" s="51"/>
      <c r="G50" s="50">
        <f t="shared" si="7"/>
        <v>115773231</v>
      </c>
      <c r="H50" s="17"/>
      <c r="I50" s="16">
        <f t="shared" si="8"/>
        <v>12131425</v>
      </c>
      <c r="J50" s="17"/>
      <c r="K50" s="16">
        <f t="shared" si="9"/>
        <v>45433642</v>
      </c>
      <c r="L50" s="17"/>
      <c r="M50" s="16">
        <f t="shared" si="10"/>
        <v>559662162.23000002</v>
      </c>
    </row>
    <row r="51" spans="1:13">
      <c r="A51" s="278" t="str">
        <f t="shared" si="11"/>
        <v>June</v>
      </c>
      <c r="C51" s="50">
        <f t="shared" si="5"/>
        <v>291244760.19</v>
      </c>
      <c r="D51" s="51"/>
      <c r="E51" s="50">
        <f t="shared" si="6"/>
        <v>97305060</v>
      </c>
      <c r="F51" s="51"/>
      <c r="G51" s="50">
        <f t="shared" si="7"/>
        <v>116153836</v>
      </c>
      <c r="H51" s="17"/>
      <c r="I51" s="16">
        <f t="shared" si="8"/>
        <v>12389208</v>
      </c>
      <c r="J51" s="17"/>
      <c r="K51" s="16">
        <f t="shared" si="9"/>
        <v>45238206</v>
      </c>
      <c r="L51" s="17"/>
      <c r="M51" s="16">
        <f t="shared" si="10"/>
        <v>562331070.19000006</v>
      </c>
    </row>
    <row r="52" spans="1:13">
      <c r="A52" s="278" t="str">
        <f t="shared" si="11"/>
        <v>July</v>
      </c>
      <c r="C52" s="50">
        <f t="shared" si="5"/>
        <v>293321134.38</v>
      </c>
      <c r="D52" s="51"/>
      <c r="E52" s="50">
        <f t="shared" si="6"/>
        <v>97576136</v>
      </c>
      <c r="F52" s="51"/>
      <c r="G52" s="50">
        <f t="shared" si="7"/>
        <v>116668267</v>
      </c>
      <c r="H52" s="17"/>
      <c r="I52" s="16">
        <f t="shared" si="8"/>
        <v>10361383</v>
      </c>
      <c r="J52" s="17"/>
      <c r="K52" s="16">
        <f t="shared" si="9"/>
        <v>44961735</v>
      </c>
      <c r="L52" s="17"/>
      <c r="M52" s="16">
        <f t="shared" si="10"/>
        <v>562888655.38</v>
      </c>
    </row>
    <row r="53" spans="1:13">
      <c r="A53" s="278" t="str">
        <f t="shared" si="11"/>
        <v>August</v>
      </c>
      <c r="C53" s="50">
        <f t="shared" si="5"/>
        <v>295723056.56999999</v>
      </c>
      <c r="D53" s="51"/>
      <c r="E53" s="50">
        <f t="shared" si="6"/>
        <v>97970087</v>
      </c>
      <c r="F53" s="51"/>
      <c r="G53" s="50">
        <f t="shared" si="7"/>
        <v>117153663</v>
      </c>
      <c r="H53" s="17"/>
      <c r="I53" s="16">
        <f t="shared" si="8"/>
        <v>10488440</v>
      </c>
      <c r="J53" s="17"/>
      <c r="K53" s="16">
        <f t="shared" si="9"/>
        <v>45988508</v>
      </c>
      <c r="L53" s="17"/>
      <c r="M53" s="16">
        <f t="shared" si="10"/>
        <v>567323754.56999993</v>
      </c>
    </row>
    <row r="54" spans="1:13">
      <c r="A54" s="278" t="str">
        <f t="shared" si="11"/>
        <v>September</v>
      </c>
      <c r="C54" s="50">
        <f t="shared" si="5"/>
        <v>298100689.11000001</v>
      </c>
      <c r="D54" s="51"/>
      <c r="E54" s="50">
        <f t="shared" si="6"/>
        <v>98329773</v>
      </c>
      <c r="F54" s="51"/>
      <c r="G54" s="50">
        <f t="shared" si="7"/>
        <v>117602318</v>
      </c>
      <c r="H54" s="17"/>
      <c r="I54" s="16">
        <f t="shared" si="8"/>
        <v>10543583</v>
      </c>
      <c r="J54" s="17"/>
      <c r="K54" s="16">
        <f t="shared" si="9"/>
        <v>46558702</v>
      </c>
      <c r="L54" s="17"/>
      <c r="M54" s="16">
        <f t="shared" si="10"/>
        <v>571135065.11000001</v>
      </c>
    </row>
    <row r="55" spans="1:13">
      <c r="A55" s="278" t="str">
        <f t="shared" si="11"/>
        <v>October</v>
      </c>
      <c r="C55" s="50">
        <f t="shared" si="5"/>
        <v>300316993.64999998</v>
      </c>
      <c r="D55" s="51"/>
      <c r="E55" s="50">
        <f t="shared" si="6"/>
        <v>98672651</v>
      </c>
      <c r="F55" s="51"/>
      <c r="G55" s="50">
        <f t="shared" si="7"/>
        <v>117984239</v>
      </c>
      <c r="H55" s="17"/>
      <c r="I55" s="16">
        <f t="shared" si="8"/>
        <v>10543702</v>
      </c>
      <c r="J55" s="17"/>
      <c r="K55" s="16">
        <f t="shared" si="9"/>
        <v>46894801</v>
      </c>
      <c r="L55" s="17"/>
      <c r="M55" s="16">
        <f t="shared" si="10"/>
        <v>574412386.64999998</v>
      </c>
    </row>
    <row r="56" spans="1:13">
      <c r="A56" s="278" t="str">
        <f t="shared" si="11"/>
        <v>November</v>
      </c>
      <c r="C56" s="50">
        <f t="shared" si="5"/>
        <v>302650785</v>
      </c>
      <c r="D56" s="51"/>
      <c r="E56" s="50">
        <f t="shared" si="6"/>
        <v>98932144</v>
      </c>
      <c r="F56" s="51"/>
      <c r="G56" s="50">
        <f t="shared" si="7"/>
        <v>118423261</v>
      </c>
      <c r="H56" s="17"/>
      <c r="I56" s="16">
        <f t="shared" si="8"/>
        <v>10697409</v>
      </c>
      <c r="J56" s="17"/>
      <c r="K56" s="16">
        <f t="shared" si="9"/>
        <v>45948030</v>
      </c>
      <c r="L56" s="17"/>
      <c r="M56" s="16">
        <f t="shared" si="10"/>
        <v>576651629</v>
      </c>
    </row>
    <row r="57" spans="1:13">
      <c r="A57" s="278" t="str">
        <f t="shared" si="11"/>
        <v>December</v>
      </c>
      <c r="C57" s="50">
        <f t="shared" si="5"/>
        <v>303972285.26999998</v>
      </c>
      <c r="D57" s="51"/>
      <c r="E57" s="50">
        <f t="shared" si="6"/>
        <v>99348391</v>
      </c>
      <c r="F57" s="51"/>
      <c r="G57" s="50">
        <f t="shared" si="7"/>
        <v>118962186</v>
      </c>
      <c r="H57" s="17"/>
      <c r="I57" s="16">
        <f t="shared" si="8"/>
        <v>10656272</v>
      </c>
      <c r="J57" s="17"/>
      <c r="K57" s="16">
        <f t="shared" si="9"/>
        <v>46531412</v>
      </c>
      <c r="L57" s="17"/>
      <c r="M57" s="16">
        <f t="shared" si="10"/>
        <v>579470546.26999998</v>
      </c>
    </row>
    <row r="58" spans="1:13" ht="13.5" thickBot="1">
      <c r="A58" s="19" t="s">
        <v>22</v>
      </c>
      <c r="C58" s="20">
        <f>ROUND(AVERAGE(C45:C57),0)</f>
        <v>293314600</v>
      </c>
      <c r="D58" s="17"/>
      <c r="E58" s="20">
        <f>ROUND(AVERAGE(E45:E57),0)</f>
        <v>97112450</v>
      </c>
      <c r="F58" s="17"/>
      <c r="G58" s="20">
        <f>ROUND(AVERAGE(G45:G57),0)</f>
        <v>116164072</v>
      </c>
      <c r="H58" s="17"/>
      <c r="I58" s="20">
        <f>ROUND(AVERAGE(I45:I57),0)</f>
        <v>11655640</v>
      </c>
      <c r="J58" s="17"/>
      <c r="K58" s="20">
        <f>ROUND(AVERAGE(K45:K57),0)</f>
        <v>45597867</v>
      </c>
      <c r="L58" s="17"/>
      <c r="M58" s="20">
        <f>ROUND(AVERAGE(M45:M57),0)</f>
        <v>563844629</v>
      </c>
    </row>
    <row r="59" spans="1:13" ht="13.5" thickTop="1"/>
    <row r="60" spans="1:13">
      <c r="A60" s="262" t="s">
        <v>334</v>
      </c>
    </row>
    <row r="61" spans="1:13">
      <c r="A61" s="304" t="s">
        <v>354</v>
      </c>
    </row>
    <row r="62" spans="1:13">
      <c r="A62" s="272"/>
    </row>
    <row r="63" spans="1:13">
      <c r="A63" s="272"/>
    </row>
  </sheetData>
  <printOptions horizontalCentered="1"/>
  <pageMargins left="0.17" right="0.17" top="0.75" bottom="0.54" header="0.3" footer="0.17"/>
  <pageSetup scale="87" orientation="portrait" r:id="rId1"/>
  <headerFooter>
    <oddFooter>&amp;C&amp;F -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/>
  </sheetViews>
  <sheetFormatPr defaultRowHeight="12.75"/>
  <cols>
    <col min="1" max="1" width="15.7109375" style="21" customWidth="1"/>
    <col min="2" max="2" width="2.7109375" style="8" customWidth="1"/>
    <col min="3" max="3" width="15.5703125" style="8" bestFit="1" customWidth="1"/>
    <col min="4" max="4" width="2.7109375" style="18" customWidth="1"/>
    <col min="5" max="5" width="15.140625" style="8" bestFit="1" customWidth="1"/>
    <col min="6" max="6" width="2.7109375" style="18" customWidth="1"/>
    <col min="7" max="7" width="12.7109375" style="8" customWidth="1"/>
    <col min="8" max="16384" width="9.140625" style="8"/>
  </cols>
  <sheetData>
    <row r="1" spans="1:7">
      <c r="A1" s="5" t="s">
        <v>0</v>
      </c>
      <c r="B1" s="6"/>
      <c r="C1" s="6"/>
      <c r="D1" s="7"/>
      <c r="E1" s="6"/>
      <c r="F1" s="7"/>
      <c r="G1" s="6"/>
    </row>
    <row r="2" spans="1:7">
      <c r="A2" s="5" t="str">
        <f>'Reconcile FF1 to Juris-Plt'!A2</f>
        <v>MISO Attachment O Annual True-up</v>
      </c>
      <c r="B2" s="6"/>
      <c r="C2" s="6"/>
      <c r="D2" s="7"/>
      <c r="E2" s="6"/>
      <c r="F2" s="7"/>
      <c r="G2" s="6"/>
    </row>
    <row r="3" spans="1:7">
      <c r="A3" s="5" t="s">
        <v>84</v>
      </c>
      <c r="B3" s="6"/>
      <c r="C3" s="6"/>
      <c r="D3" s="7"/>
      <c r="E3" s="6"/>
      <c r="F3" s="7"/>
      <c r="G3" s="6"/>
    </row>
    <row r="4" spans="1:7">
      <c r="A4" s="5" t="str">
        <f>'Plant in Service'!A4</f>
        <v>Thirteen Months Ended December 31, 2016</v>
      </c>
      <c r="B4" s="6"/>
      <c r="C4" s="6"/>
      <c r="D4" s="7"/>
      <c r="E4" s="6"/>
      <c r="F4" s="7"/>
      <c r="G4" s="6"/>
    </row>
    <row r="7" spans="1:7">
      <c r="A7" s="60" t="s">
        <v>10</v>
      </c>
      <c r="D7" s="8"/>
      <c r="E7" s="10" t="s">
        <v>24</v>
      </c>
      <c r="G7" s="10" t="s">
        <v>10</v>
      </c>
    </row>
    <row r="8" spans="1:7">
      <c r="A8" s="57" t="s">
        <v>78</v>
      </c>
      <c r="C8" s="12" t="s">
        <v>24</v>
      </c>
      <c r="D8" s="8"/>
      <c r="E8" s="12" t="s">
        <v>9</v>
      </c>
      <c r="G8" s="12" t="s">
        <v>24</v>
      </c>
    </row>
    <row r="9" spans="1:7">
      <c r="A9" s="13" t="str">
        <f>'Plant in Service'!A9</f>
        <v>December 2015</v>
      </c>
      <c r="C9" s="48">
        <v>12131435</v>
      </c>
      <c r="D9" s="48"/>
      <c r="E9" s="354">
        <v>1734529.3800000001</v>
      </c>
      <c r="F9" s="49"/>
      <c r="G9" s="48">
        <f>ROUND(SUM(C9:E9),0)</f>
        <v>13865964</v>
      </c>
    </row>
    <row r="10" spans="1:7">
      <c r="A10" s="13" t="str">
        <f>'Plant in Service'!A10</f>
        <v>January 2016</v>
      </c>
      <c r="C10" s="50">
        <v>12351384</v>
      </c>
      <c r="D10" s="21"/>
      <c r="E10" s="305">
        <v>1762643.15</v>
      </c>
      <c r="F10" s="51"/>
      <c r="G10" s="50">
        <f>ROUND(SUM(C10:E10),0)</f>
        <v>14114027</v>
      </c>
    </row>
    <row r="11" spans="1:7">
      <c r="A11" s="13" t="s">
        <v>11</v>
      </c>
      <c r="C11" s="50">
        <v>12201174</v>
      </c>
      <c r="D11" s="21"/>
      <c r="E11" s="305">
        <v>1790682.9500000002</v>
      </c>
      <c r="F11" s="51"/>
      <c r="G11" s="50">
        <f t="shared" ref="G11:G21" si="0">ROUND(SUM(C11:E11),0)</f>
        <v>13991857</v>
      </c>
    </row>
    <row r="12" spans="1:7">
      <c r="A12" s="13" t="s">
        <v>12</v>
      </c>
      <c r="C12" s="50">
        <v>12091935</v>
      </c>
      <c r="D12" s="21"/>
      <c r="E12" s="305">
        <v>1817075.0100000002</v>
      </c>
      <c r="F12" s="51"/>
      <c r="G12" s="50">
        <f t="shared" si="0"/>
        <v>13909010</v>
      </c>
    </row>
    <row r="13" spans="1:7">
      <c r="A13" s="13" t="s">
        <v>13</v>
      </c>
      <c r="C13" s="50">
        <v>12272034</v>
      </c>
      <c r="D13" s="21"/>
      <c r="E13" s="305">
        <v>1842149.85</v>
      </c>
      <c r="F13" s="51"/>
      <c r="G13" s="50">
        <f t="shared" si="0"/>
        <v>14114184</v>
      </c>
    </row>
    <row r="14" spans="1:7">
      <c r="A14" s="13" t="s">
        <v>14</v>
      </c>
      <c r="C14" s="50">
        <v>11486394</v>
      </c>
      <c r="D14" s="21"/>
      <c r="E14" s="305">
        <v>1868520.47</v>
      </c>
      <c r="F14" s="51"/>
      <c r="G14" s="50">
        <f t="shared" si="0"/>
        <v>13354914</v>
      </c>
    </row>
    <row r="15" spans="1:7">
      <c r="A15" s="13" t="s">
        <v>15</v>
      </c>
      <c r="C15" s="50">
        <v>11730558</v>
      </c>
      <c r="D15" s="21"/>
      <c r="E15" s="305">
        <v>1894923.7700000003</v>
      </c>
      <c r="F15" s="51"/>
      <c r="G15" s="50">
        <f t="shared" si="0"/>
        <v>13625482</v>
      </c>
    </row>
    <row r="16" spans="1:7">
      <c r="A16" s="13" t="s">
        <v>16</v>
      </c>
      <c r="C16" s="50">
        <v>9746944</v>
      </c>
      <c r="D16" s="21"/>
      <c r="E16" s="305">
        <v>1921876.4000000001</v>
      </c>
      <c r="F16" s="51"/>
      <c r="G16" s="50">
        <f t="shared" si="0"/>
        <v>11668820</v>
      </c>
    </row>
    <row r="17" spans="1:7">
      <c r="A17" s="13" t="s">
        <v>17</v>
      </c>
      <c r="C17" s="50">
        <v>9854666</v>
      </c>
      <c r="D17" s="21"/>
      <c r="E17" s="305">
        <v>1948830.9100000004</v>
      </c>
      <c r="F17" s="51"/>
      <c r="G17" s="50">
        <f t="shared" si="0"/>
        <v>11803497</v>
      </c>
    </row>
    <row r="18" spans="1:7">
      <c r="A18" s="13" t="s">
        <v>18</v>
      </c>
      <c r="C18" s="50">
        <v>9828448</v>
      </c>
      <c r="D18" s="21"/>
      <c r="E18" s="305">
        <v>1975785.57</v>
      </c>
      <c r="F18" s="51"/>
      <c r="G18" s="50">
        <f t="shared" si="0"/>
        <v>11804234</v>
      </c>
    </row>
    <row r="19" spans="1:7">
      <c r="A19" s="13" t="s">
        <v>19</v>
      </c>
      <c r="C19" s="50">
        <v>9813433</v>
      </c>
      <c r="D19" s="21"/>
      <c r="E19" s="305">
        <v>2002740.2200000004</v>
      </c>
      <c r="F19" s="51"/>
      <c r="G19" s="50">
        <f t="shared" si="0"/>
        <v>11816173</v>
      </c>
    </row>
    <row r="20" spans="1:7">
      <c r="A20" s="13" t="s">
        <v>20</v>
      </c>
      <c r="C20" s="50">
        <v>9994774</v>
      </c>
      <c r="D20" s="21"/>
      <c r="E20" s="305">
        <v>2029692.4999999998</v>
      </c>
      <c r="F20" s="51"/>
      <c r="G20" s="50">
        <f t="shared" si="0"/>
        <v>12024467</v>
      </c>
    </row>
    <row r="21" spans="1:7">
      <c r="A21" s="13" t="s">
        <v>21</v>
      </c>
      <c r="C21" s="50">
        <v>9919828</v>
      </c>
      <c r="D21" s="21"/>
      <c r="E21" s="305">
        <v>2056607.95</v>
      </c>
      <c r="F21" s="51"/>
      <c r="G21" s="50">
        <f t="shared" si="0"/>
        <v>11976436</v>
      </c>
    </row>
    <row r="24" spans="1:7">
      <c r="A24" s="60" t="s">
        <v>65</v>
      </c>
      <c r="D24" s="8"/>
      <c r="E24" s="10" t="s">
        <v>24</v>
      </c>
      <c r="G24" s="10" t="s">
        <v>10</v>
      </c>
    </row>
    <row r="25" spans="1:7">
      <c r="A25" s="11" t="s">
        <v>72</v>
      </c>
      <c r="C25" s="12" t="s">
        <v>24</v>
      </c>
      <c r="D25" s="8"/>
      <c r="E25" s="12" t="s">
        <v>9</v>
      </c>
      <c r="G25" s="12" t="s">
        <v>24</v>
      </c>
    </row>
    <row r="26" spans="1:7">
      <c r="A26" s="13" t="str">
        <f>A9</f>
        <v>December 2015</v>
      </c>
      <c r="C26" s="50">
        <v>1131528</v>
      </c>
      <c r="D26" s="21"/>
      <c r="E26" s="305">
        <v>166838.34000000003</v>
      </c>
      <c r="F26" s="51"/>
      <c r="G26" s="50">
        <f>ROUND(E26,0)+C26</f>
        <v>1298366</v>
      </c>
    </row>
    <row r="27" spans="1:7">
      <c r="A27" s="13" t="str">
        <f>A10</f>
        <v>January 2016</v>
      </c>
      <c r="C27" s="50">
        <v>1094829</v>
      </c>
      <c r="D27" s="21"/>
      <c r="E27" s="305">
        <v>132463.92000000001</v>
      </c>
      <c r="F27" s="51"/>
      <c r="G27" s="50">
        <f>ROUND(E27,0)+C27</f>
        <v>1227293</v>
      </c>
    </row>
    <row r="28" spans="1:7">
      <c r="A28" s="13" t="s">
        <v>11</v>
      </c>
      <c r="C28" s="50">
        <v>1104771</v>
      </c>
      <c r="D28" s="21"/>
      <c r="E28" s="305">
        <v>134118.9</v>
      </c>
      <c r="F28" s="51"/>
      <c r="G28" s="50">
        <f t="shared" ref="G28:G38" si="1">ROUND(E28,0)+C28</f>
        <v>1238890</v>
      </c>
    </row>
    <row r="29" spans="1:7">
      <c r="A29" s="13" t="s">
        <v>12</v>
      </c>
      <c r="C29" s="50">
        <v>1114564</v>
      </c>
      <c r="D29" s="21"/>
      <c r="E29" s="305">
        <v>136061.18</v>
      </c>
      <c r="F29" s="51"/>
      <c r="G29" s="50">
        <f t="shared" si="1"/>
        <v>1250625</v>
      </c>
    </row>
    <row r="30" spans="1:7">
      <c r="A30" s="13" t="s">
        <v>13</v>
      </c>
      <c r="C30" s="50">
        <v>1130055</v>
      </c>
      <c r="D30" s="21"/>
      <c r="E30" s="305">
        <v>137908.57</v>
      </c>
      <c r="F30" s="51"/>
      <c r="G30" s="50">
        <f t="shared" si="1"/>
        <v>1267964</v>
      </c>
    </row>
    <row r="31" spans="1:7">
      <c r="A31" s="13" t="s">
        <v>14</v>
      </c>
      <c r="C31" s="50">
        <v>1083640</v>
      </c>
      <c r="D31" s="21"/>
      <c r="E31" s="305">
        <v>139849.30000000002</v>
      </c>
      <c r="F31" s="51"/>
      <c r="G31" s="50">
        <f t="shared" si="1"/>
        <v>1223489</v>
      </c>
    </row>
    <row r="32" spans="1:7">
      <c r="A32" s="13" t="s">
        <v>15</v>
      </c>
      <c r="C32" s="50">
        <v>1094482</v>
      </c>
      <c r="D32" s="21"/>
      <c r="E32" s="305">
        <v>141792.4</v>
      </c>
      <c r="F32" s="51"/>
      <c r="G32" s="50">
        <f t="shared" si="1"/>
        <v>1236274</v>
      </c>
    </row>
    <row r="33" spans="1:7">
      <c r="A33" s="13" t="s">
        <v>16</v>
      </c>
      <c r="C33" s="50">
        <v>1163696</v>
      </c>
      <c r="D33" s="21"/>
      <c r="E33" s="305">
        <v>143741.31</v>
      </c>
      <c r="F33" s="51"/>
      <c r="G33" s="50">
        <f t="shared" si="1"/>
        <v>1307437</v>
      </c>
    </row>
    <row r="34" spans="1:7">
      <c r="A34" s="13" t="s">
        <v>17</v>
      </c>
      <c r="C34" s="50">
        <v>1169367</v>
      </c>
      <c r="D34" s="21"/>
      <c r="E34" s="305">
        <v>145690.25</v>
      </c>
      <c r="F34" s="51"/>
      <c r="G34" s="50">
        <f t="shared" si="1"/>
        <v>1315057</v>
      </c>
    </row>
    <row r="35" spans="1:7">
      <c r="A35" s="13" t="s">
        <v>18</v>
      </c>
      <c r="C35" s="50">
        <v>1113012</v>
      </c>
      <c r="D35" s="21"/>
      <c r="E35" s="305">
        <v>147639.21000000005</v>
      </c>
      <c r="F35" s="51"/>
      <c r="G35" s="50">
        <f t="shared" si="1"/>
        <v>1260651</v>
      </c>
    </row>
    <row r="36" spans="1:7">
      <c r="A36" s="13" t="s">
        <v>19</v>
      </c>
      <c r="C36" s="50">
        <v>1122883</v>
      </c>
      <c r="D36" s="21"/>
      <c r="E36" s="305">
        <v>149588.18</v>
      </c>
      <c r="F36" s="51"/>
      <c r="G36" s="50">
        <f t="shared" si="1"/>
        <v>1272471</v>
      </c>
    </row>
    <row r="37" spans="1:7">
      <c r="A37" s="13" t="s">
        <v>20</v>
      </c>
      <c r="C37" s="50">
        <v>1175521</v>
      </c>
      <c r="D37" s="21"/>
      <c r="E37" s="305">
        <v>151537.16</v>
      </c>
      <c r="F37" s="51"/>
      <c r="G37" s="50">
        <f t="shared" si="1"/>
        <v>1327058</v>
      </c>
    </row>
    <row r="38" spans="1:7">
      <c r="A38" s="13" t="s">
        <v>21</v>
      </c>
      <c r="C38" s="50">
        <v>1166681</v>
      </c>
      <c r="D38" s="21"/>
      <c r="E38" s="305">
        <v>153483.49</v>
      </c>
      <c r="F38" s="51"/>
      <c r="G38" s="50">
        <f t="shared" si="1"/>
        <v>1320164</v>
      </c>
    </row>
    <row r="39" spans="1:7">
      <c r="A39" s="13"/>
      <c r="C39" s="50"/>
      <c r="D39" s="21"/>
      <c r="E39" s="50"/>
      <c r="F39" s="51"/>
      <c r="G39" s="50"/>
    </row>
    <row r="40" spans="1:7">
      <c r="A40" s="13"/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workbookViewId="0"/>
  </sheetViews>
  <sheetFormatPr defaultRowHeight="12.75"/>
  <cols>
    <col min="1" max="2" width="2.7109375" style="62" customWidth="1"/>
    <col min="3" max="3" width="20.85546875" style="62" customWidth="1"/>
    <col min="4" max="4" width="2.7109375" style="62" customWidth="1"/>
    <col min="5" max="5" width="11.7109375" style="63" bestFit="1" customWidth="1"/>
    <col min="6" max="6" width="2.7109375" style="63" customWidth="1"/>
    <col min="7" max="7" width="13.42578125" style="63" bestFit="1" customWidth="1"/>
    <col min="8" max="8" width="2.7109375" style="63" customWidth="1"/>
    <col min="9" max="9" width="11.85546875" style="63" bestFit="1" customWidth="1"/>
    <col min="10" max="10" width="2.7109375" style="63" customWidth="1"/>
    <col min="11" max="11" width="10.85546875" style="63" bestFit="1" customWidth="1"/>
    <col min="12" max="12" width="2.7109375" style="63" customWidth="1"/>
    <col min="13" max="13" width="10.85546875" style="63" bestFit="1" customWidth="1"/>
    <col min="14" max="14" width="2.7109375" style="63" customWidth="1"/>
    <col min="15" max="15" width="10.85546875" style="63" bestFit="1" customWidth="1"/>
    <col min="16" max="16384" width="9.140625" style="62"/>
  </cols>
  <sheetData>
    <row r="1" spans="1:15">
      <c r="A1" s="4" t="s">
        <v>0</v>
      </c>
      <c r="B1" s="4"/>
      <c r="C1" s="4"/>
      <c r="D1" s="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>
      <c r="A2" s="4" t="s">
        <v>60</v>
      </c>
      <c r="B2" s="4"/>
      <c r="C2" s="4"/>
      <c r="D2" s="4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>
      <c r="A3" s="4" t="s">
        <v>99</v>
      </c>
      <c r="B3" s="4"/>
      <c r="C3" s="4"/>
      <c r="D3" s="4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>
      <c r="A4" s="4" t="s">
        <v>31</v>
      </c>
      <c r="B4" s="4"/>
      <c r="C4" s="4"/>
      <c r="D4" s="4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>
      <c r="A5" s="4" t="str">
        <f>'Recon FF1 to Juris Acc Res'!A5</f>
        <v>Twelve Months Ended December 31, 2016</v>
      </c>
      <c r="B5" s="4"/>
      <c r="C5" s="4"/>
      <c r="D5" s="4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7" spans="1:15">
      <c r="E7" s="68"/>
      <c r="G7" s="68"/>
      <c r="I7" s="68" t="s">
        <v>61</v>
      </c>
      <c r="K7" s="68" t="s">
        <v>62</v>
      </c>
      <c r="M7" s="68"/>
      <c r="O7" s="68"/>
    </row>
    <row r="8" spans="1:15">
      <c r="E8" s="70" t="s">
        <v>10</v>
      </c>
      <c r="G8" s="70" t="s">
        <v>63</v>
      </c>
      <c r="I8" s="70" t="s">
        <v>64</v>
      </c>
      <c r="K8" s="70" t="s">
        <v>64</v>
      </c>
      <c r="M8" s="70" t="s">
        <v>65</v>
      </c>
      <c r="O8" s="70" t="s">
        <v>66</v>
      </c>
    </row>
    <row r="9" spans="1:15">
      <c r="A9" s="158" t="s">
        <v>184</v>
      </c>
    </row>
    <row r="10" spans="1:15">
      <c r="B10" s="62" t="s">
        <v>23</v>
      </c>
      <c r="E10" s="62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5">
      <c r="C11" s="62" t="s">
        <v>25</v>
      </c>
      <c r="E11" s="79">
        <f>SUM(G11:M11)</f>
        <v>16659553</v>
      </c>
      <c r="F11" s="79"/>
      <c r="G11" s="288">
        <v>3524176</v>
      </c>
      <c r="H11" s="288"/>
      <c r="I11" s="288">
        <v>10969754</v>
      </c>
      <c r="J11" s="288"/>
      <c r="K11" s="288">
        <v>671524</v>
      </c>
      <c r="L11" s="288"/>
      <c r="M11" s="288">
        <v>1494099</v>
      </c>
      <c r="N11" s="288"/>
      <c r="O11" s="288"/>
    </row>
    <row r="12" spans="1:15">
      <c r="C12" s="62" t="s">
        <v>67</v>
      </c>
      <c r="E12" s="63">
        <f>SUM(G12:M12)</f>
        <v>12679633</v>
      </c>
      <c r="F12" s="80"/>
      <c r="G12" s="289">
        <v>2513052</v>
      </c>
      <c r="H12" s="289"/>
      <c r="I12" s="289">
        <v>8513568</v>
      </c>
      <c r="J12" s="289"/>
      <c r="K12" s="289">
        <v>649110</v>
      </c>
      <c r="L12" s="289"/>
      <c r="M12" s="289">
        <v>1003903</v>
      </c>
      <c r="N12" s="289"/>
      <c r="O12" s="289"/>
    </row>
    <row r="13" spans="1:15">
      <c r="B13" s="62" t="s">
        <v>68</v>
      </c>
      <c r="E13" s="62"/>
      <c r="G13" s="290"/>
      <c r="H13" s="290"/>
      <c r="I13" s="290"/>
      <c r="J13" s="290"/>
      <c r="K13" s="290"/>
      <c r="L13" s="290"/>
      <c r="M13" s="290"/>
      <c r="N13" s="290"/>
      <c r="O13" s="290"/>
    </row>
    <row r="14" spans="1:15">
      <c r="C14" s="62" t="s">
        <v>25</v>
      </c>
      <c r="E14" s="63">
        <f>SUM(G14:M14)</f>
        <v>8973747</v>
      </c>
      <c r="G14" s="290">
        <v>2380796</v>
      </c>
      <c r="H14" s="290"/>
      <c r="I14" s="290">
        <v>4597411</v>
      </c>
      <c r="J14" s="290"/>
      <c r="K14" s="290">
        <v>1205303</v>
      </c>
      <c r="L14" s="290"/>
      <c r="M14" s="290">
        <v>790237</v>
      </c>
      <c r="N14" s="290"/>
      <c r="O14" s="290"/>
    </row>
    <row r="15" spans="1:15">
      <c r="C15" s="62" t="s">
        <v>67</v>
      </c>
      <c r="E15" s="63">
        <f>SUM(G15:M15)</f>
        <v>11584636</v>
      </c>
      <c r="G15" s="290">
        <v>3105084</v>
      </c>
      <c r="H15" s="290"/>
      <c r="I15" s="290">
        <v>5222915</v>
      </c>
      <c r="J15" s="290"/>
      <c r="K15" s="290">
        <v>2475142</v>
      </c>
      <c r="L15" s="290"/>
      <c r="M15" s="290">
        <v>781495</v>
      </c>
      <c r="N15" s="290"/>
      <c r="O15" s="290"/>
    </row>
    <row r="16" spans="1:15">
      <c r="B16" s="62" t="s">
        <v>26</v>
      </c>
      <c r="E16" s="62"/>
      <c r="G16" s="290"/>
      <c r="H16" s="290"/>
      <c r="I16" s="290"/>
      <c r="J16" s="290"/>
      <c r="K16" s="290"/>
      <c r="L16" s="290"/>
      <c r="M16" s="290"/>
      <c r="N16" s="290"/>
      <c r="O16" s="290"/>
    </row>
    <row r="17" spans="1:16">
      <c r="C17" s="62" t="s">
        <v>25</v>
      </c>
      <c r="E17" s="63">
        <f>SUM(G17:O17)</f>
        <v>542668</v>
      </c>
      <c r="G17" s="290"/>
      <c r="H17" s="290"/>
      <c r="I17" s="290"/>
      <c r="J17" s="290"/>
      <c r="K17" s="290"/>
      <c r="L17" s="290"/>
      <c r="M17" s="290"/>
      <c r="N17" s="290"/>
      <c r="O17" s="290">
        <v>542668</v>
      </c>
    </row>
    <row r="18" spans="1:16" s="75" customFormat="1">
      <c r="A18" s="62"/>
      <c r="B18" s="62"/>
      <c r="C18" s="62" t="s">
        <v>67</v>
      </c>
      <c r="D18" s="62"/>
      <c r="E18" s="63">
        <f>SUM(G18:O18)</f>
        <v>449058</v>
      </c>
      <c r="F18" s="63"/>
      <c r="G18" s="290"/>
      <c r="H18" s="290"/>
      <c r="I18" s="290"/>
      <c r="J18" s="290"/>
      <c r="K18" s="290"/>
      <c r="L18" s="290"/>
      <c r="M18" s="290"/>
      <c r="N18" s="290"/>
      <c r="O18" s="290">
        <v>449058</v>
      </c>
      <c r="P18" s="62"/>
    </row>
    <row r="19" spans="1:16" s="75" customFormat="1">
      <c r="A19" s="62"/>
      <c r="B19" s="62"/>
      <c r="C19" s="62"/>
      <c r="D19" s="62"/>
      <c r="E19" s="72">
        <f>SUM(E11:E18)</f>
        <v>50889295</v>
      </c>
      <c r="F19" s="63"/>
      <c r="G19" s="72">
        <f>SUM(G11:G18)</f>
        <v>11523108</v>
      </c>
      <c r="H19" s="63"/>
      <c r="I19" s="72">
        <f>SUM(I11:I18)</f>
        <v>29303648</v>
      </c>
      <c r="J19" s="63"/>
      <c r="K19" s="72">
        <f>SUM(K11:K18)</f>
        <v>5001079</v>
      </c>
      <c r="L19" s="63"/>
      <c r="M19" s="72">
        <f>SUM(M11:M18)</f>
        <v>4069734</v>
      </c>
      <c r="N19" s="63"/>
      <c r="O19" s="72">
        <f>SUM(O11:O18)</f>
        <v>991726</v>
      </c>
      <c r="P19" s="62"/>
    </row>
    <row r="20" spans="1:16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>
      <c r="A21" s="75"/>
      <c r="B21" s="75" t="s">
        <v>97</v>
      </c>
      <c r="C21" s="75"/>
      <c r="D21" s="75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/>
    </row>
    <row r="22" spans="1:16">
      <c r="A22" s="75"/>
      <c r="B22" s="75"/>
      <c r="C22" s="75" t="s">
        <v>72</v>
      </c>
      <c r="D22" s="75"/>
      <c r="E22" s="63">
        <f>SUM(G22:O22)</f>
        <v>198834</v>
      </c>
      <c r="F22" s="74"/>
      <c r="G22" s="160">
        <v>61027</v>
      </c>
      <c r="H22" s="160"/>
      <c r="I22" s="160">
        <v>140689</v>
      </c>
      <c r="J22" s="160"/>
      <c r="K22" s="160">
        <v>1784</v>
      </c>
      <c r="L22" s="160"/>
      <c r="M22" s="160">
        <f>-4667+1</f>
        <v>-4666</v>
      </c>
      <c r="N22" s="160"/>
      <c r="O22" s="160"/>
      <c r="P22" s="74"/>
    </row>
    <row r="23" spans="1:16">
      <c r="C23" s="62" t="s">
        <v>98</v>
      </c>
      <c r="E23" s="63">
        <f>SUM(G23:O23)</f>
        <v>82401</v>
      </c>
      <c r="G23" s="73">
        <v>26629</v>
      </c>
      <c r="H23" s="73"/>
      <c r="I23" s="73">
        <v>59342</v>
      </c>
      <c r="J23" s="73"/>
      <c r="K23" s="73">
        <v>-877</v>
      </c>
      <c r="L23" s="73"/>
      <c r="M23" s="73">
        <v>-2247</v>
      </c>
      <c r="N23" s="73"/>
      <c r="O23" s="73">
        <f>-390+-57+1</f>
        <v>-446</v>
      </c>
      <c r="P23" s="63"/>
    </row>
    <row r="24" spans="1:16">
      <c r="E24" s="72">
        <f>SUM(E22:E23)</f>
        <v>281235</v>
      </c>
      <c r="G24" s="72">
        <f>SUM(G22:G23)</f>
        <v>87656</v>
      </c>
      <c r="I24" s="72">
        <f>SUM(I22:I23)</f>
        <v>200031</v>
      </c>
      <c r="K24" s="72">
        <f>SUM(K22:K23)</f>
        <v>907</v>
      </c>
      <c r="M24" s="72">
        <f>SUM(M22:M23)</f>
        <v>-6913</v>
      </c>
      <c r="O24" s="72">
        <f>SUM(O22:O23)</f>
        <v>-446</v>
      </c>
      <c r="P24" s="63"/>
    </row>
    <row r="25" spans="1:16">
      <c r="P25" s="63"/>
    </row>
    <row r="26" spans="1:16" ht="13.5" thickBot="1">
      <c r="A26" s="263" t="s">
        <v>335</v>
      </c>
      <c r="B26" s="75"/>
      <c r="C26" s="75"/>
      <c r="D26" s="75"/>
      <c r="E26" s="81">
        <f>SUM(G26:O26)</f>
        <v>50608060</v>
      </c>
      <c r="F26" s="74"/>
      <c r="G26" s="81">
        <f>G19-G24</f>
        <v>11435452</v>
      </c>
      <c r="H26" s="74"/>
      <c r="I26" s="81">
        <f>I19-I24</f>
        <v>29103617</v>
      </c>
      <c r="J26" s="74"/>
      <c r="K26" s="81">
        <f>K19-K24</f>
        <v>5000172</v>
      </c>
      <c r="L26" s="74"/>
      <c r="M26" s="81">
        <f>M19-M24</f>
        <v>4076647</v>
      </c>
      <c r="N26" s="74"/>
      <c r="O26" s="81">
        <f>O19-O24</f>
        <v>992172</v>
      </c>
      <c r="P26" s="74"/>
    </row>
    <row r="27" spans="1:16" ht="13.5" thickTop="1"/>
  </sheetData>
  <printOptions horizontalCentered="1"/>
  <pageMargins left="0.17" right="0.17" top="1" bottom="0.17" header="0.3" footer="0.3"/>
  <pageSetup scale="95" orientation="landscape" r:id="rId1"/>
  <headerFooter>
    <oddFooter>&amp;C&amp;F - &amp;A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GridLines="0" zoomScaleNormal="100" workbookViewId="0"/>
  </sheetViews>
  <sheetFormatPr defaultRowHeight="12.75"/>
  <cols>
    <col min="1" max="1" width="13.140625" style="21" customWidth="1"/>
    <col min="2" max="2" width="1" style="8" customWidth="1"/>
    <col min="3" max="3" width="14.42578125" style="8" bestFit="1" customWidth="1"/>
    <col min="4" max="4" width="1.7109375" style="18" customWidth="1"/>
    <col min="5" max="5" width="14.42578125" style="8" bestFit="1" customWidth="1"/>
    <col min="6" max="6" width="1.7109375" style="18" customWidth="1"/>
    <col min="7" max="7" width="14.42578125" style="8" bestFit="1" customWidth="1"/>
    <col min="8" max="8" width="2.7109375" style="18" customWidth="1"/>
    <col min="9" max="9" width="10.7109375" style="8" bestFit="1" customWidth="1"/>
    <col min="10" max="10" width="1.85546875" style="18" customWidth="1"/>
    <col min="11" max="11" width="14.42578125" style="8" bestFit="1" customWidth="1"/>
    <col min="12" max="12" width="1.85546875" style="18" customWidth="1"/>
    <col min="13" max="13" width="13.140625" style="8" bestFit="1" customWidth="1"/>
    <col min="14" max="14" width="2.7109375" style="18" customWidth="1"/>
    <col min="15" max="15" width="9.7109375" style="8" bestFit="1" customWidth="1"/>
    <col min="16" max="16" width="1.7109375" style="8" customWidth="1"/>
    <col min="17" max="17" width="10.140625" style="8" bestFit="1" customWidth="1"/>
    <col min="18" max="18" width="1.7109375" style="8" customWidth="1"/>
    <col min="19" max="19" width="14.140625" style="8" bestFit="1" customWidth="1"/>
    <col min="20" max="20" width="1.7109375" style="8" customWidth="1"/>
    <col min="21" max="21" width="13.140625" style="8" bestFit="1" customWidth="1"/>
    <col min="22" max="16384" width="9.140625" style="8"/>
  </cols>
  <sheetData>
    <row r="1" spans="1:19">
      <c r="A1" s="5" t="s">
        <v>0</v>
      </c>
      <c r="B1" s="6"/>
      <c r="C1" s="6"/>
      <c r="D1" s="7"/>
      <c r="E1" s="6"/>
      <c r="F1" s="7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>
      <c r="A2" s="5" t="str">
        <f>'Reconcile FF1 to Juris-Plt'!A2</f>
        <v>MISO Attachment O Annual True-up</v>
      </c>
      <c r="B2" s="6"/>
      <c r="C2" s="6"/>
      <c r="D2" s="7"/>
      <c r="E2" s="6"/>
      <c r="F2" s="7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5" t="s">
        <v>83</v>
      </c>
      <c r="B3" s="6"/>
      <c r="C3" s="6"/>
      <c r="D3" s="7"/>
      <c r="E3" s="6"/>
      <c r="F3" s="7"/>
      <c r="G3" s="6"/>
      <c r="H3" s="7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>
      <c r="A4" s="5" t="str">
        <f>'General Plant'!A4</f>
        <v>Thirteen Months Ended December 31, 2016</v>
      </c>
      <c r="B4" s="6"/>
      <c r="C4" s="6"/>
      <c r="D4" s="7"/>
      <c r="E4" s="6"/>
      <c r="F4" s="7"/>
      <c r="G4" s="6"/>
      <c r="H4" s="7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>
      <c r="P5" s="18"/>
      <c r="R5" s="18"/>
    </row>
    <row r="7" spans="1:19">
      <c r="C7" s="114" t="s">
        <v>142</v>
      </c>
      <c r="D7" s="7"/>
      <c r="E7" s="6"/>
      <c r="F7" s="7"/>
      <c r="G7" s="6"/>
      <c r="H7" s="6"/>
      <c r="I7" s="6"/>
      <c r="J7" s="6"/>
      <c r="K7" s="6"/>
    </row>
    <row r="8" spans="1:19">
      <c r="C8" s="113" t="s">
        <v>143</v>
      </c>
      <c r="D8" s="22"/>
      <c r="E8" s="22"/>
      <c r="F8" s="22"/>
      <c r="G8" s="22"/>
      <c r="H8" s="22"/>
      <c r="I8" s="22"/>
      <c r="J8" s="22"/>
      <c r="K8" s="22"/>
    </row>
    <row r="9" spans="1:19">
      <c r="C9" s="10" t="s">
        <v>25</v>
      </c>
      <c r="E9" s="10" t="s">
        <v>25</v>
      </c>
      <c r="G9" s="10" t="s">
        <v>10</v>
      </c>
      <c r="I9" s="162" t="s">
        <v>187</v>
      </c>
      <c r="K9" s="162" t="s">
        <v>188</v>
      </c>
    </row>
    <row r="10" spans="1:19">
      <c r="C10" s="12" t="s">
        <v>24</v>
      </c>
      <c r="E10" s="12" t="s">
        <v>9</v>
      </c>
      <c r="G10" s="12" t="s">
        <v>25</v>
      </c>
      <c r="I10" s="163" t="s">
        <v>186</v>
      </c>
      <c r="K10" s="163" t="s">
        <v>59</v>
      </c>
    </row>
    <row r="11" spans="1:19">
      <c r="A11" s="13" t="str">
        <f>'Plant in Service'!A9</f>
        <v>December 2015</v>
      </c>
      <c r="C11" s="48">
        <v>27076004</v>
      </c>
      <c r="D11" s="49"/>
      <c r="E11" s="296">
        <v>21477251.260000005</v>
      </c>
      <c r="F11" s="15"/>
      <c r="G11" s="14">
        <f>ROUND(E11,0)+C11</f>
        <v>48553255</v>
      </c>
      <c r="H11" s="49"/>
      <c r="I11" s="14">
        <v>359488</v>
      </c>
      <c r="K11" s="14">
        <f t="shared" ref="K11:K23" si="0">G11-I11</f>
        <v>48193767</v>
      </c>
    </row>
    <row r="12" spans="1:19">
      <c r="A12" s="13" t="str">
        <f>'Plant in Service'!A10</f>
        <v>January 2016</v>
      </c>
      <c r="C12" s="50">
        <v>27401688</v>
      </c>
      <c r="D12" s="51"/>
      <c r="E12" s="296">
        <v>21747256.280000005</v>
      </c>
      <c r="F12" s="17"/>
      <c r="G12" s="16">
        <f>ROUND(E12,0)+C12</f>
        <v>49148944</v>
      </c>
      <c r="H12" s="56"/>
      <c r="I12" s="16">
        <v>465630</v>
      </c>
      <c r="K12" s="16">
        <f t="shared" si="0"/>
        <v>48683314</v>
      </c>
    </row>
    <row r="13" spans="1:19">
      <c r="A13" s="13" t="s">
        <v>11</v>
      </c>
      <c r="C13" s="50">
        <v>27643837</v>
      </c>
      <c r="D13" s="51"/>
      <c r="E13" s="296">
        <v>22018034.490000002</v>
      </c>
      <c r="F13" s="17"/>
      <c r="G13" s="16">
        <f t="shared" ref="G13:G23" si="1">ROUND(E13,0)+C13</f>
        <v>49661871</v>
      </c>
      <c r="H13" s="56"/>
      <c r="I13" s="16">
        <v>599920</v>
      </c>
      <c r="K13" s="16">
        <f t="shared" si="0"/>
        <v>49061951</v>
      </c>
    </row>
    <row r="14" spans="1:19">
      <c r="A14" s="13" t="s">
        <v>12</v>
      </c>
      <c r="C14" s="50">
        <v>27384058</v>
      </c>
      <c r="D14" s="51"/>
      <c r="E14" s="296">
        <v>22288351.370000005</v>
      </c>
      <c r="F14" s="17"/>
      <c r="G14" s="16">
        <f t="shared" si="1"/>
        <v>49672409</v>
      </c>
      <c r="H14" s="56"/>
      <c r="I14" s="16">
        <v>343715</v>
      </c>
      <c r="K14" s="16">
        <f t="shared" si="0"/>
        <v>49328694</v>
      </c>
    </row>
    <row r="15" spans="1:19">
      <c r="A15" s="13" t="s">
        <v>13</v>
      </c>
      <c r="C15" s="50">
        <v>27502527</v>
      </c>
      <c r="D15" s="51"/>
      <c r="E15" s="296">
        <v>22558673.31000001</v>
      </c>
      <c r="F15" s="17"/>
      <c r="G15" s="16">
        <f t="shared" si="1"/>
        <v>50061200</v>
      </c>
      <c r="H15" s="56"/>
      <c r="I15" s="16">
        <v>449631</v>
      </c>
      <c r="K15" s="16">
        <f t="shared" si="0"/>
        <v>49611569</v>
      </c>
    </row>
    <row r="16" spans="1:19">
      <c r="A16" s="13" t="s">
        <v>14</v>
      </c>
      <c r="C16" s="50">
        <v>27201539</v>
      </c>
      <c r="D16" s="51"/>
      <c r="E16" s="296">
        <v>22824105.890000001</v>
      </c>
      <c r="F16" s="17"/>
      <c r="G16" s="16">
        <f t="shared" si="1"/>
        <v>50025645</v>
      </c>
      <c r="H16" s="56"/>
      <c r="I16" s="16">
        <v>718942</v>
      </c>
      <c r="K16" s="16">
        <f t="shared" si="0"/>
        <v>49306703</v>
      </c>
    </row>
    <row r="17" spans="1:19">
      <c r="A17" s="13" t="s">
        <v>15</v>
      </c>
      <c r="C17" s="50">
        <v>26863080</v>
      </c>
      <c r="D17" s="51"/>
      <c r="E17" s="296">
        <v>23106870.270000003</v>
      </c>
      <c r="F17" s="17"/>
      <c r="G17" s="16">
        <f t="shared" si="1"/>
        <v>49969950</v>
      </c>
      <c r="H17" s="56"/>
      <c r="I17" s="16">
        <v>821850</v>
      </c>
      <c r="K17" s="16">
        <f t="shared" si="0"/>
        <v>49148100</v>
      </c>
    </row>
    <row r="18" spans="1:19">
      <c r="A18" s="13" t="s">
        <v>16</v>
      </c>
      <c r="C18" s="50">
        <v>26315719</v>
      </c>
      <c r="D18" s="51"/>
      <c r="E18" s="296">
        <v>23374706.040000007</v>
      </c>
      <c r="F18" s="17"/>
      <c r="G18" s="16">
        <f t="shared" si="1"/>
        <v>49690425</v>
      </c>
      <c r="H18" s="56"/>
      <c r="I18" s="16">
        <v>879679</v>
      </c>
      <c r="K18" s="16">
        <f t="shared" si="0"/>
        <v>48810746</v>
      </c>
    </row>
    <row r="19" spans="1:19">
      <c r="A19" s="13" t="s">
        <v>17</v>
      </c>
      <c r="C19" s="50">
        <v>27126151</v>
      </c>
      <c r="D19" s="51"/>
      <c r="E19" s="296">
        <v>23641045.199999999</v>
      </c>
      <c r="F19" s="17"/>
      <c r="G19" s="16">
        <f t="shared" si="1"/>
        <v>50767196</v>
      </c>
      <c r="H19" s="56"/>
      <c r="I19" s="16">
        <v>897810</v>
      </c>
      <c r="K19" s="16">
        <f t="shared" si="0"/>
        <v>49869386</v>
      </c>
    </row>
    <row r="20" spans="1:19">
      <c r="A20" s="13" t="s">
        <v>18</v>
      </c>
      <c r="C20" s="50">
        <v>27371107</v>
      </c>
      <c r="D20" s="51"/>
      <c r="E20" s="296">
        <v>23907384.23</v>
      </c>
      <c r="F20" s="17"/>
      <c r="G20" s="16">
        <f t="shared" si="1"/>
        <v>51278491</v>
      </c>
      <c r="H20" s="56"/>
      <c r="I20" s="16">
        <v>803788</v>
      </c>
      <c r="K20" s="16">
        <f t="shared" si="0"/>
        <v>50474703</v>
      </c>
    </row>
    <row r="21" spans="1:19">
      <c r="A21" s="13" t="s">
        <v>19</v>
      </c>
      <c r="C21" s="50">
        <v>27612294</v>
      </c>
      <c r="D21" s="51"/>
      <c r="E21" s="296">
        <v>24173723.329999998</v>
      </c>
      <c r="F21" s="17"/>
      <c r="G21" s="16">
        <f t="shared" si="1"/>
        <v>51786017</v>
      </c>
      <c r="H21" s="56"/>
      <c r="I21" s="16">
        <v>942861</v>
      </c>
      <c r="K21" s="16">
        <f t="shared" si="0"/>
        <v>50843156</v>
      </c>
    </row>
    <row r="22" spans="1:19">
      <c r="A22" s="13" t="s">
        <v>20</v>
      </c>
      <c r="C22" s="50">
        <v>25879174</v>
      </c>
      <c r="D22" s="51"/>
      <c r="E22" s="296">
        <v>24446660.34</v>
      </c>
      <c r="F22" s="17"/>
      <c r="G22" s="16">
        <f t="shared" si="1"/>
        <v>50325834</v>
      </c>
      <c r="H22" s="56"/>
      <c r="I22" s="16">
        <v>445437</v>
      </c>
      <c r="K22" s="16">
        <f t="shared" si="0"/>
        <v>49880397</v>
      </c>
    </row>
    <row r="23" spans="1:19">
      <c r="A23" s="13" t="s">
        <v>21</v>
      </c>
      <c r="C23" s="50">
        <v>26175966</v>
      </c>
      <c r="D23" s="51"/>
      <c r="E23" s="296">
        <v>24713327.629999999</v>
      </c>
      <c r="F23" s="17"/>
      <c r="G23" s="16">
        <f t="shared" si="1"/>
        <v>50889294</v>
      </c>
      <c r="H23" s="56"/>
      <c r="I23" s="16">
        <v>281235</v>
      </c>
      <c r="K23" s="16">
        <f t="shared" si="0"/>
        <v>50608059</v>
      </c>
    </row>
    <row r="26" spans="1:19">
      <c r="C26" s="58" t="s">
        <v>76</v>
      </c>
      <c r="D26" s="22"/>
      <c r="E26" s="22"/>
      <c r="F26" s="22"/>
      <c r="G26" s="22"/>
      <c r="I26" s="59" t="s">
        <v>81</v>
      </c>
      <c r="J26" s="22"/>
      <c r="K26" s="22"/>
      <c r="L26" s="22"/>
      <c r="M26" s="22"/>
      <c r="O26" s="165" t="s">
        <v>189</v>
      </c>
      <c r="P26" s="22"/>
      <c r="Q26" s="22"/>
      <c r="R26" s="22"/>
      <c r="S26" s="22"/>
    </row>
    <row r="27" spans="1:19">
      <c r="C27" s="10" t="s">
        <v>25</v>
      </c>
      <c r="E27" s="10" t="s">
        <v>25</v>
      </c>
      <c r="G27" s="10" t="s">
        <v>10</v>
      </c>
      <c r="I27" s="10" t="s">
        <v>25</v>
      </c>
      <c r="K27" s="10" t="s">
        <v>25</v>
      </c>
      <c r="M27" s="10" t="s">
        <v>10</v>
      </c>
      <c r="O27" s="164" t="s">
        <v>10</v>
      </c>
      <c r="Q27" s="164" t="s">
        <v>187</v>
      </c>
      <c r="R27" s="18"/>
      <c r="S27" s="164" t="s">
        <v>188</v>
      </c>
    </row>
    <row r="28" spans="1:19">
      <c r="C28" s="115" t="s">
        <v>24</v>
      </c>
      <c r="E28" s="12" t="s">
        <v>9</v>
      </c>
      <c r="G28" s="12" t="s">
        <v>25</v>
      </c>
      <c r="I28" s="12" t="s">
        <v>24</v>
      </c>
      <c r="K28" s="12" t="s">
        <v>9</v>
      </c>
      <c r="M28" s="12" t="s">
        <v>25</v>
      </c>
      <c r="O28" s="12" t="s">
        <v>25</v>
      </c>
      <c r="Q28" s="163" t="s">
        <v>186</v>
      </c>
      <c r="R28" s="18"/>
      <c r="S28" s="163" t="s">
        <v>59</v>
      </c>
    </row>
    <row r="29" spans="1:19">
      <c r="A29" s="13" t="str">
        <f>A11</f>
        <v>December 2015</v>
      </c>
      <c r="C29" s="50">
        <v>1601711</v>
      </c>
      <c r="D29" s="51"/>
      <c r="E29" s="305">
        <v>1077781.54</v>
      </c>
      <c r="F29" s="17"/>
      <c r="G29" s="16">
        <f>C29+ROUND(E29,0)</f>
        <v>2679493</v>
      </c>
      <c r="H29" s="56"/>
      <c r="I29" s="50">
        <v>821717</v>
      </c>
      <c r="J29" s="51"/>
      <c r="K29" s="305">
        <v>700430.42</v>
      </c>
      <c r="L29" s="17"/>
      <c r="M29" s="16">
        <f>I29+ROUND(K29,0)</f>
        <v>1522147</v>
      </c>
      <c r="N29" s="56"/>
      <c r="O29" s="16">
        <f t="shared" ref="O29:O41" si="2">G29+M29</f>
        <v>4201640</v>
      </c>
      <c r="Q29" s="16">
        <v>-1368</v>
      </c>
      <c r="S29" s="16">
        <f t="shared" ref="S29:S41" si="3">O29-Q29</f>
        <v>4203008</v>
      </c>
    </row>
    <row r="30" spans="1:19">
      <c r="A30" s="13" t="str">
        <f>A12</f>
        <v>January 2016</v>
      </c>
      <c r="C30" s="50">
        <v>1470155</v>
      </c>
      <c r="D30" s="51"/>
      <c r="E30" s="305">
        <v>893305.92</v>
      </c>
      <c r="F30" s="17"/>
      <c r="G30" s="16">
        <f>C30+ROUND(E30,0)</f>
        <v>2363461</v>
      </c>
      <c r="H30" s="56"/>
      <c r="I30" s="50">
        <v>789196</v>
      </c>
      <c r="J30" s="51"/>
      <c r="K30" s="305">
        <v>666685</v>
      </c>
      <c r="L30" s="17"/>
      <c r="M30" s="16">
        <f>I30+ROUND(K30,0)</f>
        <v>1455881</v>
      </c>
      <c r="N30" s="56"/>
      <c r="O30" s="16">
        <f t="shared" si="2"/>
        <v>3819342</v>
      </c>
      <c r="Q30" s="16">
        <v>-1483</v>
      </c>
      <c r="S30" s="16">
        <f t="shared" si="3"/>
        <v>3820825</v>
      </c>
    </row>
    <row r="31" spans="1:19">
      <c r="A31" s="13" t="s">
        <v>11</v>
      </c>
      <c r="C31" s="50">
        <v>1478027</v>
      </c>
      <c r="D31" s="51"/>
      <c r="E31" s="305">
        <v>901144.92999999993</v>
      </c>
      <c r="F31" s="17"/>
      <c r="G31" s="16">
        <f t="shared" ref="G31:G41" si="4">C31+ROUND(E31,0)</f>
        <v>2379172</v>
      </c>
      <c r="H31" s="56"/>
      <c r="I31" s="50">
        <v>794512</v>
      </c>
      <c r="J31" s="51"/>
      <c r="K31" s="305">
        <v>677226.83</v>
      </c>
      <c r="L31" s="17"/>
      <c r="M31" s="16">
        <f t="shared" ref="M31:M41" si="5">I31+ROUND(K31,0)</f>
        <v>1471739</v>
      </c>
      <c r="N31" s="56"/>
      <c r="O31" s="16">
        <f t="shared" si="2"/>
        <v>3850911</v>
      </c>
      <c r="Q31" s="16">
        <v>-1053</v>
      </c>
      <c r="S31" s="16">
        <f t="shared" si="3"/>
        <v>3851964</v>
      </c>
    </row>
    <row r="32" spans="1:19">
      <c r="A32" s="13" t="s">
        <v>12</v>
      </c>
      <c r="C32" s="50">
        <v>1486790</v>
      </c>
      <c r="D32" s="51"/>
      <c r="E32" s="305">
        <v>911430.90000000014</v>
      </c>
      <c r="F32" s="17"/>
      <c r="G32" s="16">
        <f t="shared" si="4"/>
        <v>2398221</v>
      </c>
      <c r="H32" s="56"/>
      <c r="I32" s="50">
        <v>799303</v>
      </c>
      <c r="J32" s="51"/>
      <c r="K32" s="305">
        <v>687757.02</v>
      </c>
      <c r="L32" s="17"/>
      <c r="M32" s="16">
        <f t="shared" si="5"/>
        <v>1487060</v>
      </c>
      <c r="N32" s="56"/>
      <c r="O32" s="16">
        <f t="shared" si="2"/>
        <v>3885281</v>
      </c>
      <c r="Q32" s="16">
        <v>-612</v>
      </c>
      <c r="S32" s="16">
        <f t="shared" si="3"/>
        <v>3885893</v>
      </c>
    </row>
    <row r="33" spans="1:19">
      <c r="A33" s="13" t="s">
        <v>13</v>
      </c>
      <c r="C33" s="50">
        <v>1482642</v>
      </c>
      <c r="D33" s="51"/>
      <c r="E33" s="305">
        <v>921716.91000000015</v>
      </c>
      <c r="F33" s="17"/>
      <c r="G33" s="16">
        <f t="shared" si="4"/>
        <v>2404359</v>
      </c>
      <c r="H33" s="56"/>
      <c r="I33" s="50">
        <v>796691</v>
      </c>
      <c r="J33" s="51"/>
      <c r="K33" s="305">
        <v>698287.87</v>
      </c>
      <c r="L33" s="17"/>
      <c r="M33" s="16">
        <f t="shared" si="5"/>
        <v>1494979</v>
      </c>
      <c r="N33" s="56"/>
      <c r="O33" s="16">
        <f t="shared" si="2"/>
        <v>3899338</v>
      </c>
      <c r="Q33" s="16">
        <v>-1038</v>
      </c>
      <c r="S33" s="16">
        <f t="shared" si="3"/>
        <v>3900376</v>
      </c>
    </row>
    <row r="34" spans="1:19">
      <c r="A34" s="13" t="s">
        <v>14</v>
      </c>
      <c r="C34" s="50">
        <v>1455065</v>
      </c>
      <c r="D34" s="51"/>
      <c r="E34" s="305">
        <v>931830.81</v>
      </c>
      <c r="F34" s="17"/>
      <c r="G34" s="16">
        <f t="shared" si="4"/>
        <v>2386896</v>
      </c>
      <c r="H34" s="56"/>
      <c r="I34" s="50">
        <v>782807</v>
      </c>
      <c r="J34" s="51"/>
      <c r="K34" s="305">
        <v>708585.24</v>
      </c>
      <c r="L34" s="17"/>
      <c r="M34" s="16">
        <f t="shared" si="5"/>
        <v>1491392</v>
      </c>
      <c r="N34" s="56"/>
      <c r="O34" s="16">
        <f t="shared" si="2"/>
        <v>3878288</v>
      </c>
      <c r="Q34" s="16">
        <v>5227</v>
      </c>
      <c r="S34" s="16">
        <f t="shared" si="3"/>
        <v>3873061</v>
      </c>
    </row>
    <row r="35" spans="1:19">
      <c r="A35" s="13" t="s">
        <v>15</v>
      </c>
      <c r="C35" s="50">
        <v>1460794</v>
      </c>
      <c r="D35" s="51"/>
      <c r="E35" s="305">
        <v>942648.73</v>
      </c>
      <c r="F35" s="17"/>
      <c r="G35" s="16">
        <f t="shared" si="4"/>
        <v>2403443</v>
      </c>
      <c r="H35" s="56"/>
      <c r="I35" s="50">
        <v>785957</v>
      </c>
      <c r="J35" s="51"/>
      <c r="K35" s="305">
        <v>719420.27</v>
      </c>
      <c r="L35" s="17"/>
      <c r="M35" s="16">
        <f t="shared" si="5"/>
        <v>1505377</v>
      </c>
      <c r="N35" s="56"/>
      <c r="O35" s="16">
        <f t="shared" si="2"/>
        <v>3908820</v>
      </c>
      <c r="Q35" s="16">
        <v>-1074</v>
      </c>
      <c r="S35" s="16">
        <f t="shared" si="3"/>
        <v>3909894</v>
      </c>
    </row>
    <row r="36" spans="1:19">
      <c r="A36" s="13" t="s">
        <v>16</v>
      </c>
      <c r="C36" s="50">
        <v>1405448</v>
      </c>
      <c r="D36" s="51"/>
      <c r="E36" s="305">
        <v>952862.29999999993</v>
      </c>
      <c r="F36" s="17"/>
      <c r="G36" s="16">
        <f t="shared" si="4"/>
        <v>2358310</v>
      </c>
      <c r="H36" s="56"/>
      <c r="I36" s="50">
        <v>760044</v>
      </c>
      <c r="J36" s="51"/>
      <c r="K36" s="305">
        <v>729672.06</v>
      </c>
      <c r="L36" s="17"/>
      <c r="M36" s="16">
        <f t="shared" si="5"/>
        <v>1489716</v>
      </c>
      <c r="N36" s="56"/>
      <c r="O36" s="16">
        <f t="shared" si="2"/>
        <v>3848026</v>
      </c>
      <c r="Q36" s="16">
        <v>-985</v>
      </c>
      <c r="S36" s="16">
        <f t="shared" si="3"/>
        <v>3849011</v>
      </c>
    </row>
    <row r="37" spans="1:19">
      <c r="A37" s="13" t="s">
        <v>17</v>
      </c>
      <c r="C37" s="50">
        <v>1405870</v>
      </c>
      <c r="D37" s="51"/>
      <c r="E37" s="305">
        <v>963011.39</v>
      </c>
      <c r="F37" s="17"/>
      <c r="G37" s="16">
        <f t="shared" si="4"/>
        <v>2368881</v>
      </c>
      <c r="H37" s="56"/>
      <c r="I37" s="50">
        <v>771110</v>
      </c>
      <c r="J37" s="51"/>
      <c r="K37" s="305">
        <v>740002.68000000017</v>
      </c>
      <c r="L37" s="17"/>
      <c r="M37" s="16">
        <f t="shared" si="5"/>
        <v>1511113</v>
      </c>
      <c r="N37" s="56"/>
      <c r="O37" s="16">
        <f t="shared" si="2"/>
        <v>3879994</v>
      </c>
      <c r="Q37" s="16">
        <v>-884</v>
      </c>
      <c r="S37" s="16">
        <f t="shared" si="3"/>
        <v>3880878</v>
      </c>
    </row>
    <row r="38" spans="1:19">
      <c r="A38" s="13" t="s">
        <v>18</v>
      </c>
      <c r="C38" s="50">
        <v>1415264</v>
      </c>
      <c r="D38" s="51"/>
      <c r="E38" s="305">
        <v>973160.4</v>
      </c>
      <c r="F38" s="17"/>
      <c r="G38" s="16">
        <f t="shared" si="4"/>
        <v>2388424</v>
      </c>
      <c r="H38" s="56"/>
      <c r="I38" s="50">
        <v>776266</v>
      </c>
      <c r="J38" s="51"/>
      <c r="K38" s="305">
        <v>750333.3</v>
      </c>
      <c r="L38" s="17"/>
      <c r="M38" s="16">
        <f t="shared" si="5"/>
        <v>1526599</v>
      </c>
      <c r="N38" s="56"/>
      <c r="O38" s="16">
        <f t="shared" si="2"/>
        <v>3915023</v>
      </c>
      <c r="Q38" s="16">
        <v>-978</v>
      </c>
      <c r="S38" s="16">
        <f t="shared" si="3"/>
        <v>3916001</v>
      </c>
    </row>
    <row r="39" spans="1:19">
      <c r="A39" s="13" t="s">
        <v>19</v>
      </c>
      <c r="C39" s="50">
        <v>1425441</v>
      </c>
      <c r="D39" s="51"/>
      <c r="E39" s="305">
        <v>983309.51000000013</v>
      </c>
      <c r="F39" s="17"/>
      <c r="G39" s="16">
        <f t="shared" si="4"/>
        <v>2408751</v>
      </c>
      <c r="H39" s="56"/>
      <c r="I39" s="50">
        <v>781884</v>
      </c>
      <c r="J39" s="51"/>
      <c r="K39" s="305">
        <v>760663.87000000011</v>
      </c>
      <c r="L39" s="17"/>
      <c r="M39" s="16">
        <f t="shared" si="5"/>
        <v>1542548</v>
      </c>
      <c r="N39" s="56"/>
      <c r="O39" s="16">
        <f t="shared" si="2"/>
        <v>3951299</v>
      </c>
      <c r="Q39" s="16">
        <v>2944</v>
      </c>
      <c r="S39" s="16">
        <f t="shared" si="3"/>
        <v>3948355</v>
      </c>
    </row>
    <row r="40" spans="1:19">
      <c r="A40" s="13" t="s">
        <v>20</v>
      </c>
      <c r="C40" s="50">
        <v>1409436</v>
      </c>
      <c r="D40" s="51"/>
      <c r="E40" s="305">
        <v>993740.43000000017</v>
      </c>
      <c r="F40" s="17"/>
      <c r="G40" s="16">
        <f t="shared" si="4"/>
        <v>2403176</v>
      </c>
      <c r="H40" s="56"/>
      <c r="I40" s="50">
        <v>754734</v>
      </c>
      <c r="J40" s="51"/>
      <c r="K40" s="305">
        <v>771156.40000000014</v>
      </c>
      <c r="L40" s="17"/>
      <c r="M40" s="16">
        <f t="shared" si="5"/>
        <v>1525890</v>
      </c>
      <c r="N40" s="56"/>
      <c r="O40" s="16">
        <f t="shared" si="2"/>
        <v>3929066</v>
      </c>
      <c r="Q40" s="16">
        <v>-3301</v>
      </c>
      <c r="S40" s="16">
        <f t="shared" si="3"/>
        <v>3932367</v>
      </c>
    </row>
    <row r="41" spans="1:19">
      <c r="A41" s="13" t="s">
        <v>21</v>
      </c>
      <c r="C41" s="50">
        <v>1494098</v>
      </c>
      <c r="D41" s="51"/>
      <c r="E41" s="305">
        <v>1003903.4900000001</v>
      </c>
      <c r="F41" s="17"/>
      <c r="G41" s="16">
        <f t="shared" si="4"/>
        <v>2498001</v>
      </c>
      <c r="H41" s="56"/>
      <c r="I41" s="50">
        <v>790237</v>
      </c>
      <c r="J41" s="51"/>
      <c r="K41" s="305">
        <v>781495.06</v>
      </c>
      <c r="L41" s="17"/>
      <c r="M41" s="16">
        <f t="shared" si="5"/>
        <v>1571732</v>
      </c>
      <c r="N41" s="56"/>
      <c r="O41" s="16">
        <f t="shared" si="2"/>
        <v>4069733</v>
      </c>
      <c r="Q41" s="16">
        <v>-6914</v>
      </c>
      <c r="S41" s="16">
        <f t="shared" si="3"/>
        <v>4076647</v>
      </c>
    </row>
  </sheetData>
  <printOptions horizontalCentered="1"/>
  <pageMargins left="0.17" right="0.17" top="1" bottom="0.6" header="0.3" footer="0.2"/>
  <pageSetup scale="90" orientation="landscape" r:id="rId1"/>
  <headerFooter>
    <oddFooter>&amp;C&amp;F - &amp;A
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workbookViewId="0"/>
  </sheetViews>
  <sheetFormatPr defaultRowHeight="12.75"/>
  <cols>
    <col min="1" max="1" width="2.7109375" style="348" customWidth="1"/>
    <col min="2" max="2" width="20.7109375" style="348" customWidth="1"/>
    <col min="3" max="3" width="3.7109375" style="349" customWidth="1"/>
    <col min="4" max="4" width="20.7109375" style="348" customWidth="1"/>
    <col min="5" max="16384" width="9.140625" style="348"/>
  </cols>
  <sheetData>
    <row r="1" spans="1:4">
      <c r="A1" s="4" t="s">
        <v>0</v>
      </c>
      <c r="B1" s="231"/>
      <c r="C1" s="232"/>
      <c r="D1" s="232"/>
    </row>
    <row r="2" spans="1:4">
      <c r="A2" s="4" t="s">
        <v>60</v>
      </c>
      <c r="B2" s="231"/>
      <c r="C2" s="232"/>
      <c r="D2" s="232"/>
    </row>
    <row r="3" spans="1:4">
      <c r="A3" s="4" t="s">
        <v>332</v>
      </c>
      <c r="B3" s="231"/>
      <c r="C3" s="232"/>
      <c r="D3" s="232"/>
    </row>
    <row r="4" spans="1:4">
      <c r="A4" s="231" t="s">
        <v>311</v>
      </c>
      <c r="B4" s="231"/>
      <c r="C4" s="232"/>
      <c r="D4" s="232"/>
    </row>
    <row r="5" spans="1:4">
      <c r="A5" s="231" t="s">
        <v>377</v>
      </c>
      <c r="B5" s="231"/>
      <c r="C5" s="232"/>
      <c r="D5" s="232"/>
    </row>
    <row r="8" spans="1:4">
      <c r="D8" s="350" t="s">
        <v>10</v>
      </c>
    </row>
    <row r="9" spans="1:4">
      <c r="A9" s="348" t="s">
        <v>312</v>
      </c>
      <c r="D9" s="349"/>
    </row>
    <row r="10" spans="1:4">
      <c r="B10" s="323" t="s">
        <v>347</v>
      </c>
      <c r="C10" s="351"/>
      <c r="D10" s="351">
        <v>15442295</v>
      </c>
    </row>
    <row r="11" spans="1:4">
      <c r="B11" s="323" t="s">
        <v>376</v>
      </c>
      <c r="D11" s="349">
        <v>17212775</v>
      </c>
    </row>
    <row r="12" spans="1:4">
      <c r="B12" s="348" t="s">
        <v>11</v>
      </c>
      <c r="D12" s="349">
        <v>19379578</v>
      </c>
    </row>
    <row r="13" spans="1:4">
      <c r="B13" s="348" t="s">
        <v>12</v>
      </c>
      <c r="D13" s="349">
        <v>19131653</v>
      </c>
    </row>
    <row r="14" spans="1:4">
      <c r="B14" s="348" t="s">
        <v>13</v>
      </c>
      <c r="D14" s="349">
        <v>22552264</v>
      </c>
    </row>
    <row r="15" spans="1:4">
      <c r="B15" s="348" t="s">
        <v>14</v>
      </c>
      <c r="D15" s="349">
        <v>25451965</v>
      </c>
    </row>
    <row r="16" spans="1:4">
      <c r="B16" s="348" t="s">
        <v>15</v>
      </c>
      <c r="D16" s="349">
        <v>28866004</v>
      </c>
    </row>
    <row r="17" spans="1:4">
      <c r="B17" s="348" t="s">
        <v>16</v>
      </c>
      <c r="D17" s="349">
        <v>32974932</v>
      </c>
    </row>
    <row r="18" spans="1:4">
      <c r="B18" s="348" t="s">
        <v>17</v>
      </c>
      <c r="D18" s="349">
        <v>36579011</v>
      </c>
    </row>
    <row r="19" spans="1:4">
      <c r="B19" s="348" t="s">
        <v>18</v>
      </c>
      <c r="D19" s="349">
        <v>38873144</v>
      </c>
    </row>
    <row r="20" spans="1:4">
      <c r="B20" s="348" t="s">
        <v>19</v>
      </c>
      <c r="D20" s="349">
        <v>41692362</v>
      </c>
    </row>
    <row r="21" spans="1:4">
      <c r="B21" s="348" t="s">
        <v>20</v>
      </c>
      <c r="D21" s="349">
        <v>44192837</v>
      </c>
    </row>
    <row r="22" spans="1:4">
      <c r="B22" s="348" t="s">
        <v>21</v>
      </c>
      <c r="D22" s="349">
        <v>49349457</v>
      </c>
    </row>
    <row r="23" spans="1:4" ht="13.5" thickBot="1">
      <c r="A23" s="348" t="s">
        <v>132</v>
      </c>
      <c r="D23" s="352">
        <f>ROUND(AVERAGE(D10:D22),0)</f>
        <v>30130637</v>
      </c>
    </row>
    <row r="24" spans="1:4" ht="13.5" thickTop="1"/>
  </sheetData>
  <printOptions horizontalCentered="1"/>
  <pageMargins left="0.17" right="0.17" top="1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/>
  </sheetViews>
  <sheetFormatPr defaultRowHeight="12.75"/>
  <cols>
    <col min="1" max="1" width="9.140625" style="62"/>
    <col min="2" max="2" width="2.7109375" style="62" customWidth="1"/>
    <col min="3" max="3" width="13.42578125" style="62" bestFit="1" customWidth="1"/>
    <col min="4" max="4" width="2.7109375" style="62" customWidth="1"/>
    <col min="5" max="5" width="13.42578125" style="62" bestFit="1" customWidth="1"/>
    <col min="6" max="6" width="2.7109375" style="62" customWidth="1"/>
    <col min="7" max="7" width="13.42578125" style="62" bestFit="1" customWidth="1"/>
    <col min="8" max="16384" width="9.140625" style="62"/>
  </cols>
  <sheetData>
    <row r="1" spans="1:7">
      <c r="A1" s="4" t="s">
        <v>0</v>
      </c>
      <c r="B1" s="4"/>
      <c r="C1" s="4"/>
      <c r="D1" s="4"/>
      <c r="E1" s="4"/>
      <c r="F1" s="4"/>
      <c r="G1" s="4"/>
    </row>
    <row r="2" spans="1:7">
      <c r="A2" s="4" t="s">
        <v>60</v>
      </c>
      <c r="B2" s="4"/>
      <c r="C2" s="4"/>
      <c r="D2" s="4"/>
      <c r="E2" s="4"/>
      <c r="F2" s="4"/>
      <c r="G2" s="4"/>
    </row>
    <row r="3" spans="1:7">
      <c r="A3" s="4" t="s">
        <v>103</v>
      </c>
      <c r="B3" s="4"/>
      <c r="C3" s="4"/>
      <c r="D3" s="4"/>
      <c r="E3" s="4"/>
      <c r="F3" s="4"/>
      <c r="G3" s="4"/>
    </row>
    <row r="4" spans="1:7">
      <c r="A4" s="4" t="s">
        <v>190</v>
      </c>
      <c r="B4" s="4"/>
      <c r="C4" s="4"/>
      <c r="D4" s="4"/>
      <c r="E4" s="4"/>
      <c r="F4" s="4"/>
      <c r="G4" s="4"/>
    </row>
    <row r="5" spans="1:7">
      <c r="A5" s="4" t="s">
        <v>378</v>
      </c>
      <c r="B5" s="4"/>
      <c r="C5" s="4"/>
      <c r="D5" s="4"/>
      <c r="E5" s="4"/>
      <c r="F5" s="4"/>
      <c r="G5" s="4"/>
    </row>
    <row r="8" spans="1:7" ht="15" customHeight="1">
      <c r="C8" s="66" t="s">
        <v>27</v>
      </c>
      <c r="E8" s="66" t="s">
        <v>28</v>
      </c>
      <c r="G8" s="66" t="s">
        <v>119</v>
      </c>
    </row>
    <row r="9" spans="1:7" ht="12.75" customHeight="1">
      <c r="C9" s="69" t="s">
        <v>29</v>
      </c>
      <c r="E9" s="69" t="s">
        <v>29</v>
      </c>
      <c r="G9" s="69" t="s">
        <v>29</v>
      </c>
    </row>
    <row r="10" spans="1:7" ht="12.75" customHeight="1">
      <c r="A10" s="62" t="s">
        <v>120</v>
      </c>
      <c r="C10" s="71">
        <v>-190045952</v>
      </c>
      <c r="D10" s="71"/>
      <c r="E10" s="167">
        <f>'Adj to RB - Reconcile to F1'!O15</f>
        <v>-214183795</v>
      </c>
      <c r="F10" s="71"/>
      <c r="G10" s="71">
        <f>ROUND(AVERAGE(C10:E10),0)</f>
        <v>-202114874</v>
      </c>
    </row>
    <row r="11" spans="1:7" ht="12.75" customHeight="1">
      <c r="C11" s="63"/>
      <c r="D11" s="63"/>
      <c r="E11" s="73"/>
      <c r="F11" s="63"/>
      <c r="G11" s="63"/>
    </row>
    <row r="12" spans="1:7" ht="12.75" customHeight="1">
      <c r="A12" s="62" t="s">
        <v>121</v>
      </c>
      <c r="C12" s="63">
        <v>-25729981</v>
      </c>
      <c r="D12" s="63"/>
      <c r="E12" s="73">
        <f>'Adj to RB - Reconcile to F1'!O18</f>
        <v>-25147550</v>
      </c>
      <c r="F12" s="63"/>
      <c r="G12" s="63">
        <f>ROUND(AVERAGE(C12:E12),0)</f>
        <v>-25438766</v>
      </c>
    </row>
    <row r="13" spans="1:7">
      <c r="C13" s="63"/>
      <c r="D13" s="63"/>
      <c r="E13" s="73"/>
      <c r="F13" s="63"/>
      <c r="G13" s="63"/>
    </row>
    <row r="14" spans="1:7">
      <c r="A14" s="62" t="s">
        <v>122</v>
      </c>
      <c r="C14" s="63">
        <v>21820691</v>
      </c>
      <c r="D14" s="63"/>
      <c r="E14" s="73">
        <f>'Adj to RB - Reconcile to F1'!O21</f>
        <v>40143562</v>
      </c>
      <c r="F14" s="63"/>
      <c r="G14" s="63">
        <f>ROUND(AVERAGE(C14:E14),0)</f>
        <v>30982127</v>
      </c>
    </row>
    <row r="16" spans="1:7">
      <c r="A16" s="268" t="s">
        <v>343</v>
      </c>
      <c r="C16" s="63">
        <v>-1752301</v>
      </c>
      <c r="D16" s="63"/>
      <c r="E16" s="73">
        <v>-1640385</v>
      </c>
      <c r="G16" s="63">
        <f>ROUND(AVERAGE(C16:E16),0)</f>
        <v>-1696343</v>
      </c>
    </row>
  </sheetData>
  <printOptions horizontalCentered="1"/>
  <pageMargins left="0.24" right="0.1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0"/>
  <sheetViews>
    <sheetView topLeftCell="A10" zoomScale="80" zoomScaleNormal="80" workbookViewId="0"/>
  </sheetViews>
  <sheetFormatPr defaultColWidth="9.140625" defaultRowHeight="15.75"/>
  <cols>
    <col min="1" max="1" width="7.7109375" style="455" customWidth="1"/>
    <col min="2" max="2" width="1.85546875" style="455" customWidth="1"/>
    <col min="3" max="3" width="55.28515625" style="455" customWidth="1"/>
    <col min="4" max="4" width="35.140625" style="455" customWidth="1"/>
    <col min="5" max="5" width="17.85546875" style="455" customWidth="1"/>
    <col min="6" max="6" width="7.7109375" style="455" customWidth="1"/>
    <col min="7" max="7" width="7.28515625" style="455" customWidth="1"/>
    <col min="8" max="8" width="13.7109375" style="455" customWidth="1"/>
    <col min="9" max="9" width="7.42578125" style="455" customWidth="1"/>
    <col min="10" max="10" width="16.42578125" style="455" customWidth="1"/>
    <col min="11" max="11" width="4.42578125" style="455" customWidth="1"/>
    <col min="12" max="12" width="11.140625" style="526" customWidth="1"/>
    <col min="13" max="13" width="0.85546875" style="455" customWidth="1"/>
    <col min="14" max="14" width="14.140625" style="455" customWidth="1"/>
    <col min="15" max="15" width="15.140625" style="455" customWidth="1"/>
    <col min="16" max="16" width="9.140625" style="455"/>
    <col min="17" max="17" width="20" style="455" customWidth="1"/>
    <col min="18" max="16384" width="9.140625" style="455"/>
  </cols>
  <sheetData>
    <row r="1" spans="1:18">
      <c r="C1" s="456"/>
      <c r="D1" s="456"/>
      <c r="E1" s="457"/>
      <c r="F1" s="456"/>
      <c r="G1" s="456"/>
      <c r="H1" s="456"/>
      <c r="I1" s="458"/>
      <c r="J1" s="459"/>
      <c r="K1" s="459"/>
      <c r="L1" s="460"/>
      <c r="O1" s="461"/>
      <c r="P1" s="461"/>
      <c r="Q1" s="461"/>
      <c r="R1" s="462"/>
    </row>
    <row r="2" spans="1:18">
      <c r="C2" s="456"/>
      <c r="D2" s="456"/>
      <c r="E2" s="457"/>
      <c r="F2" s="456"/>
      <c r="G2" s="456"/>
      <c r="H2" s="456"/>
      <c r="I2" s="458"/>
      <c r="J2" s="458"/>
      <c r="L2" s="459" t="s">
        <v>1</v>
      </c>
      <c r="O2" s="461"/>
      <c r="P2" s="461"/>
      <c r="Q2" s="461"/>
      <c r="R2" s="462"/>
    </row>
    <row r="3" spans="1:18">
      <c r="C3" s="456"/>
      <c r="D3" s="456"/>
      <c r="E3" s="457"/>
      <c r="F3" s="456"/>
      <c r="G3" s="456"/>
      <c r="H3" s="456"/>
      <c r="I3" s="458"/>
      <c r="J3" s="458"/>
      <c r="K3" s="458"/>
      <c r="L3" s="460" t="s">
        <v>517</v>
      </c>
      <c r="O3" s="461"/>
      <c r="P3" s="461"/>
      <c r="Q3" s="461"/>
      <c r="R3" s="462"/>
    </row>
    <row r="4" spans="1:18">
      <c r="C4" s="456"/>
      <c r="D4" s="456"/>
      <c r="E4" s="457"/>
      <c r="F4" s="456"/>
      <c r="G4" s="456"/>
      <c r="H4" s="456"/>
      <c r="I4" s="458"/>
      <c r="J4" s="458"/>
      <c r="K4" s="458"/>
      <c r="L4" s="463"/>
      <c r="O4" s="461"/>
      <c r="P4" s="461"/>
      <c r="Q4" s="461"/>
      <c r="R4" s="462"/>
    </row>
    <row r="5" spans="1:18">
      <c r="C5" s="456" t="s">
        <v>518</v>
      </c>
      <c r="D5" s="456"/>
      <c r="E5" s="457" t="s">
        <v>519</v>
      </c>
      <c r="F5" s="456"/>
      <c r="G5" s="456"/>
      <c r="H5" s="456"/>
      <c r="I5" s="458"/>
      <c r="J5" s="464" t="s">
        <v>520</v>
      </c>
      <c r="K5" s="464"/>
      <c r="L5" s="464"/>
      <c r="O5" s="462"/>
      <c r="P5" s="462"/>
      <c r="Q5" s="462"/>
      <c r="R5" s="462"/>
    </row>
    <row r="6" spans="1:18">
      <c r="C6" s="456"/>
      <c r="D6" s="465" t="s">
        <v>129</v>
      </c>
      <c r="E6" s="465" t="s">
        <v>521</v>
      </c>
      <c r="F6" s="465"/>
      <c r="G6" s="465"/>
      <c r="H6" s="465"/>
      <c r="I6" s="458"/>
      <c r="J6" s="458"/>
      <c r="K6" s="458"/>
      <c r="L6" s="463"/>
      <c r="O6" s="466"/>
      <c r="P6" s="466"/>
      <c r="Q6" s="466"/>
      <c r="R6" s="462"/>
    </row>
    <row r="7" spans="1:18">
      <c r="C7" s="458"/>
      <c r="D7" s="458"/>
      <c r="E7" s="458"/>
      <c r="F7" s="458"/>
      <c r="G7" s="458"/>
      <c r="H7" s="458"/>
      <c r="I7" s="458"/>
      <c r="J7" s="458"/>
      <c r="K7" s="458"/>
      <c r="L7" s="463"/>
      <c r="O7" s="466"/>
      <c r="P7" s="466"/>
      <c r="Q7" s="466"/>
      <c r="R7" s="462"/>
    </row>
    <row r="8" spans="1:18">
      <c r="A8" s="467"/>
      <c r="C8" s="458"/>
      <c r="D8" s="458"/>
      <c r="E8" s="468" t="s">
        <v>0</v>
      </c>
      <c r="F8" s="469"/>
      <c r="G8" s="469"/>
      <c r="H8" s="458"/>
      <c r="I8" s="458"/>
      <c r="J8" s="458"/>
      <c r="K8" s="458"/>
      <c r="L8" s="463"/>
      <c r="O8" s="466"/>
      <c r="P8" s="466"/>
      <c r="Q8" s="466"/>
      <c r="R8" s="462"/>
    </row>
    <row r="9" spans="1:18">
      <c r="A9" s="467"/>
      <c r="C9" s="458"/>
      <c r="D9" s="458"/>
      <c r="E9" s="470"/>
      <c r="F9" s="458"/>
      <c r="G9" s="458"/>
      <c r="H9" s="458"/>
      <c r="I9" s="458"/>
      <c r="J9" s="458"/>
      <c r="K9" s="458"/>
      <c r="L9" s="463"/>
      <c r="O9" s="466"/>
      <c r="P9" s="466"/>
      <c r="Q9" s="466"/>
      <c r="R9" s="462"/>
    </row>
    <row r="10" spans="1:18">
      <c r="A10" s="467" t="s">
        <v>522</v>
      </c>
      <c r="C10" s="458"/>
      <c r="D10" s="458"/>
      <c r="E10" s="470"/>
      <c r="F10" s="458"/>
      <c r="G10" s="458"/>
      <c r="H10" s="458"/>
      <c r="I10" s="458"/>
      <c r="J10" s="467" t="s">
        <v>127</v>
      </c>
      <c r="K10" s="458"/>
      <c r="L10" s="463"/>
      <c r="O10" s="462"/>
      <c r="P10" s="462"/>
      <c r="Q10" s="462"/>
      <c r="R10" s="462"/>
    </row>
    <row r="11" spans="1:18" ht="16.5" thickBot="1">
      <c r="A11" s="471" t="s">
        <v>523</v>
      </c>
      <c r="C11" s="458"/>
      <c r="D11" s="458"/>
      <c r="E11" s="458"/>
      <c r="F11" s="458"/>
      <c r="G11" s="458"/>
      <c r="H11" s="458"/>
      <c r="I11" s="458"/>
      <c r="J11" s="471" t="s">
        <v>524</v>
      </c>
      <c r="K11" s="458"/>
      <c r="L11" s="463"/>
    </row>
    <row r="12" spans="1:18">
      <c r="A12" s="467">
        <v>1</v>
      </c>
      <c r="C12" s="458" t="s">
        <v>525</v>
      </c>
      <c r="D12" s="458"/>
      <c r="E12" s="472"/>
      <c r="F12" s="458"/>
      <c r="G12" s="458"/>
      <c r="H12" s="458"/>
      <c r="I12" s="458"/>
      <c r="J12" s="473">
        <f>+J228</f>
        <v>31014589.438650198</v>
      </c>
      <c r="K12" s="458"/>
      <c r="L12" s="463"/>
    </row>
    <row r="13" spans="1:18">
      <c r="A13" s="467"/>
      <c r="C13" s="458"/>
      <c r="D13" s="458"/>
      <c r="E13" s="458"/>
      <c r="F13" s="458"/>
      <c r="G13" s="458"/>
      <c r="H13" s="458"/>
      <c r="I13" s="458"/>
      <c r="J13" s="472"/>
      <c r="K13" s="458"/>
      <c r="L13" s="463"/>
    </row>
    <row r="14" spans="1:18">
      <c r="A14" s="467"/>
      <c r="C14" s="458"/>
      <c r="D14" s="458"/>
      <c r="E14" s="458"/>
      <c r="F14" s="458"/>
      <c r="G14" s="458"/>
      <c r="H14" s="458"/>
      <c r="I14" s="458"/>
      <c r="J14" s="472"/>
      <c r="K14" s="458"/>
      <c r="L14" s="463"/>
    </row>
    <row r="15" spans="1:18" ht="16.5" thickBot="1">
      <c r="A15" s="467" t="s">
        <v>129</v>
      </c>
      <c r="C15" s="456" t="s">
        <v>526</v>
      </c>
      <c r="D15" s="474" t="s">
        <v>527</v>
      </c>
      <c r="E15" s="471" t="s">
        <v>10</v>
      </c>
      <c r="F15" s="465"/>
      <c r="G15" s="475" t="s">
        <v>528</v>
      </c>
      <c r="H15" s="475"/>
      <c r="I15" s="458"/>
      <c r="J15" s="472"/>
      <c r="K15" s="458"/>
      <c r="L15" s="463"/>
    </row>
    <row r="16" spans="1:18">
      <c r="A16" s="467">
        <v>2</v>
      </c>
      <c r="C16" s="456" t="s">
        <v>529</v>
      </c>
      <c r="D16" s="465" t="s">
        <v>530</v>
      </c>
      <c r="E16" s="476">
        <f>J306</f>
        <v>20860</v>
      </c>
      <c r="F16" s="465"/>
      <c r="G16" s="465" t="s">
        <v>531</v>
      </c>
      <c r="H16" s="477">
        <f>J254</f>
        <v>0.93314209828360362</v>
      </c>
      <c r="I16" s="465"/>
      <c r="J16" s="476">
        <f>+H16*E16</f>
        <v>19465.344170195971</v>
      </c>
      <c r="K16" s="458"/>
      <c r="L16" s="463"/>
    </row>
    <row r="17" spans="1:17">
      <c r="A17" s="467">
        <v>3</v>
      </c>
      <c r="C17" s="456" t="s">
        <v>532</v>
      </c>
      <c r="D17" s="465" t="s">
        <v>533</v>
      </c>
      <c r="E17" s="476">
        <f>J313</f>
        <v>13317148.146662191</v>
      </c>
      <c r="F17" s="465"/>
      <c r="G17" s="476" t="str">
        <f t="shared" ref="G17:H19" si="0">+G16</f>
        <v>TP</v>
      </c>
      <c r="H17" s="477">
        <f t="shared" si="0"/>
        <v>0.93314209828360362</v>
      </c>
      <c r="I17" s="465"/>
      <c r="J17" s="476">
        <f>+H17*E17</f>
        <v>12426791.564729959</v>
      </c>
      <c r="K17" s="458"/>
      <c r="L17" s="463"/>
    </row>
    <row r="18" spans="1:17">
      <c r="A18" s="467">
        <v>4</v>
      </c>
      <c r="C18" s="478" t="s">
        <v>534</v>
      </c>
      <c r="D18" s="465"/>
      <c r="E18" s="479">
        <v>0</v>
      </c>
      <c r="F18" s="465"/>
      <c r="G18" s="476" t="str">
        <f t="shared" si="0"/>
        <v>TP</v>
      </c>
      <c r="H18" s="477">
        <f t="shared" si="0"/>
        <v>0.93314209828360362</v>
      </c>
      <c r="I18" s="465"/>
      <c r="J18" s="476">
        <f>+H18*E18</f>
        <v>0</v>
      </c>
      <c r="K18" s="458"/>
      <c r="L18" s="463"/>
      <c r="N18" s="480"/>
      <c r="O18" s="481"/>
      <c r="P18" s="481"/>
      <c r="Q18" s="481"/>
    </row>
    <row r="19" spans="1:17" ht="16.5" thickBot="1">
      <c r="A19" s="467">
        <v>5</v>
      </c>
      <c r="C19" s="478" t="s">
        <v>535</v>
      </c>
      <c r="D19" s="465"/>
      <c r="E19" s="479">
        <v>0</v>
      </c>
      <c r="F19" s="465"/>
      <c r="G19" s="476" t="str">
        <f t="shared" si="0"/>
        <v>TP</v>
      </c>
      <c r="H19" s="477">
        <f t="shared" si="0"/>
        <v>0.93314209828360362</v>
      </c>
      <c r="I19" s="465"/>
      <c r="J19" s="482">
        <f>+H19*E19</f>
        <v>0</v>
      </c>
      <c r="K19" s="458"/>
      <c r="L19" s="463"/>
      <c r="N19" s="480"/>
      <c r="O19" s="481"/>
      <c r="P19" s="481"/>
      <c r="Q19" s="481"/>
    </row>
    <row r="20" spans="1:17">
      <c r="A20" s="467">
        <v>6</v>
      </c>
      <c r="C20" s="456" t="s">
        <v>536</v>
      </c>
      <c r="D20" s="458"/>
      <c r="E20" s="483" t="s">
        <v>129</v>
      </c>
      <c r="F20" s="465"/>
      <c r="G20" s="465"/>
      <c r="H20" s="484"/>
      <c r="I20" s="465"/>
      <c r="J20" s="476">
        <f>SUM(J16:J19)</f>
        <v>12446256.908900155</v>
      </c>
      <c r="K20" s="458"/>
      <c r="L20" s="463"/>
      <c r="N20" s="485"/>
      <c r="O20" s="481"/>
      <c r="P20" s="481"/>
      <c r="Q20" s="481"/>
    </row>
    <row r="21" spans="1:17">
      <c r="A21" s="467"/>
      <c r="D21" s="458"/>
      <c r="E21" s="465" t="s">
        <v>129</v>
      </c>
      <c r="F21" s="458"/>
      <c r="G21" s="458"/>
      <c r="H21" s="484"/>
      <c r="I21" s="458"/>
      <c r="K21" s="458"/>
      <c r="L21" s="463"/>
      <c r="N21" s="485"/>
      <c r="O21" s="481"/>
      <c r="P21" s="481"/>
      <c r="Q21" s="481"/>
    </row>
    <row r="22" spans="1:17">
      <c r="A22" s="486" t="s">
        <v>537</v>
      </c>
      <c r="C22" s="487" t="s">
        <v>538</v>
      </c>
      <c r="D22" s="488"/>
      <c r="E22" s="489" t="s">
        <v>129</v>
      </c>
      <c r="F22" s="488"/>
      <c r="G22" s="488"/>
      <c r="H22" s="490"/>
      <c r="I22" s="488"/>
      <c r="J22" s="491">
        <v>19292145</v>
      </c>
      <c r="K22" s="458"/>
      <c r="L22" s="463"/>
      <c r="N22" s="485"/>
      <c r="O22" s="481"/>
      <c r="P22" s="481"/>
      <c r="Q22" s="481"/>
    </row>
    <row r="23" spans="1:17" ht="16.5" thickBot="1">
      <c r="A23" s="486" t="s">
        <v>539</v>
      </c>
      <c r="C23" s="487" t="s">
        <v>540</v>
      </c>
      <c r="D23" s="488" t="s">
        <v>541</v>
      </c>
      <c r="E23" s="489"/>
      <c r="F23" s="488"/>
      <c r="G23" s="488"/>
      <c r="H23" s="490"/>
      <c r="I23" s="488"/>
      <c r="J23" s="492">
        <v>22764607</v>
      </c>
      <c r="K23" s="458"/>
      <c r="L23" s="463"/>
      <c r="N23" s="485"/>
      <c r="O23" s="481"/>
      <c r="P23" s="481"/>
      <c r="Q23" s="481"/>
    </row>
    <row r="24" spans="1:17">
      <c r="A24" s="486" t="s">
        <v>542</v>
      </c>
      <c r="C24" s="487" t="s">
        <v>543</v>
      </c>
      <c r="D24" s="488" t="s">
        <v>544</v>
      </c>
      <c r="E24" s="489"/>
      <c r="F24" s="488"/>
      <c r="G24" s="488"/>
      <c r="H24" s="490"/>
      <c r="I24" s="488"/>
      <c r="J24" s="493">
        <f>J22-J23</f>
        <v>-3472462</v>
      </c>
      <c r="K24" s="458"/>
      <c r="L24" s="463"/>
      <c r="N24" s="485"/>
      <c r="O24" s="481"/>
      <c r="P24" s="481"/>
      <c r="Q24" s="481"/>
    </row>
    <row r="25" spans="1:17">
      <c r="A25" s="486" t="s">
        <v>545</v>
      </c>
      <c r="C25" s="487" t="s">
        <v>546</v>
      </c>
      <c r="D25" s="488" t="s">
        <v>547</v>
      </c>
      <c r="E25" s="489"/>
      <c r="F25" s="488"/>
      <c r="G25" s="488"/>
      <c r="H25" s="490"/>
      <c r="I25" s="488"/>
      <c r="J25" s="493">
        <f>E399</f>
        <v>362545.8076</v>
      </c>
      <c r="K25" s="458"/>
      <c r="L25" s="463"/>
      <c r="N25" s="485"/>
      <c r="O25" s="481"/>
      <c r="P25" s="494"/>
      <c r="Q25" s="481"/>
    </row>
    <row r="26" spans="1:17" ht="16.5" thickBot="1">
      <c r="A26" s="486" t="s">
        <v>548</v>
      </c>
      <c r="C26" s="487" t="s">
        <v>549</v>
      </c>
      <c r="D26" s="488"/>
      <c r="E26" s="489"/>
      <c r="F26" s="488"/>
      <c r="G26" s="488"/>
      <c r="H26" s="490"/>
      <c r="I26" s="488"/>
      <c r="J26" s="492">
        <f>-195282+96309</f>
        <v>-98973</v>
      </c>
      <c r="K26" s="458"/>
      <c r="L26" s="463"/>
      <c r="N26" s="495">
        <f>J26+J25+J24</f>
        <v>-3208889.1924000001</v>
      </c>
      <c r="O26" s="481" t="s">
        <v>550</v>
      </c>
      <c r="P26" s="494"/>
      <c r="Q26" s="481"/>
    </row>
    <row r="27" spans="1:17">
      <c r="A27" s="467"/>
      <c r="C27" s="456"/>
      <c r="D27" s="458"/>
      <c r="J27" s="465"/>
      <c r="K27" s="458"/>
      <c r="L27" s="463"/>
      <c r="N27" s="485"/>
      <c r="O27" s="481" t="s">
        <v>551</v>
      </c>
      <c r="P27" s="481"/>
      <c r="Q27" s="481"/>
    </row>
    <row r="28" spans="1:17" ht="16.5" thickBot="1">
      <c r="A28" s="467" t="s">
        <v>552</v>
      </c>
      <c r="C28" s="456" t="s">
        <v>553</v>
      </c>
      <c r="D28" s="496" t="s">
        <v>554</v>
      </c>
      <c r="E28" s="483"/>
      <c r="F28" s="465"/>
      <c r="G28" s="465"/>
      <c r="H28" s="465"/>
      <c r="I28" s="465"/>
      <c r="J28" s="497">
        <f>+J12-J20+J24+J25+J26</f>
        <v>15359443.337350043</v>
      </c>
      <c r="K28" s="458"/>
      <c r="L28" s="463"/>
      <c r="N28" s="498"/>
      <c r="O28" s="498"/>
      <c r="P28" s="481"/>
      <c r="Q28" s="481"/>
    </row>
    <row r="29" spans="1:17" ht="16.5" thickTop="1">
      <c r="A29" s="467" t="s">
        <v>555</v>
      </c>
      <c r="C29" s="456" t="s">
        <v>556</v>
      </c>
      <c r="D29" s="496"/>
      <c r="E29" s="483"/>
      <c r="F29" s="465"/>
      <c r="G29" s="465"/>
      <c r="H29" s="465"/>
      <c r="I29" s="465"/>
      <c r="J29" s="499">
        <v>0</v>
      </c>
      <c r="K29" s="458"/>
      <c r="L29" s="463"/>
      <c r="N29" s="498">
        <v>-195282</v>
      </c>
      <c r="O29" s="500" t="s">
        <v>557</v>
      </c>
      <c r="P29" s="481"/>
      <c r="Q29" s="481"/>
    </row>
    <row r="30" spans="1:17" ht="16.5" thickBot="1">
      <c r="A30" s="467" t="s">
        <v>558</v>
      </c>
      <c r="C30" s="456" t="s">
        <v>559</v>
      </c>
      <c r="D30" s="496"/>
      <c r="E30" s="483"/>
      <c r="F30" s="465"/>
      <c r="G30" s="465"/>
      <c r="H30" s="465"/>
      <c r="I30" s="465"/>
      <c r="J30" s="501">
        <v>0</v>
      </c>
      <c r="K30" s="458"/>
      <c r="L30" s="463"/>
      <c r="N30" s="498">
        <v>96309</v>
      </c>
      <c r="O30" s="500" t="s">
        <v>560</v>
      </c>
      <c r="P30" s="481"/>
      <c r="Q30" s="481"/>
    </row>
    <row r="31" spans="1:17">
      <c r="A31" s="467">
        <v>7</v>
      </c>
      <c r="C31" s="456" t="s">
        <v>561</v>
      </c>
      <c r="D31" s="496"/>
      <c r="E31" s="483"/>
      <c r="F31" s="465"/>
      <c r="G31" s="465"/>
      <c r="H31" s="465"/>
      <c r="I31" s="465"/>
      <c r="J31" s="502">
        <f>SUM(J28:J30)</f>
        <v>15359443.337350043</v>
      </c>
      <c r="K31" s="458"/>
      <c r="L31" s="463"/>
      <c r="N31" s="503">
        <f>N29+N30</f>
        <v>-98973</v>
      </c>
      <c r="O31" s="500"/>
      <c r="P31" s="481"/>
      <c r="Q31" s="481"/>
    </row>
    <row r="32" spans="1:17">
      <c r="A32" s="467"/>
      <c r="D32" s="458"/>
      <c r="E32" s="483"/>
      <c r="F32" s="465"/>
      <c r="G32" s="465"/>
      <c r="H32" s="465"/>
      <c r="I32" s="465"/>
      <c r="K32" s="458"/>
      <c r="L32" s="463"/>
      <c r="N32" s="504"/>
      <c r="O32" s="505"/>
      <c r="P32" s="481"/>
      <c r="Q32" s="481"/>
    </row>
    <row r="33" spans="1:17">
      <c r="A33" s="467"/>
      <c r="D33" s="465"/>
      <c r="J33" s="465"/>
      <c r="K33" s="458"/>
      <c r="L33" s="463"/>
      <c r="N33" s="506"/>
      <c r="O33" s="507"/>
      <c r="P33" s="481"/>
      <c r="Q33" s="481"/>
    </row>
    <row r="34" spans="1:17">
      <c r="A34" s="467"/>
      <c r="C34" s="456" t="s">
        <v>562</v>
      </c>
      <c r="D34" s="458"/>
      <c r="E34" s="472"/>
      <c r="F34" s="458"/>
      <c r="G34" s="458"/>
      <c r="H34" s="458"/>
      <c r="I34" s="458"/>
      <c r="J34" s="472"/>
      <c r="K34" s="458"/>
      <c r="L34" s="463"/>
      <c r="N34" s="485"/>
      <c r="O34" s="481"/>
      <c r="P34" s="481"/>
      <c r="Q34" s="481"/>
    </row>
    <row r="35" spans="1:17">
      <c r="A35" s="467">
        <v>8</v>
      </c>
      <c r="C35" s="456" t="s">
        <v>563</v>
      </c>
      <c r="E35" s="508"/>
      <c r="F35" s="458"/>
      <c r="G35" s="458"/>
      <c r="H35" s="463" t="s">
        <v>564</v>
      </c>
      <c r="I35" s="458"/>
      <c r="J35" s="509">
        <v>492154</v>
      </c>
      <c r="K35" s="458"/>
      <c r="L35" s="463"/>
      <c r="N35" s="510"/>
      <c r="O35" s="481"/>
      <c r="P35" s="481"/>
      <c r="Q35" s="481"/>
    </row>
    <row r="36" spans="1:17">
      <c r="A36" s="467">
        <v>9</v>
      </c>
      <c r="C36" s="456" t="s">
        <v>565</v>
      </c>
      <c r="D36" s="465"/>
      <c r="E36" s="465"/>
      <c r="F36" s="465"/>
      <c r="G36" s="465"/>
      <c r="H36" s="474" t="s">
        <v>566</v>
      </c>
      <c r="I36" s="465"/>
      <c r="J36" s="509">
        <v>0</v>
      </c>
      <c r="K36" s="458"/>
      <c r="L36" s="463"/>
    </row>
    <row r="37" spans="1:17">
      <c r="A37" s="467">
        <v>10</v>
      </c>
      <c r="C37" s="478" t="s">
        <v>567</v>
      </c>
      <c r="D37" s="458"/>
      <c r="E37" s="511"/>
      <c r="F37" s="458"/>
      <c r="H37" s="463" t="s">
        <v>568</v>
      </c>
      <c r="I37" s="458"/>
      <c r="J37" s="509">
        <v>115272</v>
      </c>
      <c r="K37" s="458"/>
      <c r="L37" s="463"/>
    </row>
    <row r="38" spans="1:17">
      <c r="A38" s="467">
        <v>11</v>
      </c>
      <c r="C38" s="456" t="s">
        <v>569</v>
      </c>
      <c r="D38" s="458"/>
      <c r="E38" s="458"/>
      <c r="F38" s="458"/>
      <c r="H38" s="463" t="s">
        <v>570</v>
      </c>
      <c r="I38" s="458"/>
      <c r="J38" s="512">
        <v>0</v>
      </c>
      <c r="K38" s="458"/>
      <c r="L38" s="463"/>
    </row>
    <row r="39" spans="1:17">
      <c r="A39" s="467">
        <v>12</v>
      </c>
      <c r="C39" s="478" t="s">
        <v>571</v>
      </c>
      <c r="D39" s="458"/>
      <c r="E39" s="458"/>
      <c r="F39" s="458"/>
      <c r="G39" s="458"/>
      <c r="H39" s="458"/>
      <c r="I39" s="458"/>
      <c r="J39" s="512">
        <v>0</v>
      </c>
      <c r="K39" s="458"/>
      <c r="L39" s="463"/>
    </row>
    <row r="40" spans="1:17">
      <c r="A40" s="467">
        <v>13</v>
      </c>
      <c r="C40" s="478" t="s">
        <v>572</v>
      </c>
      <c r="D40" s="458"/>
      <c r="E40" s="458"/>
      <c r="F40" s="458"/>
      <c r="G40" s="458"/>
      <c r="H40" s="463"/>
      <c r="I40" s="458"/>
      <c r="J40" s="512">
        <v>0</v>
      </c>
      <c r="K40" s="458"/>
      <c r="L40" s="463"/>
    </row>
    <row r="41" spans="1:17" ht="16.5" thickBot="1">
      <c r="A41" s="467">
        <v>14</v>
      </c>
      <c r="C41" s="478" t="s">
        <v>573</v>
      </c>
      <c r="D41" s="458"/>
      <c r="E41" s="458"/>
      <c r="F41" s="458"/>
      <c r="G41" s="458"/>
      <c r="H41" s="458"/>
      <c r="I41" s="458"/>
      <c r="J41" s="513">
        <v>0</v>
      </c>
      <c r="K41" s="458"/>
      <c r="L41" s="463"/>
    </row>
    <row r="42" spans="1:17">
      <c r="A42" s="467">
        <v>15</v>
      </c>
      <c r="C42" s="456" t="s">
        <v>574</v>
      </c>
      <c r="D42" s="458"/>
      <c r="E42" s="458"/>
      <c r="F42" s="458"/>
      <c r="G42" s="458"/>
      <c r="H42" s="458"/>
      <c r="I42" s="458"/>
      <c r="J42" s="514">
        <f>SUM(J35:J41)</f>
        <v>607426</v>
      </c>
      <c r="K42" s="458"/>
      <c r="L42" s="463"/>
    </row>
    <row r="43" spans="1:17">
      <c r="A43" s="467"/>
      <c r="C43" s="456"/>
      <c r="D43" s="458"/>
      <c r="E43" s="458"/>
      <c r="F43" s="458"/>
      <c r="G43" s="458"/>
      <c r="H43" s="458"/>
      <c r="I43" s="458"/>
      <c r="J43" s="472"/>
      <c r="K43" s="458"/>
      <c r="L43" s="463"/>
    </row>
    <row r="44" spans="1:17">
      <c r="A44" s="467">
        <v>16</v>
      </c>
      <c r="C44" s="456" t="s">
        <v>575</v>
      </c>
      <c r="D44" s="458" t="s">
        <v>576</v>
      </c>
      <c r="E44" s="515">
        <f>IF(J42&gt;0,J28/J42,0)</f>
        <v>25.286114419451987</v>
      </c>
      <c r="F44" s="458"/>
      <c r="G44" s="458"/>
      <c r="H44" s="458"/>
      <c r="I44" s="458"/>
      <c r="K44" s="458"/>
      <c r="L44" s="463"/>
    </row>
    <row r="45" spans="1:17">
      <c r="A45" s="467">
        <v>17</v>
      </c>
      <c r="C45" s="456" t="s">
        <v>577</v>
      </c>
      <c r="D45" s="458" t="s">
        <v>578</v>
      </c>
      <c r="E45" s="515">
        <f>+E44/12</f>
        <v>2.1071762016209989</v>
      </c>
      <c r="F45" s="458"/>
      <c r="G45" s="458"/>
      <c r="H45" s="458"/>
      <c r="I45" s="458"/>
      <c r="K45" s="458"/>
      <c r="L45" s="463"/>
    </row>
    <row r="46" spans="1:17">
      <c r="A46" s="467"/>
      <c r="C46" s="456"/>
      <c r="D46" s="458"/>
      <c r="E46" s="516"/>
      <c r="F46" s="458"/>
      <c r="G46" s="458"/>
      <c r="H46" s="458"/>
      <c r="I46" s="458"/>
      <c r="K46" s="458"/>
      <c r="L46" s="463"/>
    </row>
    <row r="47" spans="1:17">
      <c r="A47" s="467"/>
      <c r="C47" s="456"/>
      <c r="D47" s="458"/>
      <c r="E47" s="517" t="s">
        <v>579</v>
      </c>
      <c r="F47" s="458"/>
      <c r="G47" s="458"/>
      <c r="H47" s="458"/>
      <c r="I47" s="458"/>
      <c r="J47" s="518" t="s">
        <v>580</v>
      </c>
      <c r="K47" s="458"/>
      <c r="L47" s="463"/>
    </row>
    <row r="48" spans="1:17">
      <c r="A48" s="467"/>
      <c r="C48" s="456"/>
      <c r="D48" s="458"/>
      <c r="E48" s="516"/>
      <c r="F48" s="458"/>
      <c r="G48" s="458"/>
      <c r="H48" s="458"/>
      <c r="I48" s="458"/>
      <c r="K48" s="458"/>
      <c r="L48" s="463"/>
    </row>
    <row r="49" spans="1:12">
      <c r="A49" s="467">
        <v>18</v>
      </c>
      <c r="C49" s="456" t="s">
        <v>581</v>
      </c>
      <c r="D49" s="457" t="s">
        <v>582</v>
      </c>
      <c r="E49" s="515">
        <f>+E44/52</f>
        <v>0.48627143114330745</v>
      </c>
      <c r="F49" s="458"/>
      <c r="G49" s="458"/>
      <c r="H49" s="458"/>
      <c r="I49" s="458"/>
      <c r="J49" s="519">
        <f>+E44/52</f>
        <v>0.48627143114330745</v>
      </c>
      <c r="K49" s="458"/>
      <c r="L49" s="463"/>
    </row>
    <row r="50" spans="1:12">
      <c r="A50" s="467">
        <v>19</v>
      </c>
      <c r="C50" s="456" t="s">
        <v>583</v>
      </c>
      <c r="D50" s="457" t="s">
        <v>584</v>
      </c>
      <c r="E50" s="515">
        <f>+E44/260</f>
        <v>9.7254286228661488E-2</v>
      </c>
      <c r="F50" s="458" t="s">
        <v>585</v>
      </c>
      <c r="H50" s="458"/>
      <c r="I50" s="458"/>
      <c r="J50" s="519">
        <f>+E44/365</f>
        <v>6.9277025806717768E-2</v>
      </c>
      <c r="K50" s="458"/>
      <c r="L50" s="463"/>
    </row>
    <row r="51" spans="1:12">
      <c r="A51" s="467">
        <v>20</v>
      </c>
      <c r="C51" s="456" t="s">
        <v>586</v>
      </c>
      <c r="D51" s="520" t="s">
        <v>587</v>
      </c>
      <c r="E51" s="521">
        <f>+E44/4160*1000</f>
        <v>6.0783928892913428</v>
      </c>
      <c r="F51" s="458" t="s">
        <v>588</v>
      </c>
      <c r="H51" s="458"/>
      <c r="I51" s="458"/>
      <c r="J51" s="519">
        <f>+E44/8760*1000</f>
        <v>2.8865427419465739</v>
      </c>
      <c r="K51" s="458"/>
      <c r="L51" s="463" t="s">
        <v>129</v>
      </c>
    </row>
    <row r="52" spans="1:12">
      <c r="A52" s="467"/>
      <c r="C52" s="456"/>
      <c r="D52" s="458"/>
      <c r="E52" s="458"/>
      <c r="F52" s="458"/>
      <c r="H52" s="458"/>
      <c r="I52" s="458"/>
      <c r="K52" s="458"/>
      <c r="L52" s="463" t="s">
        <v>129</v>
      </c>
    </row>
    <row r="53" spans="1:12">
      <c r="A53" s="467">
        <v>21</v>
      </c>
      <c r="C53" s="456" t="s">
        <v>589</v>
      </c>
      <c r="D53" s="458" t="s">
        <v>590</v>
      </c>
      <c r="E53" s="522">
        <v>0</v>
      </c>
      <c r="F53" s="523" t="s">
        <v>591</v>
      </c>
      <c r="G53" s="523"/>
      <c r="H53" s="523"/>
      <c r="I53" s="523"/>
      <c r="J53" s="524">
        <f>E53</f>
        <v>0</v>
      </c>
      <c r="K53" s="523" t="s">
        <v>591</v>
      </c>
      <c r="L53" s="463"/>
    </row>
    <row r="54" spans="1:12">
      <c r="A54" s="467">
        <v>22</v>
      </c>
      <c r="C54" s="456"/>
      <c r="D54" s="458"/>
      <c r="E54" s="522">
        <v>0</v>
      </c>
      <c r="F54" s="523" t="s">
        <v>314</v>
      </c>
      <c r="G54" s="523"/>
      <c r="H54" s="523"/>
      <c r="I54" s="523"/>
      <c r="J54" s="524">
        <f>E54</f>
        <v>0</v>
      </c>
      <c r="K54" s="523" t="s">
        <v>314</v>
      </c>
      <c r="L54" s="463"/>
    </row>
    <row r="55" spans="1:12" s="526" customFormat="1">
      <c r="A55" s="525"/>
      <c r="C55" s="527"/>
      <c r="D55" s="463"/>
      <c r="E55" s="528"/>
      <c r="F55" s="528"/>
      <c r="G55" s="528"/>
      <c r="H55" s="528"/>
      <c r="I55" s="528"/>
      <c r="J55" s="528"/>
      <c r="K55" s="528"/>
      <c r="L55" s="463"/>
    </row>
    <row r="56" spans="1:12" s="526" customFormat="1">
      <c r="A56" s="525"/>
      <c r="C56" s="527"/>
      <c r="D56" s="463"/>
      <c r="E56" s="528"/>
      <c r="F56" s="528"/>
      <c r="G56" s="528"/>
      <c r="H56" s="528"/>
      <c r="I56" s="528"/>
      <c r="J56" s="528"/>
      <c r="K56" s="528"/>
      <c r="L56" s="463"/>
    </row>
    <row r="57" spans="1:12" s="526" customFormat="1">
      <c r="A57" s="525"/>
      <c r="C57" s="527"/>
      <c r="D57" s="463"/>
      <c r="E57" s="528"/>
      <c r="F57" s="528"/>
      <c r="G57" s="528"/>
      <c r="H57" s="528"/>
      <c r="I57" s="528"/>
      <c r="J57" s="528"/>
      <c r="K57" s="528"/>
      <c r="L57" s="463"/>
    </row>
    <row r="58" spans="1:12" s="526" customFormat="1">
      <c r="A58" s="525"/>
      <c r="C58" s="527"/>
      <c r="D58" s="463"/>
      <c r="E58" s="528"/>
      <c r="F58" s="528"/>
      <c r="G58" s="528"/>
      <c r="H58" s="528"/>
      <c r="I58" s="528"/>
      <c r="J58" s="528"/>
      <c r="K58" s="528"/>
      <c r="L58" s="463"/>
    </row>
    <row r="59" spans="1:12" s="526" customFormat="1">
      <c r="A59" s="525"/>
      <c r="C59" s="527"/>
      <c r="D59" s="463"/>
      <c r="E59" s="528"/>
      <c r="F59" s="528"/>
      <c r="G59" s="528"/>
      <c r="H59" s="528"/>
      <c r="I59" s="528"/>
      <c r="J59" s="528"/>
      <c r="K59" s="528"/>
      <c r="L59" s="463"/>
    </row>
    <row r="60" spans="1:12" s="526" customFormat="1">
      <c r="A60" s="525"/>
      <c r="C60" s="527"/>
      <c r="D60" s="463"/>
      <c r="E60" s="528"/>
      <c r="F60" s="528"/>
      <c r="G60" s="528"/>
      <c r="H60" s="528"/>
      <c r="I60" s="528"/>
      <c r="J60" s="528"/>
      <c r="K60" s="528"/>
      <c r="L60" s="463"/>
    </row>
    <row r="61" spans="1:12" s="526" customFormat="1">
      <c r="A61" s="525"/>
      <c r="C61" s="527"/>
      <c r="D61" s="463"/>
      <c r="E61" s="528"/>
      <c r="F61" s="528"/>
      <c r="G61" s="528"/>
      <c r="H61" s="528"/>
      <c r="I61" s="528"/>
      <c r="J61" s="528"/>
      <c r="K61" s="528"/>
      <c r="L61" s="463"/>
    </row>
    <row r="62" spans="1:12" s="526" customFormat="1">
      <c r="A62" s="525"/>
      <c r="C62" s="527"/>
      <c r="D62" s="463"/>
      <c r="E62" s="528"/>
      <c r="F62" s="528"/>
      <c r="G62" s="528"/>
      <c r="H62" s="528"/>
      <c r="I62" s="528"/>
      <c r="J62" s="528"/>
      <c r="K62" s="528"/>
      <c r="L62" s="463"/>
    </row>
    <row r="63" spans="1:12" s="526" customFormat="1">
      <c r="A63" s="525"/>
      <c r="C63" s="527"/>
      <c r="D63" s="463"/>
      <c r="E63" s="528"/>
      <c r="F63" s="528"/>
      <c r="G63" s="528"/>
      <c r="H63" s="528"/>
      <c r="I63" s="528"/>
      <c r="J63" s="528"/>
      <c r="K63" s="528"/>
      <c r="L63" s="463"/>
    </row>
    <row r="64" spans="1:12" s="526" customFormat="1">
      <c r="A64" s="525"/>
      <c r="C64" s="527"/>
      <c r="D64" s="463"/>
      <c r="E64" s="528"/>
      <c r="F64" s="528"/>
      <c r="G64" s="528"/>
      <c r="H64" s="528"/>
      <c r="I64" s="528"/>
      <c r="J64" s="528"/>
      <c r="K64" s="528"/>
      <c r="L64" s="463"/>
    </row>
    <row r="65" spans="1:12" s="526" customFormat="1">
      <c r="A65" s="525"/>
      <c r="C65" s="527"/>
      <c r="D65" s="463"/>
      <c r="E65" s="528"/>
      <c r="F65" s="528"/>
      <c r="G65" s="528"/>
      <c r="H65" s="528"/>
      <c r="I65" s="528"/>
      <c r="J65" s="528"/>
      <c r="K65" s="528"/>
      <c r="L65" s="463"/>
    </row>
    <row r="66" spans="1:12" s="526" customFormat="1">
      <c r="A66" s="525"/>
      <c r="C66" s="527"/>
      <c r="D66" s="463"/>
      <c r="E66" s="528"/>
      <c r="F66" s="528"/>
      <c r="G66" s="528"/>
      <c r="H66" s="528"/>
      <c r="I66" s="528"/>
      <c r="J66" s="528"/>
      <c r="K66" s="528"/>
      <c r="L66" s="463"/>
    </row>
    <row r="67" spans="1:12" s="526" customFormat="1">
      <c r="A67" s="525"/>
      <c r="C67" s="527"/>
      <c r="D67" s="463"/>
      <c r="E67" s="528"/>
      <c r="F67" s="528"/>
      <c r="G67" s="528"/>
      <c r="H67" s="528"/>
      <c r="I67" s="528"/>
      <c r="J67" s="528"/>
      <c r="K67" s="528"/>
      <c r="L67" s="463"/>
    </row>
    <row r="68" spans="1:12" s="526" customFormat="1">
      <c r="A68" s="525"/>
      <c r="C68" s="527"/>
      <c r="D68" s="463"/>
      <c r="E68" s="528"/>
      <c r="F68" s="528"/>
      <c r="G68" s="528"/>
      <c r="H68" s="528"/>
      <c r="I68" s="528"/>
      <c r="J68" s="528"/>
      <c r="K68" s="528"/>
      <c r="L68" s="463"/>
    </row>
    <row r="69" spans="1:12" s="526" customFormat="1">
      <c r="A69" s="525"/>
      <c r="C69" s="527"/>
      <c r="D69" s="463"/>
      <c r="E69" s="528"/>
      <c r="F69" s="528"/>
      <c r="G69" s="528"/>
      <c r="H69" s="528"/>
      <c r="I69" s="528"/>
      <c r="J69" s="528"/>
      <c r="K69" s="528"/>
      <c r="L69" s="463"/>
    </row>
    <row r="70" spans="1:12" s="526" customFormat="1">
      <c r="A70" s="525"/>
      <c r="C70" s="527"/>
      <c r="D70" s="463"/>
      <c r="E70" s="528"/>
      <c r="F70" s="528"/>
      <c r="G70" s="528"/>
      <c r="H70" s="528"/>
      <c r="I70" s="528"/>
      <c r="J70" s="528"/>
      <c r="K70" s="528"/>
      <c r="L70" s="463"/>
    </row>
    <row r="71" spans="1:12" s="526" customFormat="1">
      <c r="A71" s="525"/>
      <c r="C71" s="527"/>
      <c r="D71" s="463"/>
      <c r="E71" s="528"/>
      <c r="F71" s="528"/>
      <c r="G71" s="528"/>
      <c r="H71" s="528"/>
      <c r="I71" s="528"/>
      <c r="J71" s="528"/>
      <c r="K71" s="528"/>
      <c r="L71" s="463"/>
    </row>
    <row r="72" spans="1:12" s="526" customFormat="1">
      <c r="A72" s="525"/>
      <c r="C72" s="527"/>
      <c r="D72" s="463"/>
      <c r="E72" s="528"/>
      <c r="F72" s="528"/>
      <c r="G72" s="528"/>
      <c r="H72" s="528"/>
      <c r="I72" s="528"/>
      <c r="J72" s="528"/>
      <c r="K72" s="528"/>
      <c r="L72" s="463"/>
    </row>
    <row r="73" spans="1:12" s="526" customFormat="1">
      <c r="A73" s="525"/>
      <c r="C73" s="527"/>
      <c r="D73" s="463"/>
      <c r="E73" s="528"/>
      <c r="F73" s="528"/>
      <c r="G73" s="528"/>
      <c r="H73" s="528"/>
      <c r="I73" s="528"/>
      <c r="J73" s="528"/>
      <c r="K73" s="528"/>
      <c r="L73" s="463"/>
    </row>
    <row r="74" spans="1:12" s="526" customFormat="1">
      <c r="A74" s="525"/>
      <c r="C74" s="527"/>
      <c r="D74" s="463"/>
      <c r="E74" s="528"/>
      <c r="F74" s="528"/>
      <c r="G74" s="528"/>
      <c r="H74" s="528"/>
      <c r="I74" s="528"/>
      <c r="J74" s="528"/>
      <c r="K74" s="528"/>
      <c r="L74" s="463"/>
    </row>
    <row r="75" spans="1:12" s="526" customFormat="1">
      <c r="A75" s="525"/>
      <c r="C75" s="527"/>
      <c r="D75" s="463"/>
      <c r="E75" s="528"/>
      <c r="F75" s="528"/>
      <c r="G75" s="528"/>
      <c r="H75" s="528"/>
      <c r="I75" s="528"/>
      <c r="J75" s="528"/>
      <c r="K75" s="528"/>
      <c r="L75" s="463"/>
    </row>
    <row r="76" spans="1:12" s="526" customFormat="1">
      <c r="A76" s="525"/>
      <c r="C76" s="527"/>
      <c r="D76" s="463"/>
      <c r="E76" s="528"/>
      <c r="F76" s="528"/>
      <c r="G76" s="528"/>
      <c r="H76" s="528"/>
      <c r="I76" s="528"/>
      <c r="J76" s="528"/>
      <c r="K76" s="528"/>
      <c r="L76" s="463"/>
    </row>
    <row r="77" spans="1:12" s="526" customFormat="1">
      <c r="A77" s="525"/>
      <c r="C77" s="527"/>
      <c r="D77" s="463"/>
      <c r="E77" s="528"/>
      <c r="F77" s="528"/>
      <c r="G77" s="528"/>
      <c r="H77" s="528"/>
      <c r="I77" s="528"/>
      <c r="J77" s="528"/>
      <c r="K77" s="528"/>
      <c r="L77" s="463"/>
    </row>
    <row r="78" spans="1:12" s="526" customFormat="1">
      <c r="A78" s="525"/>
      <c r="C78" s="527"/>
      <c r="D78" s="463"/>
      <c r="E78" s="528"/>
      <c r="F78" s="528"/>
      <c r="G78" s="528"/>
      <c r="H78" s="528"/>
      <c r="I78" s="528"/>
      <c r="J78" s="528"/>
      <c r="K78" s="528"/>
      <c r="L78" s="463"/>
    </row>
    <row r="79" spans="1:12" s="526" customFormat="1">
      <c r="A79" s="525"/>
      <c r="C79" s="527"/>
      <c r="D79" s="463"/>
      <c r="E79" s="528"/>
      <c r="F79" s="528"/>
      <c r="G79" s="528"/>
      <c r="H79" s="528"/>
      <c r="I79" s="528"/>
      <c r="J79" s="528"/>
      <c r="K79" s="528"/>
      <c r="L79" s="463"/>
    </row>
    <row r="80" spans="1:12">
      <c r="C80" s="456"/>
      <c r="D80" s="456"/>
      <c r="E80" s="457"/>
      <c r="F80" s="456"/>
      <c r="G80" s="456"/>
      <c r="H80" s="456"/>
      <c r="I80" s="458"/>
      <c r="J80" s="467"/>
      <c r="K80" s="467"/>
      <c r="L80" s="460"/>
    </row>
    <row r="81" spans="1:16">
      <c r="C81" s="456"/>
      <c r="D81" s="456"/>
      <c r="E81" s="457"/>
      <c r="F81" s="456"/>
      <c r="G81" s="456"/>
      <c r="H81" s="456"/>
      <c r="I81" s="458"/>
      <c r="J81" s="459"/>
      <c r="K81" s="459"/>
      <c r="L81" s="460"/>
    </row>
    <row r="82" spans="1:16">
      <c r="C82" s="456"/>
      <c r="D82" s="456"/>
      <c r="E82" s="457"/>
      <c r="F82" s="456"/>
      <c r="G82" s="456"/>
      <c r="H82" s="456"/>
      <c r="I82" s="458"/>
      <c r="J82" s="458"/>
      <c r="L82" s="459" t="s">
        <v>1</v>
      </c>
    </row>
    <row r="83" spans="1:16">
      <c r="C83" s="456"/>
      <c r="D83" s="456"/>
      <c r="E83" s="457"/>
      <c r="F83" s="456"/>
      <c r="G83" s="456"/>
      <c r="H83" s="456"/>
      <c r="I83" s="458"/>
      <c r="J83" s="458"/>
      <c r="K83" s="458"/>
      <c r="L83" s="460" t="s">
        <v>592</v>
      </c>
    </row>
    <row r="84" spans="1:16">
      <c r="C84" s="456"/>
      <c r="D84" s="456"/>
      <c r="E84" s="457"/>
      <c r="F84" s="456"/>
      <c r="G84" s="456"/>
      <c r="H84" s="456"/>
      <c r="I84" s="458"/>
      <c r="J84" s="458"/>
      <c r="K84" s="458"/>
      <c r="L84" s="460"/>
    </row>
    <row r="85" spans="1:16">
      <c r="C85" s="456" t="s">
        <v>518</v>
      </c>
      <c r="D85" s="456"/>
      <c r="E85" s="457" t="s">
        <v>519</v>
      </c>
      <c r="F85" s="456"/>
      <c r="G85" s="456"/>
      <c r="H85" s="456"/>
      <c r="I85" s="458"/>
      <c r="J85" s="529" t="str">
        <f>J5</f>
        <v>For the 12 months ended 12/31/16</v>
      </c>
      <c r="K85" s="464"/>
      <c r="L85" s="464"/>
    </row>
    <row r="86" spans="1:16">
      <c r="C86" s="456"/>
      <c r="D86" s="465" t="s">
        <v>129</v>
      </c>
      <c r="E86" s="465" t="s">
        <v>521</v>
      </c>
      <c r="F86" s="465"/>
      <c r="G86" s="465"/>
      <c r="H86" s="465"/>
      <c r="I86" s="458"/>
      <c r="J86" s="458"/>
      <c r="K86" s="458"/>
      <c r="L86" s="463"/>
    </row>
    <row r="87" spans="1:16">
      <c r="C87" s="456"/>
      <c r="D87" s="465"/>
      <c r="E87" s="465"/>
      <c r="F87" s="465"/>
      <c r="G87" s="465"/>
      <c r="H87" s="465"/>
      <c r="I87" s="458"/>
      <c r="J87" s="458"/>
      <c r="K87" s="458"/>
      <c r="L87" s="463"/>
    </row>
    <row r="88" spans="1:16">
      <c r="C88" s="456"/>
      <c r="D88" s="458"/>
      <c r="E88" s="530" t="str">
        <f>E8</f>
        <v>Montana-Dakota Utilities Co.</v>
      </c>
      <c r="F88" s="469"/>
      <c r="G88" s="469"/>
      <c r="H88" s="465"/>
      <c r="I88" s="465"/>
      <c r="J88" s="465"/>
      <c r="K88" s="465"/>
      <c r="L88" s="474"/>
    </row>
    <row r="89" spans="1:16">
      <c r="C89" s="467" t="s">
        <v>593</v>
      </c>
      <c r="D89" s="467" t="s">
        <v>594</v>
      </c>
      <c r="E89" s="467" t="s">
        <v>595</v>
      </c>
      <c r="F89" s="465" t="s">
        <v>129</v>
      </c>
      <c r="G89" s="465"/>
      <c r="H89" s="531" t="s">
        <v>596</v>
      </c>
      <c r="I89" s="465"/>
      <c r="J89" s="532" t="s">
        <v>597</v>
      </c>
      <c r="K89" s="465"/>
      <c r="L89" s="525"/>
    </row>
    <row r="90" spans="1:16">
      <c r="C90" s="456"/>
      <c r="D90" s="533" t="s">
        <v>598</v>
      </c>
      <c r="E90" s="465"/>
      <c r="F90" s="465"/>
      <c r="G90" s="465"/>
      <c r="H90" s="467"/>
      <c r="I90" s="465"/>
      <c r="J90" s="534" t="s">
        <v>7</v>
      </c>
      <c r="K90" s="465"/>
      <c r="L90" s="525"/>
    </row>
    <row r="91" spans="1:16">
      <c r="A91" s="467" t="s">
        <v>522</v>
      </c>
      <c r="C91" s="456"/>
      <c r="D91" s="535" t="s">
        <v>86</v>
      </c>
      <c r="E91" s="534" t="s">
        <v>599</v>
      </c>
      <c r="F91" s="536"/>
      <c r="G91" s="534" t="s">
        <v>600</v>
      </c>
      <c r="I91" s="536"/>
      <c r="J91" s="467" t="s">
        <v>601</v>
      </c>
      <c r="K91" s="465"/>
      <c r="L91" s="525"/>
    </row>
    <row r="92" spans="1:16" ht="16.5" thickBot="1">
      <c r="A92" s="471" t="s">
        <v>523</v>
      </c>
      <c r="C92" s="537" t="s">
        <v>602</v>
      </c>
      <c r="D92" s="465"/>
      <c r="E92" s="465"/>
      <c r="F92" s="465"/>
      <c r="G92" s="465"/>
      <c r="H92" s="465"/>
      <c r="I92" s="465"/>
      <c r="J92" s="465"/>
      <c r="K92" s="465"/>
      <c r="L92" s="538"/>
      <c r="M92" s="462"/>
      <c r="N92" s="462"/>
      <c r="O92" s="462"/>
    </row>
    <row r="93" spans="1:16">
      <c r="A93" s="467"/>
      <c r="C93" s="456"/>
      <c r="D93" s="465"/>
      <c r="E93" s="465"/>
      <c r="F93" s="465"/>
      <c r="G93" s="465"/>
      <c r="H93" s="465"/>
      <c r="I93" s="465"/>
      <c r="J93" s="465"/>
      <c r="K93" s="465"/>
      <c r="L93" s="539"/>
      <c r="M93" s="462"/>
      <c r="N93" s="540"/>
      <c r="O93" s="540"/>
    </row>
    <row r="94" spans="1:16">
      <c r="A94" s="467"/>
      <c r="C94" s="541" t="s">
        <v>603</v>
      </c>
      <c r="D94" s="542"/>
      <c r="E94" s="465"/>
      <c r="F94" s="465"/>
      <c r="G94" s="465"/>
      <c r="H94" s="465"/>
      <c r="I94" s="465"/>
      <c r="J94" s="465"/>
      <c r="K94" s="465"/>
      <c r="L94" s="539"/>
      <c r="M94" s="462"/>
      <c r="N94" s="540"/>
      <c r="O94" s="540"/>
    </row>
    <row r="95" spans="1:16">
      <c r="A95" s="467">
        <v>1</v>
      </c>
      <c r="C95" s="456" t="s">
        <v>604</v>
      </c>
      <c r="D95" s="474" t="s">
        <v>40</v>
      </c>
      <c r="E95" s="479">
        <v>926293547</v>
      </c>
      <c r="F95" s="465"/>
      <c r="G95" s="465" t="s">
        <v>605</v>
      </c>
      <c r="H95" s="543" t="s">
        <v>129</v>
      </c>
      <c r="I95" s="465"/>
      <c r="J95" s="465" t="s">
        <v>129</v>
      </c>
      <c r="K95" s="465"/>
      <c r="L95" s="544"/>
      <c r="M95" s="462"/>
      <c r="N95" s="544"/>
      <c r="O95" s="544"/>
    </row>
    <row r="96" spans="1:16">
      <c r="A96" s="467">
        <v>2</v>
      </c>
      <c r="C96" s="456" t="s">
        <v>606</v>
      </c>
      <c r="D96" s="474" t="s">
        <v>46</v>
      </c>
      <c r="E96" s="479">
        <v>264777125</v>
      </c>
      <c r="F96" s="465"/>
      <c r="G96" s="465" t="s">
        <v>531</v>
      </c>
      <c r="H96" s="545">
        <f>J254</f>
        <v>0.93314209828360362</v>
      </c>
      <c r="I96" s="465"/>
      <c r="J96" s="476">
        <f>+H96*E96</f>
        <v>247074682</v>
      </c>
      <c r="K96" s="465"/>
      <c r="L96" s="538"/>
      <c r="M96" s="462"/>
      <c r="N96" s="544"/>
      <c r="O96" s="544"/>
      <c r="P96" s="526"/>
    </row>
    <row r="97" spans="1:15">
      <c r="A97" s="467">
        <v>3</v>
      </c>
      <c r="C97" s="456" t="s">
        <v>607</v>
      </c>
      <c r="D97" s="474" t="s">
        <v>47</v>
      </c>
      <c r="E97" s="479">
        <v>332510914</v>
      </c>
      <c r="F97" s="465"/>
      <c r="G97" s="465" t="s">
        <v>605</v>
      </c>
      <c r="H97" s="543" t="s">
        <v>129</v>
      </c>
      <c r="I97" s="465"/>
      <c r="J97" s="465" t="s">
        <v>129</v>
      </c>
      <c r="K97" s="465"/>
      <c r="L97" s="538"/>
      <c r="M97" s="462"/>
      <c r="N97" s="544"/>
      <c r="O97" s="544"/>
    </row>
    <row r="98" spans="1:15">
      <c r="A98" s="467">
        <v>4</v>
      </c>
      <c r="C98" s="456" t="s">
        <v>608</v>
      </c>
      <c r="D98" s="474" t="s">
        <v>609</v>
      </c>
      <c r="E98" s="479">
        <v>30237847</v>
      </c>
      <c r="F98" s="465"/>
      <c r="G98" s="465" t="s">
        <v>610</v>
      </c>
      <c r="H98" s="545">
        <f>J272</f>
        <v>0.14454964323541608</v>
      </c>
      <c r="I98" s="465"/>
      <c r="J98" s="476">
        <f>+H98*E98</f>
        <v>4370869.9960570969</v>
      </c>
      <c r="K98" s="465"/>
      <c r="L98" s="538"/>
      <c r="M98" s="462"/>
      <c r="N98" s="544"/>
      <c r="O98" s="544"/>
    </row>
    <row r="99" spans="1:15" ht="16.5" thickBot="1">
      <c r="A99" s="467">
        <v>5</v>
      </c>
      <c r="C99" s="456" t="s">
        <v>611</v>
      </c>
      <c r="D99" s="474" t="s">
        <v>612</v>
      </c>
      <c r="E99" s="546">
        <v>122012389</v>
      </c>
      <c r="F99" s="465"/>
      <c r="G99" s="465" t="s">
        <v>613</v>
      </c>
      <c r="H99" s="545">
        <f>L277</f>
        <v>0.10146554692646804</v>
      </c>
      <c r="I99" s="465"/>
      <c r="J99" s="482">
        <f>+H99*E99</f>
        <v>12380053.781689974</v>
      </c>
      <c r="K99" s="465"/>
      <c r="L99" s="538"/>
      <c r="M99" s="462"/>
      <c r="N99" s="544"/>
      <c r="O99" s="544"/>
    </row>
    <row r="100" spans="1:15">
      <c r="A100" s="467">
        <v>6</v>
      </c>
      <c r="C100" s="456" t="s">
        <v>614</v>
      </c>
      <c r="D100" s="474"/>
      <c r="E100" s="476">
        <f>SUM(E95:E99)</f>
        <v>1675831822</v>
      </c>
      <c r="F100" s="465"/>
      <c r="G100" s="465" t="s">
        <v>615</v>
      </c>
      <c r="H100" s="547">
        <f>IF(J100&gt;0,J100/E100,0)</f>
        <v>0.15742964318632391</v>
      </c>
      <c r="I100" s="465"/>
      <c r="J100" s="476">
        <f>SUM(J95:J99)</f>
        <v>263825605.77774706</v>
      </c>
      <c r="K100" s="465"/>
      <c r="L100" s="538"/>
      <c r="M100" s="462"/>
      <c r="N100" s="544"/>
      <c r="O100" s="544"/>
    </row>
    <row r="101" spans="1:15">
      <c r="C101" s="456"/>
      <c r="D101" s="465"/>
      <c r="E101" s="465"/>
      <c r="F101" s="465"/>
      <c r="G101" s="465"/>
      <c r="H101" s="548"/>
      <c r="I101" s="465"/>
      <c r="J101" s="465"/>
      <c r="K101" s="465"/>
      <c r="L101" s="538"/>
      <c r="M101" s="462"/>
      <c r="N101" s="544"/>
      <c r="O101" s="544"/>
    </row>
    <row r="102" spans="1:15">
      <c r="C102" s="541" t="s">
        <v>616</v>
      </c>
      <c r="D102" s="465"/>
      <c r="E102" s="465"/>
      <c r="F102" s="465"/>
      <c r="G102" s="465"/>
      <c r="H102" s="465"/>
      <c r="I102" s="465"/>
      <c r="J102" s="465"/>
      <c r="K102" s="465"/>
      <c r="L102" s="538"/>
      <c r="M102" s="462"/>
      <c r="N102" s="544"/>
      <c r="O102" s="544"/>
    </row>
    <row r="103" spans="1:15">
      <c r="A103" s="467">
        <v>7</v>
      </c>
      <c r="C103" s="549" t="str">
        <f>+C95</f>
        <v xml:space="preserve">  Production</v>
      </c>
      <c r="D103" s="465" t="s">
        <v>53</v>
      </c>
      <c r="E103" s="479">
        <v>293314600</v>
      </c>
      <c r="F103" s="465"/>
      <c r="G103" s="476" t="str">
        <f>+G95</f>
        <v>NA</v>
      </c>
      <c r="H103" s="545" t="str">
        <f>+H95</f>
        <v xml:space="preserve"> </v>
      </c>
      <c r="I103" s="465"/>
      <c r="J103" s="465" t="s">
        <v>129</v>
      </c>
      <c r="K103" s="465"/>
      <c r="L103" s="538"/>
      <c r="M103" s="462"/>
      <c r="N103" s="544"/>
      <c r="O103" s="544"/>
    </row>
    <row r="104" spans="1:15">
      <c r="A104" s="467">
        <v>8</v>
      </c>
      <c r="C104" s="549" t="str">
        <f>+C96</f>
        <v xml:space="preserve">  Transmission</v>
      </c>
      <c r="D104" s="465" t="s">
        <v>54</v>
      </c>
      <c r="E104" s="479">
        <v>97112450</v>
      </c>
      <c r="F104" s="465"/>
      <c r="G104" s="476" t="str">
        <f t="shared" ref="G104:H107" si="1">+G96</f>
        <v>TP</v>
      </c>
      <c r="H104" s="545">
        <f t="shared" si="1"/>
        <v>0.93314209828360362</v>
      </c>
      <c r="I104" s="465"/>
      <c r="J104" s="476">
        <f>+H104*E104</f>
        <v>90619715.362461537</v>
      </c>
      <c r="K104" s="465"/>
      <c r="L104" s="538"/>
      <c r="M104" s="462"/>
      <c r="N104" s="544"/>
      <c r="O104" s="544"/>
    </row>
    <row r="105" spans="1:15">
      <c r="A105" s="467">
        <v>9</v>
      </c>
      <c r="C105" s="549" t="str">
        <f>+C97</f>
        <v xml:space="preserve">  Distribution</v>
      </c>
      <c r="D105" s="465" t="s">
        <v>55</v>
      </c>
      <c r="E105" s="479">
        <v>116164072</v>
      </c>
      <c r="F105" s="465"/>
      <c r="G105" s="476" t="str">
        <f t="shared" si="1"/>
        <v>NA</v>
      </c>
      <c r="H105" s="545" t="str">
        <f t="shared" si="1"/>
        <v xml:space="preserve"> </v>
      </c>
      <c r="I105" s="465"/>
      <c r="J105" s="465" t="s">
        <v>129</v>
      </c>
      <c r="K105" s="465"/>
      <c r="L105" s="538"/>
      <c r="M105" s="462"/>
      <c r="N105" s="544"/>
      <c r="O105" s="544"/>
    </row>
    <row r="106" spans="1:15">
      <c r="A106" s="467">
        <v>10</v>
      </c>
      <c r="C106" s="549" t="str">
        <f>+C98</f>
        <v xml:space="preserve">  General &amp; Intangible</v>
      </c>
      <c r="D106" s="465" t="s">
        <v>617</v>
      </c>
      <c r="E106" s="479">
        <v>11655640</v>
      </c>
      <c r="F106" s="465"/>
      <c r="G106" s="476" t="str">
        <f t="shared" si="1"/>
        <v>W/S</v>
      </c>
      <c r="H106" s="545">
        <f t="shared" si="1"/>
        <v>0.14454964323541608</v>
      </c>
      <c r="I106" s="465"/>
      <c r="J106" s="476">
        <f>+H106*E106</f>
        <v>1684818.6036804451</v>
      </c>
      <c r="K106" s="465"/>
      <c r="L106" s="538"/>
      <c r="M106" s="462"/>
      <c r="N106" s="544"/>
      <c r="O106" s="544"/>
    </row>
    <row r="107" spans="1:15" ht="16.5" thickBot="1">
      <c r="A107" s="467">
        <v>11</v>
      </c>
      <c r="C107" s="549" t="str">
        <f>+C99</f>
        <v xml:space="preserve">  Common</v>
      </c>
      <c r="D107" s="465" t="s">
        <v>612</v>
      </c>
      <c r="E107" s="546">
        <v>45597867</v>
      </c>
      <c r="F107" s="465"/>
      <c r="G107" s="476" t="str">
        <f t="shared" si="1"/>
        <v>CE</v>
      </c>
      <c r="H107" s="545">
        <f t="shared" si="1"/>
        <v>0.10146554692646804</v>
      </c>
      <c r="I107" s="465"/>
      <c r="J107" s="482">
        <f>+H107*E107</f>
        <v>4626612.5138353491</v>
      </c>
      <c r="K107" s="465"/>
      <c r="L107" s="538"/>
      <c r="M107" s="462"/>
      <c r="N107" s="544"/>
      <c r="O107" s="544"/>
    </row>
    <row r="108" spans="1:15">
      <c r="A108" s="467">
        <v>12</v>
      </c>
      <c r="C108" s="456" t="s">
        <v>618</v>
      </c>
      <c r="D108" s="465"/>
      <c r="E108" s="476">
        <f>SUM(E103:E107)</f>
        <v>563844629</v>
      </c>
      <c r="F108" s="465"/>
      <c r="G108" s="465"/>
      <c r="H108" s="465"/>
      <c r="I108" s="465"/>
      <c r="J108" s="476">
        <f>SUM(J103:J107)</f>
        <v>96931146.47997734</v>
      </c>
      <c r="K108" s="465"/>
      <c r="L108" s="538"/>
      <c r="M108" s="462"/>
      <c r="N108" s="544"/>
      <c r="O108" s="544"/>
    </row>
    <row r="109" spans="1:15">
      <c r="A109" s="467"/>
      <c r="D109" s="465" t="s">
        <v>129</v>
      </c>
      <c r="F109" s="465"/>
      <c r="G109" s="465"/>
      <c r="H109" s="548"/>
      <c r="I109" s="465"/>
      <c r="K109" s="465"/>
      <c r="L109" s="538"/>
      <c r="M109" s="462"/>
      <c r="N109" s="544"/>
      <c r="O109" s="544"/>
    </row>
    <row r="110" spans="1:15">
      <c r="A110" s="467"/>
      <c r="C110" s="541" t="s">
        <v>619</v>
      </c>
      <c r="D110" s="465"/>
      <c r="E110" s="465"/>
      <c r="F110" s="465"/>
      <c r="G110" s="465"/>
      <c r="H110" s="465"/>
      <c r="I110" s="465"/>
      <c r="J110" s="465"/>
      <c r="K110" s="465"/>
      <c r="L110" s="465"/>
      <c r="N110" s="465"/>
      <c r="O110" s="465"/>
    </row>
    <row r="111" spans="1:15">
      <c r="A111" s="467">
        <v>13</v>
      </c>
      <c r="C111" s="549" t="str">
        <f>+C103</f>
        <v xml:space="preserve">  Production</v>
      </c>
      <c r="D111" s="465" t="s">
        <v>620</v>
      </c>
      <c r="E111" s="476">
        <f>E95-E103</f>
        <v>632978947</v>
      </c>
      <c r="F111" s="465"/>
      <c r="G111" s="465"/>
      <c r="H111" s="548"/>
      <c r="I111" s="465"/>
      <c r="J111" s="465" t="s">
        <v>129</v>
      </c>
      <c r="K111" s="465"/>
      <c r="L111" s="465"/>
      <c r="N111" s="465"/>
      <c r="O111" s="465"/>
    </row>
    <row r="112" spans="1:15">
      <c r="A112" s="467">
        <v>14</v>
      </c>
      <c r="C112" s="549" t="str">
        <f>+C104</f>
        <v xml:space="preserve">  Transmission</v>
      </c>
      <c r="D112" s="465" t="s">
        <v>621</v>
      </c>
      <c r="E112" s="476">
        <f>E96-E104</f>
        <v>167664675</v>
      </c>
      <c r="F112" s="465"/>
      <c r="G112" s="465"/>
      <c r="H112" s="543"/>
      <c r="I112" s="465"/>
      <c r="J112" s="476">
        <f>J96-J104</f>
        <v>156454966.63753846</v>
      </c>
      <c r="K112" s="465"/>
      <c r="L112" s="465"/>
      <c r="N112" s="465"/>
      <c r="O112" s="465"/>
    </row>
    <row r="113" spans="1:17">
      <c r="A113" s="467">
        <v>15</v>
      </c>
      <c r="C113" s="549" t="str">
        <f>+C105</f>
        <v xml:space="preserve">  Distribution</v>
      </c>
      <c r="D113" s="465" t="s">
        <v>622</v>
      </c>
      <c r="E113" s="476">
        <f>E97-E105</f>
        <v>216346842</v>
      </c>
      <c r="F113" s="465"/>
      <c r="G113" s="465"/>
      <c r="H113" s="548"/>
      <c r="I113" s="465"/>
      <c r="J113" s="465" t="s">
        <v>129</v>
      </c>
      <c r="K113" s="465"/>
      <c r="L113" s="465"/>
      <c r="N113" s="465"/>
      <c r="O113" s="465"/>
    </row>
    <row r="114" spans="1:17">
      <c r="A114" s="467">
        <v>16</v>
      </c>
      <c r="C114" s="549" t="str">
        <f>+C106</f>
        <v xml:space="preserve">  General &amp; Intangible</v>
      </c>
      <c r="D114" s="465" t="s">
        <v>623</v>
      </c>
      <c r="E114" s="476">
        <f>E98-E106</f>
        <v>18582207</v>
      </c>
      <c r="F114" s="465"/>
      <c r="G114" s="465"/>
      <c r="H114" s="548"/>
      <c r="I114" s="465"/>
      <c r="J114" s="476">
        <f>J98-J106</f>
        <v>2686051.392376652</v>
      </c>
      <c r="K114" s="465"/>
      <c r="L114" s="465"/>
      <c r="N114" s="465"/>
      <c r="O114" s="465"/>
    </row>
    <row r="115" spans="1:17" ht="16.5" thickBot="1">
      <c r="A115" s="467">
        <v>17</v>
      </c>
      <c r="C115" s="549" t="str">
        <f>+C107</f>
        <v xml:space="preserve">  Common</v>
      </c>
      <c r="D115" s="465" t="s">
        <v>624</v>
      </c>
      <c r="E115" s="482">
        <f>E99-E107</f>
        <v>76414522</v>
      </c>
      <c r="F115" s="465"/>
      <c r="G115" s="465"/>
      <c r="H115" s="548"/>
      <c r="I115" s="465"/>
      <c r="J115" s="482">
        <f>J99-J107</f>
        <v>7753441.2678546244</v>
      </c>
      <c r="K115" s="465"/>
      <c r="L115" s="465"/>
      <c r="N115" s="465"/>
      <c r="O115" s="465"/>
    </row>
    <row r="116" spans="1:17">
      <c r="A116" s="467">
        <v>18</v>
      </c>
      <c r="C116" s="456" t="s">
        <v>625</v>
      </c>
      <c r="D116" s="465"/>
      <c r="E116" s="476">
        <f>SUM(E111:E115)</f>
        <v>1111987193</v>
      </c>
      <c r="F116" s="465"/>
      <c r="G116" s="465" t="s">
        <v>626</v>
      </c>
      <c r="H116" s="547">
        <f>IF(J116&gt;0,J116/E116,0)</f>
        <v>0.15008667397284473</v>
      </c>
      <c r="I116" s="465"/>
      <c r="J116" s="476">
        <f>SUM(J111:J115)</f>
        <v>166894459.29776976</v>
      </c>
      <c r="K116" s="465"/>
      <c r="L116" s="465"/>
      <c r="N116" s="465"/>
      <c r="O116" s="465"/>
    </row>
    <row r="117" spans="1:17">
      <c r="A117" s="467"/>
      <c r="C117" s="456"/>
      <c r="D117" s="465"/>
      <c r="E117" s="465"/>
      <c r="F117" s="465"/>
      <c r="G117" s="465"/>
      <c r="H117" s="548"/>
      <c r="I117" s="465"/>
      <c r="J117" s="465"/>
      <c r="K117" s="465"/>
      <c r="L117" s="465"/>
      <c r="N117" s="465"/>
      <c r="O117" s="465"/>
    </row>
    <row r="118" spans="1:17">
      <c r="A118" s="486" t="s">
        <v>627</v>
      </c>
      <c r="C118" s="456" t="s">
        <v>628</v>
      </c>
      <c r="D118" s="465"/>
      <c r="E118" s="465"/>
      <c r="F118" s="465"/>
      <c r="G118" s="465"/>
      <c r="H118" s="548"/>
      <c r="I118" s="465"/>
      <c r="J118" s="465"/>
      <c r="K118" s="465"/>
      <c r="L118" s="465"/>
      <c r="N118" s="465"/>
      <c r="O118" s="465"/>
    </row>
    <row r="119" spans="1:17">
      <c r="B119" s="487"/>
      <c r="C119" s="541" t="s">
        <v>629</v>
      </c>
      <c r="D119" s="489" t="s">
        <v>630</v>
      </c>
      <c r="E119" s="550">
        <v>30130637</v>
      </c>
      <c r="F119" s="489"/>
      <c r="G119" s="489" t="s">
        <v>631</v>
      </c>
      <c r="H119" s="543">
        <v>1</v>
      </c>
      <c r="I119" s="489"/>
      <c r="J119" s="551">
        <f>E119</f>
        <v>30130637</v>
      </c>
      <c r="K119" s="465"/>
      <c r="L119" s="465"/>
      <c r="N119" s="465"/>
      <c r="O119" s="465"/>
    </row>
    <row r="120" spans="1:17">
      <c r="A120" s="467"/>
      <c r="D120" s="465"/>
      <c r="F120" s="465"/>
      <c r="I120" s="465"/>
      <c r="K120" s="465"/>
      <c r="L120" s="465"/>
      <c r="N120" s="465"/>
      <c r="O120" s="465"/>
    </row>
    <row r="121" spans="1:17">
      <c r="A121" s="467"/>
      <c r="C121" s="456" t="s">
        <v>632</v>
      </c>
      <c r="D121" s="542"/>
      <c r="E121" s="465"/>
      <c r="F121" s="465"/>
      <c r="G121" s="465"/>
      <c r="H121" s="465"/>
      <c r="I121" s="465"/>
      <c r="J121" s="465"/>
      <c r="K121" s="465"/>
      <c r="L121" s="465"/>
      <c r="N121" s="465"/>
      <c r="O121" s="465"/>
    </row>
    <row r="122" spans="1:17">
      <c r="A122" s="467">
        <v>19</v>
      </c>
      <c r="C122" s="541" t="s">
        <v>633</v>
      </c>
      <c r="D122" s="474" t="s">
        <v>105</v>
      </c>
      <c r="E122" s="552">
        <v>0</v>
      </c>
      <c r="F122" s="474"/>
      <c r="G122" s="553" t="str">
        <f>+G103</f>
        <v>NA</v>
      </c>
      <c r="H122" s="554" t="s">
        <v>634</v>
      </c>
      <c r="I122" s="465"/>
      <c r="J122" s="555">
        <v>0</v>
      </c>
      <c r="K122" s="465"/>
      <c r="L122" s="544"/>
      <c r="M122" s="462"/>
      <c r="N122" s="544"/>
      <c r="O122" s="544"/>
      <c r="P122" s="462"/>
      <c r="Q122" s="462"/>
    </row>
    <row r="123" spans="1:17">
      <c r="A123" s="467">
        <v>20</v>
      </c>
      <c r="C123" s="541" t="s">
        <v>635</v>
      </c>
      <c r="D123" s="474" t="s">
        <v>108</v>
      </c>
      <c r="E123" s="552">
        <v>-202114874</v>
      </c>
      <c r="F123" s="465"/>
      <c r="G123" s="465" t="s">
        <v>636</v>
      </c>
      <c r="H123" s="545">
        <f>+H116</f>
        <v>0.15008667397284473</v>
      </c>
      <c r="I123" s="465"/>
      <c r="J123" s="556">
        <f>E123*H123</f>
        <v>-30334749.199100591</v>
      </c>
      <c r="K123" s="465"/>
      <c r="L123" s="544"/>
      <c r="M123" s="462"/>
      <c r="N123" s="544"/>
      <c r="O123" s="544"/>
      <c r="P123" s="462"/>
      <c r="Q123" s="462"/>
    </row>
    <row r="124" spans="1:17">
      <c r="A124" s="467">
        <v>21</v>
      </c>
      <c r="C124" s="541" t="s">
        <v>637</v>
      </c>
      <c r="D124" s="474" t="s">
        <v>112</v>
      </c>
      <c r="E124" s="557">
        <v>-25438766</v>
      </c>
      <c r="F124" s="465"/>
      <c r="G124" s="465" t="s">
        <v>636</v>
      </c>
      <c r="H124" s="545">
        <f>+H123</f>
        <v>0.15008667397284473</v>
      </c>
      <c r="I124" s="465"/>
      <c r="J124" s="556">
        <f>E124*H124</f>
        <v>-3818019.7789134872</v>
      </c>
      <c r="K124" s="465"/>
      <c r="L124" s="544"/>
      <c r="M124" s="462"/>
      <c r="N124" s="544"/>
      <c r="O124" s="544"/>
      <c r="P124" s="462"/>
      <c r="Q124" s="462"/>
    </row>
    <row r="125" spans="1:17">
      <c r="A125" s="467">
        <v>22</v>
      </c>
      <c r="C125" s="541" t="s">
        <v>638</v>
      </c>
      <c r="D125" s="474" t="s">
        <v>116</v>
      </c>
      <c r="E125" s="557">
        <v>30982127</v>
      </c>
      <c r="F125" s="465"/>
      <c r="G125" s="476" t="str">
        <f>+G124</f>
        <v>NP</v>
      </c>
      <c r="H125" s="545">
        <f>+H124</f>
        <v>0.15008667397284473</v>
      </c>
      <c r="I125" s="465"/>
      <c r="J125" s="556">
        <f>E125*H125</f>
        <v>4650004.3940342702</v>
      </c>
      <c r="K125" s="465"/>
      <c r="L125" s="544"/>
      <c r="M125" s="462"/>
      <c r="N125" s="544"/>
      <c r="O125" s="544"/>
      <c r="P125" s="462"/>
      <c r="Q125" s="462"/>
    </row>
    <row r="126" spans="1:17">
      <c r="A126" s="467">
        <v>23</v>
      </c>
      <c r="C126" s="487" t="s">
        <v>639</v>
      </c>
      <c r="D126" s="526" t="s">
        <v>640</v>
      </c>
      <c r="E126" s="557">
        <v>-1696343</v>
      </c>
      <c r="F126" s="465"/>
      <c r="G126" s="465" t="s">
        <v>636</v>
      </c>
      <c r="H126" s="545">
        <f>+H124</f>
        <v>0.15008667397284473</v>
      </c>
      <c r="I126" s="465"/>
      <c r="J126" s="558">
        <f>E126*H126</f>
        <v>-254598.47878711735</v>
      </c>
      <c r="K126" s="465"/>
      <c r="L126" s="544"/>
      <c r="M126" s="462"/>
      <c r="N126" s="544"/>
      <c r="O126" s="544"/>
      <c r="P126" s="462"/>
      <c r="Q126" s="462"/>
    </row>
    <row r="127" spans="1:17">
      <c r="A127" s="467" t="s">
        <v>641</v>
      </c>
      <c r="C127" s="487" t="s">
        <v>642</v>
      </c>
      <c r="D127" s="526"/>
      <c r="E127" s="557"/>
      <c r="F127" s="465"/>
      <c r="G127" s="465"/>
      <c r="H127" s="543"/>
      <c r="I127" s="465"/>
      <c r="J127" s="559"/>
      <c r="K127" s="465"/>
      <c r="L127" s="544"/>
      <c r="M127" s="462"/>
      <c r="N127" s="544"/>
      <c r="O127" s="544"/>
      <c r="P127" s="462"/>
      <c r="Q127" s="462"/>
    </row>
    <row r="128" spans="1:17">
      <c r="A128" s="486" t="s">
        <v>643</v>
      </c>
      <c r="C128" s="487" t="s">
        <v>644</v>
      </c>
      <c r="D128" s="487" t="s">
        <v>645</v>
      </c>
      <c r="E128" s="560">
        <v>0</v>
      </c>
      <c r="F128" s="465"/>
      <c r="G128" s="489" t="s">
        <v>631</v>
      </c>
      <c r="H128" s="543">
        <v>1</v>
      </c>
      <c r="I128" s="489"/>
      <c r="J128" s="558">
        <f>E128*H128</f>
        <v>0</v>
      </c>
      <c r="K128" s="465"/>
      <c r="L128" s="544"/>
      <c r="M128" s="462"/>
      <c r="N128" s="544"/>
      <c r="O128" s="544"/>
      <c r="P128" s="462"/>
      <c r="Q128" s="462"/>
    </row>
    <row r="129" spans="1:17">
      <c r="A129" s="467">
        <v>24</v>
      </c>
      <c r="C129" s="541" t="s">
        <v>646</v>
      </c>
      <c r="D129" s="465"/>
      <c r="E129" s="556">
        <f>SUM(E122:E128)</f>
        <v>-198267856</v>
      </c>
      <c r="F129" s="465"/>
      <c r="G129" s="465"/>
      <c r="H129" s="465"/>
      <c r="I129" s="465"/>
      <c r="J129" s="556">
        <f>SUM(J122:J128)</f>
        <v>-29757363.062766928</v>
      </c>
      <c r="K129" s="465"/>
      <c r="L129" s="544"/>
      <c r="M129" s="462"/>
      <c r="N129" s="544"/>
      <c r="O129" s="544"/>
      <c r="P129" s="462"/>
      <c r="Q129" s="462"/>
    </row>
    <row r="130" spans="1:17">
      <c r="A130" s="467"/>
      <c r="D130" s="465"/>
      <c r="F130" s="465"/>
      <c r="G130" s="465"/>
      <c r="H130" s="548"/>
      <c r="I130" s="465"/>
      <c r="K130" s="465"/>
      <c r="L130" s="544"/>
      <c r="M130" s="462"/>
      <c r="N130" s="544"/>
      <c r="O130" s="544"/>
      <c r="P130" s="462"/>
      <c r="Q130" s="462"/>
    </row>
    <row r="131" spans="1:17">
      <c r="A131" s="467">
        <v>25</v>
      </c>
      <c r="C131" s="541" t="s">
        <v>647</v>
      </c>
      <c r="D131" s="465" t="s">
        <v>648</v>
      </c>
      <c r="E131" s="479">
        <v>0</v>
      </c>
      <c r="F131" s="465"/>
      <c r="G131" s="476" t="str">
        <f>+G104</f>
        <v>TP</v>
      </c>
      <c r="H131" s="545">
        <f>+H104</f>
        <v>0.93314209828360362</v>
      </c>
      <c r="I131" s="465"/>
      <c r="J131" s="476">
        <f>+H131*E131</f>
        <v>0</v>
      </c>
      <c r="K131" s="465"/>
      <c r="L131" s="544"/>
      <c r="M131" s="462"/>
      <c r="N131" s="544"/>
      <c r="O131" s="544"/>
      <c r="P131" s="462"/>
      <c r="Q131" s="462"/>
    </row>
    <row r="132" spans="1:17">
      <c r="A132" s="467"/>
      <c r="C132" s="456"/>
      <c r="D132" s="465"/>
      <c r="E132" s="465"/>
      <c r="F132" s="465"/>
      <c r="G132" s="465"/>
      <c r="H132" s="465"/>
      <c r="I132" s="465"/>
      <c r="J132" s="465"/>
      <c r="K132" s="465"/>
      <c r="L132" s="544"/>
      <c r="M132" s="462"/>
      <c r="N132" s="544"/>
      <c r="O132" s="544"/>
      <c r="P132" s="462"/>
      <c r="Q132" s="462"/>
    </row>
    <row r="133" spans="1:17">
      <c r="A133" s="467"/>
      <c r="C133" s="456" t="s">
        <v>649</v>
      </c>
      <c r="D133" s="542"/>
      <c r="E133" s="465"/>
      <c r="F133" s="465"/>
      <c r="G133" s="465"/>
      <c r="H133" s="465"/>
      <c r="I133" s="465"/>
      <c r="J133" s="465"/>
      <c r="K133" s="465"/>
      <c r="L133" s="544"/>
      <c r="M133" s="462"/>
      <c r="N133" s="544"/>
      <c r="O133" s="544"/>
      <c r="P133" s="462"/>
      <c r="Q133" s="462"/>
    </row>
    <row r="134" spans="1:17">
      <c r="A134" s="467">
        <v>26</v>
      </c>
      <c r="C134" s="456" t="s">
        <v>650</v>
      </c>
      <c r="D134" s="455" t="s">
        <v>651</v>
      </c>
      <c r="E134" s="476">
        <f>+E184/8</f>
        <v>3801839.625</v>
      </c>
      <c r="F134" s="465"/>
      <c r="G134" s="465"/>
      <c r="H134" s="548"/>
      <c r="I134" s="465"/>
      <c r="J134" s="476">
        <f>+J184/8</f>
        <v>1319029.6921725348</v>
      </c>
      <c r="K134" s="458"/>
      <c r="L134" s="544"/>
      <c r="M134" s="462"/>
      <c r="N134" s="544"/>
      <c r="O134" s="544"/>
      <c r="P134" s="462"/>
      <c r="Q134" s="462"/>
    </row>
    <row r="135" spans="1:17">
      <c r="A135" s="467">
        <v>27</v>
      </c>
      <c r="C135" s="541" t="s">
        <v>652</v>
      </c>
      <c r="D135" s="465" t="s">
        <v>653</v>
      </c>
      <c r="E135" s="479">
        <v>84884</v>
      </c>
      <c r="F135" s="465"/>
      <c r="G135" s="465" t="s">
        <v>654</v>
      </c>
      <c r="H135" s="545">
        <f>J264</f>
        <v>0.89575293863317884</v>
      </c>
      <c r="I135" s="465"/>
      <c r="J135" s="476">
        <f>+H135*E135</f>
        <v>76035.092442938752</v>
      </c>
      <c r="K135" s="465" t="s">
        <v>129</v>
      </c>
      <c r="L135" s="544"/>
      <c r="M135" s="462"/>
      <c r="N135" s="544"/>
      <c r="O135" s="544"/>
      <c r="P135" s="462"/>
      <c r="Q135" s="462"/>
    </row>
    <row r="136" spans="1:17" ht="16.5" thickBot="1">
      <c r="A136" s="467">
        <v>28</v>
      </c>
      <c r="C136" s="541" t="s">
        <v>655</v>
      </c>
      <c r="D136" s="465" t="s">
        <v>656</v>
      </c>
      <c r="E136" s="546">
        <v>2238827</v>
      </c>
      <c r="F136" s="465"/>
      <c r="G136" s="465" t="s">
        <v>657</v>
      </c>
      <c r="H136" s="545">
        <f>+H100</f>
        <v>0.15742964318632391</v>
      </c>
      <c r="I136" s="465"/>
      <c r="J136" s="482">
        <f>+H136*E136</f>
        <v>352457.73576590797</v>
      </c>
      <c r="K136" s="465"/>
      <c r="L136" s="465"/>
      <c r="N136" s="465"/>
      <c r="O136" s="465"/>
    </row>
    <row r="137" spans="1:17">
      <c r="A137" s="467">
        <v>29</v>
      </c>
      <c r="C137" s="456" t="s">
        <v>658</v>
      </c>
      <c r="D137" s="458"/>
      <c r="E137" s="476">
        <f>E134+E135+E136</f>
        <v>6125550.625</v>
      </c>
      <c r="F137" s="458"/>
      <c r="G137" s="458"/>
      <c r="H137" s="458"/>
      <c r="I137" s="458"/>
      <c r="J137" s="476">
        <f>J134+J135+J136</f>
        <v>1747522.5203813815</v>
      </c>
      <c r="K137" s="458"/>
      <c r="L137" s="465"/>
      <c r="N137" s="465"/>
      <c r="O137" s="465"/>
    </row>
    <row r="138" spans="1:17" ht="16.5" thickBot="1">
      <c r="D138" s="465"/>
      <c r="E138" s="561"/>
      <c r="F138" s="465"/>
      <c r="G138" s="465"/>
      <c r="H138" s="465"/>
      <c r="I138" s="465"/>
      <c r="J138" s="561"/>
      <c r="K138" s="465"/>
      <c r="L138" s="465"/>
      <c r="N138" s="465"/>
      <c r="O138" s="465"/>
    </row>
    <row r="139" spans="1:17" ht="16.5" thickBot="1">
      <c r="A139" s="467">
        <v>30</v>
      </c>
      <c r="C139" s="562" t="s">
        <v>659</v>
      </c>
      <c r="D139" s="465"/>
      <c r="E139" s="563">
        <f>+E137+E131+E129+E116+E119</f>
        <v>949975524.625</v>
      </c>
      <c r="F139" s="465"/>
      <c r="G139" s="465"/>
      <c r="H139" s="548"/>
      <c r="I139" s="465"/>
      <c r="J139" s="563">
        <f>+J137+J131+J129+J116+J119</f>
        <v>169015255.75538421</v>
      </c>
      <c r="K139" s="465"/>
      <c r="L139" s="465"/>
      <c r="N139" s="465"/>
      <c r="O139" s="465"/>
    </row>
    <row r="140" spans="1:17" ht="16.5" thickTop="1">
      <c r="A140" s="467"/>
      <c r="C140" s="456"/>
      <c r="D140" s="465"/>
      <c r="E140" s="544"/>
      <c r="F140" s="465"/>
      <c r="G140" s="465"/>
      <c r="H140" s="548"/>
      <c r="I140" s="465"/>
      <c r="J140" s="544"/>
      <c r="K140" s="465"/>
      <c r="L140" s="564"/>
    </row>
    <row r="141" spans="1:17">
      <c r="A141" s="467"/>
      <c r="C141" s="456"/>
      <c r="D141" s="465"/>
      <c r="E141" s="544"/>
      <c r="F141" s="465"/>
      <c r="G141" s="465"/>
      <c r="H141" s="548"/>
      <c r="I141" s="465"/>
      <c r="J141" s="544"/>
      <c r="K141" s="465"/>
      <c r="L141" s="564"/>
    </row>
    <row r="142" spans="1:17">
      <c r="A142" s="467"/>
      <c r="C142" s="456"/>
      <c r="D142" s="465"/>
      <c r="E142" s="544"/>
      <c r="F142" s="465"/>
      <c r="G142" s="465"/>
      <c r="H142" s="548"/>
      <c r="I142" s="465"/>
      <c r="J142" s="544"/>
      <c r="K142" s="465"/>
      <c r="L142" s="564"/>
    </row>
    <row r="143" spans="1:17">
      <c r="A143" s="467"/>
      <c r="C143" s="456"/>
      <c r="D143" s="465"/>
      <c r="E143" s="544"/>
      <c r="F143" s="465"/>
      <c r="G143" s="465"/>
      <c r="H143" s="548"/>
      <c r="I143" s="465"/>
      <c r="J143" s="544"/>
      <c r="K143" s="465"/>
      <c r="L143" s="564"/>
    </row>
    <row r="144" spans="1:17">
      <c r="A144" s="467"/>
      <c r="C144" s="456"/>
      <c r="D144" s="465"/>
      <c r="E144" s="544"/>
      <c r="F144" s="465"/>
      <c r="G144" s="465"/>
      <c r="H144" s="548"/>
      <c r="I144" s="465"/>
      <c r="J144" s="544"/>
      <c r="K144" s="465"/>
      <c r="L144" s="564"/>
    </row>
    <row r="145" spans="1:12">
      <c r="A145" s="467"/>
      <c r="C145" s="456"/>
      <c r="D145" s="465"/>
      <c r="E145" s="544"/>
      <c r="F145" s="465"/>
      <c r="G145" s="465"/>
      <c r="H145" s="548"/>
      <c r="I145" s="465"/>
      <c r="J145" s="544"/>
      <c r="K145" s="465"/>
      <c r="L145" s="564"/>
    </row>
    <row r="146" spans="1:12">
      <c r="A146" s="467"/>
      <c r="C146" s="456"/>
      <c r="D146" s="465"/>
      <c r="E146" s="544"/>
      <c r="F146" s="465"/>
      <c r="G146" s="465"/>
      <c r="H146" s="548"/>
      <c r="I146" s="465"/>
      <c r="J146" s="544"/>
      <c r="K146" s="465"/>
      <c r="L146" s="564"/>
    </row>
    <row r="147" spans="1:12">
      <c r="A147" s="467"/>
      <c r="C147" s="456"/>
      <c r="D147" s="465"/>
      <c r="E147" s="544"/>
      <c r="F147" s="465"/>
      <c r="G147" s="465"/>
      <c r="H147" s="548"/>
      <c r="I147" s="465"/>
      <c r="J147" s="544"/>
      <c r="K147" s="465"/>
      <c r="L147" s="564"/>
    </row>
    <row r="148" spans="1:12">
      <c r="A148" s="467"/>
      <c r="C148" s="456"/>
      <c r="D148" s="465"/>
      <c r="E148" s="544"/>
      <c r="F148" s="465"/>
      <c r="G148" s="465"/>
      <c r="H148" s="548"/>
      <c r="I148" s="465"/>
      <c r="J148" s="544"/>
      <c r="K148" s="465"/>
      <c r="L148" s="564"/>
    </row>
    <row r="149" spans="1:12">
      <c r="A149" s="467"/>
      <c r="C149" s="456"/>
      <c r="D149" s="465"/>
      <c r="E149" s="544"/>
      <c r="F149" s="465"/>
      <c r="G149" s="465"/>
      <c r="H149" s="548"/>
      <c r="I149" s="465"/>
      <c r="J149" s="544"/>
      <c r="K149" s="465"/>
      <c r="L149" s="564"/>
    </row>
    <row r="150" spans="1:12">
      <c r="A150" s="467"/>
      <c r="C150" s="456"/>
      <c r="D150" s="465"/>
      <c r="E150" s="544"/>
      <c r="F150" s="465"/>
      <c r="G150" s="465"/>
      <c r="H150" s="548"/>
      <c r="I150" s="465"/>
      <c r="J150" s="544"/>
      <c r="K150" s="465"/>
      <c r="L150" s="564"/>
    </row>
    <row r="151" spans="1:12">
      <c r="A151" s="467"/>
      <c r="C151" s="456"/>
      <c r="D151" s="465"/>
      <c r="E151" s="544"/>
      <c r="F151" s="465"/>
      <c r="G151" s="465"/>
      <c r="H151" s="548"/>
      <c r="I151" s="465"/>
      <c r="J151" s="544"/>
      <c r="K151" s="465"/>
      <c r="L151" s="564"/>
    </row>
    <row r="152" spans="1:12">
      <c r="A152" s="467"/>
      <c r="C152" s="456"/>
      <c r="D152" s="465"/>
      <c r="E152" s="544"/>
      <c r="F152" s="465"/>
      <c r="G152" s="465"/>
      <c r="H152" s="548"/>
      <c r="I152" s="465"/>
      <c r="J152" s="544"/>
      <c r="K152" s="465"/>
      <c r="L152" s="564"/>
    </row>
    <row r="153" spans="1:12">
      <c r="A153" s="467"/>
      <c r="C153" s="456"/>
      <c r="D153" s="465"/>
      <c r="E153" s="544"/>
      <c r="F153" s="465"/>
      <c r="G153" s="465"/>
      <c r="H153" s="548"/>
      <c r="I153" s="465"/>
      <c r="J153" s="544"/>
      <c r="K153" s="465"/>
      <c r="L153" s="564"/>
    </row>
    <row r="154" spans="1:12">
      <c r="A154" s="467"/>
      <c r="C154" s="456"/>
      <c r="D154" s="465"/>
      <c r="E154" s="544"/>
      <c r="F154" s="465"/>
      <c r="G154" s="465"/>
      <c r="H154" s="548"/>
      <c r="I154" s="465"/>
      <c r="J154" s="544"/>
      <c r="K154" s="465"/>
      <c r="L154" s="564"/>
    </row>
    <row r="155" spans="1:12">
      <c r="A155" s="467"/>
      <c r="C155" s="456"/>
      <c r="D155" s="465"/>
      <c r="E155" s="544"/>
      <c r="F155" s="465"/>
      <c r="G155" s="465"/>
      <c r="H155" s="548"/>
      <c r="I155" s="465"/>
      <c r="J155" s="544"/>
      <c r="K155" s="465"/>
      <c r="L155" s="564"/>
    </row>
    <row r="156" spans="1:12">
      <c r="A156" s="467"/>
      <c r="C156" s="456"/>
      <c r="D156" s="465"/>
      <c r="E156" s="544"/>
      <c r="F156" s="465"/>
      <c r="G156" s="465"/>
      <c r="H156" s="548"/>
      <c r="I156" s="465"/>
      <c r="J156" s="544"/>
      <c r="K156" s="465"/>
      <c r="L156" s="564"/>
    </row>
    <row r="157" spans="1:12">
      <c r="A157" s="467"/>
      <c r="C157" s="456"/>
      <c r="D157" s="465"/>
      <c r="E157" s="544"/>
      <c r="F157" s="465"/>
      <c r="G157" s="465"/>
      <c r="H157" s="548"/>
      <c r="I157" s="465"/>
      <c r="J157" s="544"/>
      <c r="K157" s="465"/>
      <c r="L157" s="564"/>
    </row>
    <row r="158" spans="1:12">
      <c r="A158" s="467"/>
      <c r="C158" s="456"/>
      <c r="D158" s="465"/>
      <c r="E158" s="544"/>
      <c r="F158" s="465"/>
      <c r="G158" s="465"/>
      <c r="H158" s="548"/>
      <c r="I158" s="465"/>
      <c r="J158" s="544"/>
      <c r="K158" s="465"/>
      <c r="L158" s="564"/>
    </row>
    <row r="159" spans="1:12">
      <c r="C159" s="456"/>
      <c r="D159" s="456"/>
      <c r="E159" s="457"/>
      <c r="F159" s="456"/>
      <c r="G159" s="456"/>
      <c r="H159" s="456"/>
      <c r="I159" s="458"/>
      <c r="J159" s="467"/>
      <c r="K159" s="467"/>
      <c r="L159" s="460"/>
    </row>
    <row r="160" spans="1:12">
      <c r="C160" s="456"/>
      <c r="D160" s="456"/>
      <c r="E160" s="457"/>
      <c r="F160" s="456"/>
      <c r="G160" s="456"/>
      <c r="H160" s="456"/>
      <c r="I160" s="458"/>
      <c r="J160" s="459"/>
      <c r="K160" s="459"/>
      <c r="L160" s="460"/>
    </row>
    <row r="161" spans="1:15">
      <c r="C161" s="456"/>
      <c r="D161" s="456"/>
      <c r="E161" s="457"/>
      <c r="F161" s="456"/>
      <c r="G161" s="456"/>
      <c r="H161" s="456"/>
      <c r="I161" s="458"/>
      <c r="J161" s="459"/>
      <c r="K161" s="459"/>
      <c r="L161" s="460"/>
    </row>
    <row r="162" spans="1:15">
      <c r="C162" s="456"/>
      <c r="D162" s="456"/>
      <c r="E162" s="457"/>
      <c r="F162" s="456"/>
      <c r="G162" s="456"/>
      <c r="H162" s="456"/>
      <c r="I162" s="458"/>
      <c r="J162" s="458"/>
      <c r="L162" s="459" t="s">
        <v>1</v>
      </c>
    </row>
    <row r="163" spans="1:15">
      <c r="C163" s="456"/>
      <c r="D163" s="456"/>
      <c r="E163" s="457"/>
      <c r="F163" s="456"/>
      <c r="G163" s="456"/>
      <c r="H163" s="456"/>
      <c r="I163" s="458"/>
      <c r="J163" s="458"/>
      <c r="K163" s="458"/>
      <c r="L163" s="460" t="s">
        <v>660</v>
      </c>
    </row>
    <row r="164" spans="1:15">
      <c r="C164" s="456"/>
      <c r="D164" s="456"/>
      <c r="E164" s="457"/>
      <c r="F164" s="456"/>
      <c r="G164" s="456"/>
      <c r="H164" s="456"/>
      <c r="I164" s="458"/>
      <c r="J164" s="458"/>
      <c r="K164" s="458"/>
      <c r="L164" s="460"/>
    </row>
    <row r="165" spans="1:15">
      <c r="C165" s="456" t="s">
        <v>518</v>
      </c>
      <c r="D165" s="456"/>
      <c r="E165" s="457" t="s">
        <v>519</v>
      </c>
      <c r="F165" s="456"/>
      <c r="G165" s="456"/>
      <c r="H165" s="456"/>
      <c r="I165" s="458"/>
      <c r="J165" s="529" t="str">
        <f>J5</f>
        <v>For the 12 months ended 12/31/16</v>
      </c>
      <c r="K165" s="464"/>
      <c r="L165" s="464"/>
    </row>
    <row r="166" spans="1:15">
      <c r="C166" s="456"/>
      <c r="D166" s="465" t="s">
        <v>129</v>
      </c>
      <c r="E166" s="465" t="s">
        <v>521</v>
      </c>
      <c r="F166" s="465"/>
      <c r="G166" s="465"/>
      <c r="H166" s="465"/>
      <c r="I166" s="458"/>
      <c r="J166" s="458"/>
      <c r="K166" s="458"/>
      <c r="L166" s="463"/>
    </row>
    <row r="167" spans="1:15">
      <c r="C167" s="456"/>
      <c r="D167" s="465"/>
      <c r="E167" s="465"/>
      <c r="F167" s="465"/>
      <c r="G167" s="465"/>
      <c r="H167" s="465"/>
      <c r="I167" s="458"/>
      <c r="J167" s="458"/>
      <c r="K167" s="458"/>
      <c r="L167" s="463"/>
    </row>
    <row r="168" spans="1:15">
      <c r="A168" s="467"/>
      <c r="E168" s="530" t="str">
        <f>E8</f>
        <v>Montana-Dakota Utilities Co.</v>
      </c>
      <c r="F168" s="469"/>
      <c r="G168" s="469"/>
      <c r="K168" s="465"/>
      <c r="L168" s="474"/>
    </row>
    <row r="169" spans="1:15">
      <c r="A169" s="467"/>
      <c r="C169" s="467" t="s">
        <v>593</v>
      </c>
      <c r="D169" s="467" t="s">
        <v>594</v>
      </c>
      <c r="E169" s="467" t="s">
        <v>595</v>
      </c>
      <c r="F169" s="465" t="s">
        <v>129</v>
      </c>
      <c r="G169" s="465"/>
      <c r="H169" s="531" t="s">
        <v>596</v>
      </c>
      <c r="I169" s="465"/>
      <c r="J169" s="532" t="s">
        <v>597</v>
      </c>
      <c r="K169" s="465"/>
      <c r="L169" s="474"/>
    </row>
    <row r="170" spans="1:15">
      <c r="A170" s="467"/>
      <c r="C170" s="467"/>
      <c r="D170" s="458"/>
      <c r="E170" s="458"/>
      <c r="F170" s="458"/>
      <c r="G170" s="458"/>
      <c r="H170" s="458"/>
      <c r="I170" s="458"/>
      <c r="J170" s="458"/>
      <c r="K170" s="458"/>
      <c r="L170" s="565"/>
    </row>
    <row r="171" spans="1:15">
      <c r="A171" s="467" t="s">
        <v>522</v>
      </c>
      <c r="C171" s="456"/>
      <c r="D171" s="533" t="s">
        <v>598</v>
      </c>
      <c r="E171" s="465"/>
      <c r="F171" s="465"/>
      <c r="G171" s="465"/>
      <c r="H171" s="467"/>
      <c r="I171" s="465"/>
      <c r="J171" s="534" t="s">
        <v>7</v>
      </c>
      <c r="K171" s="465"/>
      <c r="L171" s="565"/>
    </row>
    <row r="172" spans="1:15" ht="16.5" thickBot="1">
      <c r="A172" s="471" t="s">
        <v>523</v>
      </c>
      <c r="C172" s="456"/>
      <c r="D172" s="535" t="s">
        <v>86</v>
      </c>
      <c r="E172" s="534" t="s">
        <v>599</v>
      </c>
      <c r="F172" s="536"/>
      <c r="G172" s="534" t="s">
        <v>600</v>
      </c>
      <c r="I172" s="536"/>
      <c r="J172" s="467" t="s">
        <v>601</v>
      </c>
      <c r="K172" s="465"/>
      <c r="L172" s="565"/>
    </row>
    <row r="173" spans="1:15">
      <c r="C173" s="456"/>
      <c r="D173" s="465"/>
      <c r="E173" s="566"/>
      <c r="F173" s="567"/>
      <c r="G173" s="534"/>
      <c r="I173" s="567"/>
      <c r="J173" s="566"/>
      <c r="K173" s="465"/>
      <c r="L173" s="539"/>
      <c r="M173" s="462"/>
      <c r="N173" s="540"/>
      <c r="O173" s="540"/>
    </row>
    <row r="174" spans="1:15">
      <c r="A174" s="467"/>
      <c r="C174" s="456" t="s">
        <v>661</v>
      </c>
      <c r="D174" s="465"/>
      <c r="E174" s="465"/>
      <c r="F174" s="465"/>
      <c r="G174" s="465"/>
      <c r="H174" s="465"/>
      <c r="I174" s="465"/>
      <c r="J174" s="465"/>
      <c r="K174" s="465"/>
      <c r="L174" s="539"/>
      <c r="M174" s="462"/>
      <c r="N174" s="540"/>
      <c r="O174" s="540"/>
    </row>
    <row r="175" spans="1:15">
      <c r="A175" s="467">
        <v>1</v>
      </c>
      <c r="C175" s="456" t="s">
        <v>662</v>
      </c>
      <c r="D175" s="465" t="s">
        <v>663</v>
      </c>
      <c r="E175" s="479">
        <v>33897629</v>
      </c>
      <c r="F175" s="465"/>
      <c r="G175" s="465" t="s">
        <v>654</v>
      </c>
      <c r="H175" s="545">
        <f>J264</f>
        <v>0.89575293863317884</v>
      </c>
      <c r="I175" s="465"/>
      <c r="J175" s="476">
        <f>+H175*E175</f>
        <v>30363900.789447263</v>
      </c>
      <c r="K175" s="458"/>
      <c r="L175" s="544"/>
      <c r="M175" s="462"/>
      <c r="N175" s="544"/>
      <c r="O175" s="544"/>
    </row>
    <row r="176" spans="1:15">
      <c r="A176" s="525" t="s">
        <v>664</v>
      </c>
      <c r="B176" s="526"/>
      <c r="C176" s="527" t="s">
        <v>665</v>
      </c>
      <c r="D176" s="474"/>
      <c r="E176" s="479">
        <v>563657</v>
      </c>
      <c r="F176" s="465"/>
      <c r="G176" s="568"/>
      <c r="H176" s="543">
        <v>1</v>
      </c>
      <c r="I176" s="465"/>
      <c r="J176" s="476">
        <f>+H176*E176</f>
        <v>563657</v>
      </c>
      <c r="K176" s="458"/>
      <c r="L176" s="544"/>
      <c r="M176" s="462"/>
      <c r="N176" s="544"/>
      <c r="O176" s="544"/>
    </row>
    <row r="177" spans="1:15">
      <c r="A177" s="467">
        <v>2</v>
      </c>
      <c r="C177" s="456" t="s">
        <v>666</v>
      </c>
      <c r="D177" s="465" t="s">
        <v>667</v>
      </c>
      <c r="E177" s="479">
        <v>25069506</v>
      </c>
      <c r="F177" s="465"/>
      <c r="G177" s="465" t="s">
        <v>654</v>
      </c>
      <c r="H177" s="545">
        <f>+H175</f>
        <v>0.89575293863317884</v>
      </c>
      <c r="I177" s="465"/>
      <c r="J177" s="476">
        <f t="shared" ref="J177:J183" si="2">+H177*E177</f>
        <v>22456083.66958211</v>
      </c>
      <c r="K177" s="458"/>
      <c r="L177" s="544"/>
      <c r="M177" s="462"/>
      <c r="N177" s="544"/>
      <c r="O177" s="544"/>
    </row>
    <row r="178" spans="1:15">
      <c r="A178" s="467">
        <v>3</v>
      </c>
      <c r="C178" s="456" t="s">
        <v>668</v>
      </c>
      <c r="D178" s="465" t="s">
        <v>669</v>
      </c>
      <c r="E178" s="479">
        <v>22789189</v>
      </c>
      <c r="F178" s="465"/>
      <c r="G178" s="465" t="s">
        <v>610</v>
      </c>
      <c r="H178" s="545">
        <f>+H106</f>
        <v>0.14454964323541608</v>
      </c>
      <c r="I178" s="465"/>
      <c r="J178" s="476">
        <f t="shared" si="2"/>
        <v>3294169.1395744686</v>
      </c>
      <c r="K178" s="465"/>
      <c r="L178" s="544"/>
      <c r="M178" s="462"/>
      <c r="N178" s="544"/>
      <c r="O178" s="544"/>
    </row>
    <row r="179" spans="1:15">
      <c r="A179" s="467">
        <v>4</v>
      </c>
      <c r="C179" s="456" t="s">
        <v>670</v>
      </c>
      <c r="D179" s="465"/>
      <c r="E179" s="479">
        <v>433566</v>
      </c>
      <c r="F179" s="465"/>
      <c r="G179" s="476" t="str">
        <f>+G178</f>
        <v>W/S</v>
      </c>
      <c r="H179" s="545">
        <f>+H178</f>
        <v>0.14454964323541608</v>
      </c>
      <c r="I179" s="465"/>
      <c r="J179" s="476">
        <f t="shared" si="2"/>
        <v>62671.810619006406</v>
      </c>
      <c r="K179" s="465"/>
      <c r="L179" s="544"/>
      <c r="M179" s="462"/>
      <c r="N179" s="544"/>
      <c r="O179" s="544"/>
    </row>
    <row r="180" spans="1:15">
      <c r="A180" s="467">
        <v>5</v>
      </c>
      <c r="C180" s="527" t="s">
        <v>671</v>
      </c>
      <c r="D180" s="474"/>
      <c r="E180" s="479">
        <v>213714</v>
      </c>
      <c r="F180" s="465"/>
      <c r="G180" s="476" t="str">
        <f>+G179</f>
        <v>W/S</v>
      </c>
      <c r="H180" s="545">
        <f>+H179</f>
        <v>0.14454964323541608</v>
      </c>
      <c r="I180" s="465"/>
      <c r="J180" s="476">
        <f t="shared" si="2"/>
        <v>30892.282454413711</v>
      </c>
      <c r="K180" s="465"/>
      <c r="L180" s="544"/>
      <c r="M180" s="462"/>
      <c r="N180" s="544"/>
      <c r="O180" s="544"/>
    </row>
    <row r="181" spans="1:15">
      <c r="A181" s="467" t="s">
        <v>672</v>
      </c>
      <c r="C181" s="527" t="s">
        <v>673</v>
      </c>
      <c r="D181" s="474"/>
      <c r="E181" s="479">
        <v>8342</v>
      </c>
      <c r="F181" s="465"/>
      <c r="G181" s="569" t="str">
        <f>+G175</f>
        <v>TE</v>
      </c>
      <c r="H181" s="570">
        <f>+H175</f>
        <v>0.89575293863317884</v>
      </c>
      <c r="I181" s="465"/>
      <c r="J181" s="476">
        <f>+H181*E181</f>
        <v>7472.3710140779776</v>
      </c>
      <c r="K181" s="465"/>
      <c r="L181" s="544"/>
      <c r="M181" s="462"/>
      <c r="N181" s="544"/>
      <c r="O181" s="544"/>
    </row>
    <row r="182" spans="1:15">
      <c r="A182" s="467">
        <v>6</v>
      </c>
      <c r="C182" s="527" t="s">
        <v>611</v>
      </c>
      <c r="D182" s="553" t="str">
        <f>+D107</f>
        <v>356.1</v>
      </c>
      <c r="E182" s="479">
        <v>0</v>
      </c>
      <c r="F182" s="465"/>
      <c r="G182" s="465" t="s">
        <v>613</v>
      </c>
      <c r="H182" s="545">
        <f>+H107</f>
        <v>0.10146554692646804</v>
      </c>
      <c r="I182" s="465"/>
      <c r="J182" s="476">
        <f t="shared" si="2"/>
        <v>0</v>
      </c>
      <c r="K182" s="465"/>
      <c r="L182" s="544"/>
      <c r="M182" s="462"/>
      <c r="N182" s="544"/>
      <c r="O182" s="544"/>
    </row>
    <row r="183" spans="1:15" ht="16.5" thickBot="1">
      <c r="A183" s="467">
        <v>7</v>
      </c>
      <c r="C183" s="456" t="s">
        <v>674</v>
      </c>
      <c r="D183" s="465"/>
      <c r="E183" s="546">
        <v>0</v>
      </c>
      <c r="F183" s="465"/>
      <c r="G183" s="465" t="s">
        <v>129</v>
      </c>
      <c r="H183" s="543">
        <v>1</v>
      </c>
      <c r="I183" s="465"/>
      <c r="J183" s="482">
        <f t="shared" si="2"/>
        <v>0</v>
      </c>
      <c r="K183" s="465"/>
      <c r="L183" s="544"/>
      <c r="M183" s="462"/>
      <c r="N183" s="544"/>
      <c r="O183" s="544"/>
    </row>
    <row r="184" spans="1:15">
      <c r="A184" s="467">
        <v>8</v>
      </c>
      <c r="C184" s="456" t="s">
        <v>675</v>
      </c>
      <c r="D184" s="465"/>
      <c r="E184" s="476">
        <f>+E175-E176-E177+E178-E179-E180+E181+E182+E183</f>
        <v>30414717</v>
      </c>
      <c r="F184" s="465"/>
      <c r="G184" s="465"/>
      <c r="H184" s="465"/>
      <c r="I184" s="465"/>
      <c r="J184" s="476">
        <f>+J175-J176-J177+J178-J179-J180+J181+J182+J183</f>
        <v>10552237.537380278</v>
      </c>
      <c r="K184" s="465"/>
      <c r="L184" s="544"/>
      <c r="M184" s="462"/>
      <c r="N184" s="544"/>
      <c r="O184" s="544"/>
    </row>
    <row r="185" spans="1:15">
      <c r="A185" s="467"/>
      <c r="D185" s="465"/>
      <c r="F185" s="465"/>
      <c r="G185" s="465"/>
      <c r="H185" s="465"/>
      <c r="I185" s="465"/>
      <c r="K185" s="465"/>
      <c r="L185" s="538"/>
      <c r="M185" s="462"/>
      <c r="N185" s="462"/>
      <c r="O185" s="462"/>
    </row>
    <row r="186" spans="1:15">
      <c r="A186" s="467"/>
      <c r="C186" s="562" t="s">
        <v>676</v>
      </c>
      <c r="D186" s="465"/>
      <c r="E186" s="465"/>
      <c r="F186" s="465"/>
      <c r="G186" s="465"/>
      <c r="H186" s="465"/>
      <c r="I186" s="465"/>
      <c r="J186" s="465"/>
      <c r="K186" s="465"/>
      <c r="L186" s="538"/>
      <c r="M186" s="462"/>
      <c r="N186" s="462"/>
      <c r="O186" s="462"/>
    </row>
    <row r="187" spans="1:15">
      <c r="A187" s="467">
        <v>9</v>
      </c>
      <c r="C187" s="549" t="str">
        <f>+C175</f>
        <v xml:space="preserve">  Transmission </v>
      </c>
      <c r="D187" s="465" t="s">
        <v>218</v>
      </c>
      <c r="E187" s="479">
        <v>5000070</v>
      </c>
      <c r="F187" s="465"/>
      <c r="G187" s="465" t="s">
        <v>531</v>
      </c>
      <c r="H187" s="545">
        <f>+H131</f>
        <v>0.93314209828360362</v>
      </c>
      <c r="I187" s="465"/>
      <c r="J187" s="476">
        <f>+H187*E187</f>
        <v>4665775.8113648975</v>
      </c>
      <c r="K187" s="465"/>
      <c r="L187" s="544"/>
      <c r="M187" s="462"/>
      <c r="N187" s="544"/>
      <c r="O187" s="544"/>
    </row>
    <row r="188" spans="1:15">
      <c r="A188" s="571" t="s">
        <v>677</v>
      </c>
      <c r="B188" s="572"/>
      <c r="C188" s="487" t="s">
        <v>678</v>
      </c>
      <c r="D188" s="489" t="s">
        <v>679</v>
      </c>
      <c r="E188" s="479">
        <v>0</v>
      </c>
      <c r="F188" s="573"/>
      <c r="G188" s="573" t="s">
        <v>631</v>
      </c>
      <c r="H188" s="574">
        <v>1</v>
      </c>
      <c r="I188" s="573"/>
      <c r="J188" s="575">
        <f>+H188*E188</f>
        <v>0</v>
      </c>
      <c r="K188" s="465"/>
      <c r="L188" s="544"/>
      <c r="M188" s="462"/>
      <c r="N188" s="544"/>
      <c r="O188" s="544"/>
    </row>
    <row r="189" spans="1:15">
      <c r="A189" s="467">
        <v>10</v>
      </c>
      <c r="C189" s="562" t="s">
        <v>608</v>
      </c>
      <c r="D189" s="573" t="s">
        <v>680</v>
      </c>
      <c r="E189" s="479">
        <v>705081</v>
      </c>
      <c r="F189" s="465"/>
      <c r="G189" s="465" t="s">
        <v>610</v>
      </c>
      <c r="H189" s="545">
        <f>+H178</f>
        <v>0.14454964323541608</v>
      </c>
      <c r="I189" s="465"/>
      <c r="J189" s="476">
        <f>+H189*E189</f>
        <v>101919.20700207041</v>
      </c>
      <c r="K189" s="465"/>
      <c r="L189" s="544"/>
      <c r="M189" s="462"/>
      <c r="N189" s="544"/>
      <c r="O189" s="544"/>
    </row>
    <row r="190" spans="1:15" ht="16.5" thickBot="1">
      <c r="A190" s="467">
        <v>11</v>
      </c>
      <c r="C190" s="549" t="str">
        <f>+C182</f>
        <v xml:space="preserve">  Common</v>
      </c>
      <c r="D190" s="465" t="s">
        <v>221</v>
      </c>
      <c r="E190" s="546">
        <v>1510133</v>
      </c>
      <c r="F190" s="465"/>
      <c r="G190" s="465" t="s">
        <v>613</v>
      </c>
      <c r="H190" s="545">
        <f>+H182</f>
        <v>0.10146554692646804</v>
      </c>
      <c r="I190" s="465"/>
      <c r="J190" s="482">
        <f>+H190*E190</f>
        <v>153226.47077670798</v>
      </c>
      <c r="K190" s="465"/>
      <c r="L190" s="544"/>
      <c r="M190" s="462"/>
      <c r="N190" s="544"/>
      <c r="O190" s="544"/>
    </row>
    <row r="191" spans="1:15">
      <c r="A191" s="467">
        <v>12</v>
      </c>
      <c r="C191" s="456" t="s">
        <v>681</v>
      </c>
      <c r="D191" s="465"/>
      <c r="E191" s="476">
        <f>SUM(E187:E190)</f>
        <v>7215284</v>
      </c>
      <c r="F191" s="465"/>
      <c r="G191" s="465"/>
      <c r="H191" s="465"/>
      <c r="I191" s="465"/>
      <c r="J191" s="476">
        <f>SUM(J187:J190)</f>
        <v>4920921.4891436761</v>
      </c>
      <c r="K191" s="465"/>
      <c r="L191" s="544"/>
      <c r="M191" s="462"/>
      <c r="N191" s="544"/>
      <c r="O191" s="544"/>
    </row>
    <row r="192" spans="1:15">
      <c r="A192" s="467"/>
      <c r="C192" s="456"/>
      <c r="D192" s="465"/>
      <c r="E192" s="465"/>
      <c r="F192" s="465"/>
      <c r="G192" s="465"/>
      <c r="H192" s="465"/>
      <c r="I192" s="465"/>
      <c r="J192" s="465"/>
      <c r="K192" s="465"/>
      <c r="L192" s="544"/>
      <c r="M192" s="462"/>
      <c r="N192" s="544"/>
      <c r="O192" s="544"/>
    </row>
    <row r="193" spans="1:15">
      <c r="A193" s="467" t="s">
        <v>129</v>
      </c>
      <c r="C193" s="456" t="s">
        <v>682</v>
      </c>
      <c r="E193" s="465"/>
      <c r="F193" s="465"/>
      <c r="G193" s="465"/>
      <c r="H193" s="465"/>
      <c r="I193" s="465"/>
      <c r="J193" s="465"/>
      <c r="K193" s="465"/>
      <c r="L193" s="544"/>
      <c r="M193" s="462"/>
      <c r="N193" s="544"/>
      <c r="O193" s="544"/>
    </row>
    <row r="194" spans="1:15">
      <c r="A194" s="467"/>
      <c r="C194" s="456" t="s">
        <v>683</v>
      </c>
      <c r="F194" s="465"/>
      <c r="G194" s="465"/>
      <c r="I194" s="465"/>
      <c r="K194" s="465"/>
      <c r="L194" s="544"/>
      <c r="M194" s="462"/>
      <c r="N194" s="544"/>
      <c r="O194" s="544"/>
    </row>
    <row r="195" spans="1:15">
      <c r="A195" s="467">
        <v>13</v>
      </c>
      <c r="C195" s="456" t="s">
        <v>684</v>
      </c>
      <c r="D195" s="465" t="s">
        <v>226</v>
      </c>
      <c r="E195" s="479">
        <v>2401637</v>
      </c>
      <c r="F195" s="465"/>
      <c r="G195" s="465" t="s">
        <v>610</v>
      </c>
      <c r="H195" s="477">
        <f>+H189</f>
        <v>0.14454964323541608</v>
      </c>
      <c r="I195" s="465"/>
      <c r="J195" s="476">
        <f>+H195*E195</f>
        <v>347155.77153097495</v>
      </c>
      <c r="K195" s="465"/>
      <c r="L195" s="544"/>
      <c r="M195" s="462"/>
      <c r="N195" s="544"/>
      <c r="O195" s="544"/>
    </row>
    <row r="196" spans="1:15">
      <c r="A196" s="467">
        <v>14</v>
      </c>
      <c r="C196" s="456" t="s">
        <v>685</v>
      </c>
      <c r="D196" s="476" t="str">
        <f>+D195</f>
        <v>263.i</v>
      </c>
      <c r="E196" s="479">
        <v>4689</v>
      </c>
      <c r="F196" s="465"/>
      <c r="G196" s="476" t="str">
        <f>+G195</f>
        <v>W/S</v>
      </c>
      <c r="H196" s="477">
        <f>+H195</f>
        <v>0.14454964323541608</v>
      </c>
      <c r="I196" s="465"/>
      <c r="J196" s="476">
        <f>+H196*E196</f>
        <v>677.79327713086604</v>
      </c>
      <c r="K196" s="465"/>
      <c r="L196" s="544"/>
      <c r="M196" s="462"/>
      <c r="N196" s="544"/>
      <c r="O196" s="544"/>
    </row>
    <row r="197" spans="1:15">
      <c r="A197" s="467">
        <v>15</v>
      </c>
      <c r="C197" s="456" t="s">
        <v>686</v>
      </c>
      <c r="D197" s="465" t="s">
        <v>129</v>
      </c>
      <c r="F197" s="465"/>
      <c r="G197" s="465"/>
      <c r="I197" s="465"/>
      <c r="K197" s="465"/>
      <c r="L197" s="544"/>
      <c r="M197" s="462"/>
      <c r="N197" s="544"/>
      <c r="O197" s="544"/>
    </row>
    <row r="198" spans="1:15">
      <c r="A198" s="467">
        <v>16</v>
      </c>
      <c r="C198" s="456" t="s">
        <v>687</v>
      </c>
      <c r="D198" s="465" t="s">
        <v>226</v>
      </c>
      <c r="E198" s="479">
        <v>7982435</v>
      </c>
      <c r="F198" s="465"/>
      <c r="G198" s="465" t="s">
        <v>657</v>
      </c>
      <c r="H198" s="477">
        <f>+H100</f>
        <v>0.15742964318632391</v>
      </c>
      <c r="I198" s="465"/>
      <c r="J198" s="476">
        <f>+H198*E198</f>
        <v>1256671.8938080235</v>
      </c>
      <c r="K198" s="465"/>
      <c r="L198" s="544"/>
      <c r="M198" s="462"/>
      <c r="N198" s="544"/>
      <c r="O198" s="544"/>
    </row>
    <row r="199" spans="1:15">
      <c r="A199" s="467">
        <v>17</v>
      </c>
      <c r="C199" s="456" t="s">
        <v>688</v>
      </c>
      <c r="D199" s="465" t="s">
        <v>226</v>
      </c>
      <c r="E199" s="479">
        <v>261778</v>
      </c>
      <c r="F199" s="465"/>
      <c r="G199" s="553" t="str">
        <f>+G122</f>
        <v>NA</v>
      </c>
      <c r="H199" s="576" t="s">
        <v>634</v>
      </c>
      <c r="I199" s="465"/>
      <c r="J199" s="465">
        <v>0</v>
      </c>
      <c r="K199" s="465"/>
      <c r="L199" s="544"/>
      <c r="M199" s="462"/>
      <c r="N199" s="544"/>
      <c r="O199" s="544"/>
    </row>
    <row r="200" spans="1:15">
      <c r="A200" s="467">
        <v>18</v>
      </c>
      <c r="C200" s="456" t="s">
        <v>689</v>
      </c>
      <c r="D200" s="476" t="str">
        <f>+D199</f>
        <v>263.i</v>
      </c>
      <c r="E200" s="479">
        <v>1391111</v>
      </c>
      <c r="F200" s="465"/>
      <c r="G200" s="476" t="str">
        <f>+G198</f>
        <v>GP</v>
      </c>
      <c r="H200" s="477">
        <f>+H198</f>
        <v>0.15742964318632391</v>
      </c>
      <c r="I200" s="465"/>
      <c r="J200" s="476">
        <f>+H200*E200</f>
        <v>219002.10836257023</v>
      </c>
      <c r="K200" s="465"/>
      <c r="L200" s="544"/>
      <c r="M200" s="462"/>
      <c r="N200" s="544"/>
      <c r="O200" s="544"/>
    </row>
    <row r="201" spans="1:15" ht="16.5" thickBot="1">
      <c r="A201" s="467">
        <v>19</v>
      </c>
      <c r="C201" s="456" t="s">
        <v>690</v>
      </c>
      <c r="D201" s="465"/>
      <c r="E201" s="546">
        <v>97460</v>
      </c>
      <c r="F201" s="465"/>
      <c r="G201" s="465" t="s">
        <v>657</v>
      </c>
      <c r="H201" s="477">
        <f>+H198</f>
        <v>0.15742964318632391</v>
      </c>
      <c r="I201" s="465"/>
      <c r="J201" s="482">
        <f>+H201*E201</f>
        <v>15343.093024939128</v>
      </c>
      <c r="K201" s="465"/>
      <c r="L201" s="544"/>
      <c r="M201" s="462"/>
      <c r="N201" s="544"/>
      <c r="O201" s="544"/>
    </row>
    <row r="202" spans="1:15">
      <c r="A202" s="467">
        <v>20</v>
      </c>
      <c r="C202" s="456" t="s">
        <v>691</v>
      </c>
      <c r="D202" s="465"/>
      <c r="E202" s="476">
        <f>SUM(E195:E201)</f>
        <v>12139110</v>
      </c>
      <c r="F202" s="465"/>
      <c r="G202" s="465"/>
      <c r="H202" s="484"/>
      <c r="I202" s="465"/>
      <c r="J202" s="476">
        <f>SUM(J195:J201)</f>
        <v>1838850.6600036386</v>
      </c>
      <c r="K202" s="465"/>
      <c r="L202" s="544"/>
      <c r="M202" s="462"/>
      <c r="N202" s="544"/>
      <c r="O202" s="544"/>
    </row>
    <row r="203" spans="1:15">
      <c r="A203" s="467"/>
      <c r="C203" s="456"/>
      <c r="D203" s="465"/>
      <c r="E203" s="465"/>
      <c r="F203" s="465"/>
      <c r="G203" s="465"/>
      <c r="H203" s="484"/>
      <c r="I203" s="465"/>
      <c r="J203" s="465"/>
      <c r="K203" s="465"/>
      <c r="L203" s="544"/>
      <c r="M203" s="462"/>
      <c r="N203" s="544"/>
      <c r="O203" s="544"/>
    </row>
    <row r="204" spans="1:15">
      <c r="A204" s="467" t="s">
        <v>692</v>
      </c>
      <c r="C204" s="456"/>
      <c r="D204" s="465"/>
      <c r="E204" s="465"/>
      <c r="F204" s="465"/>
      <c r="G204" s="465"/>
      <c r="H204" s="484"/>
      <c r="I204" s="465"/>
      <c r="J204" s="465"/>
      <c r="K204" s="465"/>
      <c r="L204" s="465"/>
      <c r="N204" s="465"/>
      <c r="O204" s="465"/>
    </row>
    <row r="205" spans="1:15">
      <c r="A205" s="467" t="s">
        <v>129</v>
      </c>
      <c r="C205" s="456" t="s">
        <v>693</v>
      </c>
      <c r="D205" s="465" t="s">
        <v>694</v>
      </c>
      <c r="E205" s="465"/>
      <c r="F205" s="465"/>
      <c r="H205" s="577"/>
      <c r="I205" s="465"/>
      <c r="K205" s="465"/>
      <c r="L205" s="465"/>
      <c r="N205" s="465"/>
      <c r="O205" s="465"/>
    </row>
    <row r="206" spans="1:15">
      <c r="A206" s="467">
        <v>21</v>
      </c>
      <c r="C206" s="578" t="s">
        <v>695</v>
      </c>
      <c r="D206" s="465"/>
      <c r="E206" s="579">
        <f>IF(E356&gt;0,1-(((1-E357)*(1-E356))/(1-E357*E356*E358)),0)</f>
        <v>0.38022499999999992</v>
      </c>
      <c r="F206" s="465"/>
      <c r="H206" s="577"/>
      <c r="I206" s="465"/>
      <c r="K206" s="465"/>
      <c r="L206" s="465"/>
      <c r="N206" s="465"/>
      <c r="O206" s="465"/>
    </row>
    <row r="207" spans="1:15">
      <c r="A207" s="467">
        <v>22</v>
      </c>
      <c r="C207" s="455" t="s">
        <v>696</v>
      </c>
      <c r="D207" s="465"/>
      <c r="E207" s="579">
        <f>IF(J296&gt;0,(E206/(1-E206))*(1-J293/J296),0)</f>
        <v>0.43283255391929903</v>
      </c>
      <c r="F207" s="465"/>
      <c r="H207" s="577"/>
      <c r="I207" s="465"/>
      <c r="K207" s="465"/>
      <c r="L207" s="465"/>
      <c r="N207" s="465"/>
      <c r="O207" s="465"/>
    </row>
    <row r="208" spans="1:15">
      <c r="A208" s="467"/>
      <c r="C208" s="456" t="s">
        <v>697</v>
      </c>
      <c r="D208" s="465"/>
      <c r="E208" s="465"/>
      <c r="F208" s="465"/>
      <c r="H208" s="577"/>
      <c r="I208" s="465"/>
      <c r="K208" s="465"/>
      <c r="L208" s="544"/>
      <c r="N208" s="544"/>
      <c r="O208" s="544"/>
    </row>
    <row r="209" spans="1:15">
      <c r="A209" s="467"/>
      <c r="C209" s="456" t="s">
        <v>698</v>
      </c>
      <c r="D209" s="465"/>
      <c r="E209" s="465"/>
      <c r="F209" s="465"/>
      <c r="H209" s="577"/>
      <c r="I209" s="465"/>
      <c r="K209" s="465"/>
      <c r="L209" s="465"/>
      <c r="N209" s="465"/>
      <c r="O209" s="465"/>
    </row>
    <row r="210" spans="1:15">
      <c r="A210" s="467">
        <v>23</v>
      </c>
      <c r="C210" s="578" t="s">
        <v>699</v>
      </c>
      <c r="D210" s="465"/>
      <c r="E210" s="580">
        <f>IF(E206&gt;0,1/(1-E206),0)</f>
        <v>1.6134887660844659</v>
      </c>
      <c r="F210" s="465"/>
      <c r="H210" s="577"/>
      <c r="I210" s="465"/>
      <c r="K210" s="465"/>
      <c r="L210" s="465"/>
      <c r="N210" s="465"/>
      <c r="O210" s="465"/>
    </row>
    <row r="211" spans="1:15">
      <c r="A211" s="467">
        <v>24</v>
      </c>
      <c r="C211" s="456" t="s">
        <v>700</v>
      </c>
      <c r="D211" s="581"/>
      <c r="E211" s="479">
        <v>0</v>
      </c>
      <c r="F211" s="465"/>
      <c r="H211" s="577"/>
      <c r="I211" s="465"/>
      <c r="K211" s="465"/>
      <c r="L211" s="465"/>
      <c r="N211" s="465"/>
      <c r="O211" s="465"/>
    </row>
    <row r="212" spans="1:15">
      <c r="A212" s="467"/>
      <c r="C212" s="456"/>
      <c r="D212" s="465"/>
      <c r="E212" s="465"/>
      <c r="F212" s="465"/>
      <c r="H212" s="577"/>
      <c r="I212" s="465"/>
      <c r="K212" s="465"/>
      <c r="L212" s="465"/>
      <c r="N212" s="465"/>
      <c r="O212" s="465"/>
    </row>
    <row r="213" spans="1:15">
      <c r="A213" s="467">
        <v>25</v>
      </c>
      <c r="C213" s="578" t="s">
        <v>701</v>
      </c>
      <c r="D213" s="582"/>
      <c r="E213" s="476">
        <f>E207*E217</f>
        <v>31895544.016212258</v>
      </c>
      <c r="F213" s="465"/>
      <c r="G213" s="465" t="s">
        <v>605</v>
      </c>
      <c r="H213" s="484"/>
      <c r="I213" s="465"/>
      <c r="J213" s="476">
        <f>E207*J217</f>
        <v>5674707.8104830589</v>
      </c>
      <c r="K213" s="465"/>
      <c r="L213" s="544"/>
      <c r="M213" s="462"/>
      <c r="N213" s="544"/>
      <c r="O213" s="544"/>
    </row>
    <row r="214" spans="1:15" ht="16.5" thickBot="1">
      <c r="A214" s="467">
        <v>26</v>
      </c>
      <c r="C214" s="455" t="s">
        <v>702</v>
      </c>
      <c r="D214" s="582"/>
      <c r="E214" s="583">
        <f>E210*E211</f>
        <v>0</v>
      </c>
      <c r="F214" s="465"/>
      <c r="G214" s="455" t="s">
        <v>636</v>
      </c>
      <c r="H214" s="477">
        <f>H116</f>
        <v>0.15008667397284473</v>
      </c>
      <c r="I214" s="465"/>
      <c r="J214" s="583">
        <f>H214*E214</f>
        <v>0</v>
      </c>
      <c r="K214" s="465"/>
      <c r="L214" s="544"/>
      <c r="M214" s="462"/>
      <c r="N214" s="544"/>
      <c r="O214" s="544"/>
    </row>
    <row r="215" spans="1:15">
      <c r="A215" s="467">
        <v>27</v>
      </c>
      <c r="C215" s="578" t="s">
        <v>703</v>
      </c>
      <c r="D215" s="455" t="s">
        <v>704</v>
      </c>
      <c r="E215" s="584">
        <f>+E213+E214</f>
        <v>31895544.016212258</v>
      </c>
      <c r="F215" s="465"/>
      <c r="G215" s="465" t="s">
        <v>129</v>
      </c>
      <c r="H215" s="484" t="s">
        <v>129</v>
      </c>
      <c r="I215" s="465"/>
      <c r="J215" s="584">
        <f>+J213+J214</f>
        <v>5674707.8104830589</v>
      </c>
      <c r="K215" s="465"/>
      <c r="L215" s="544"/>
      <c r="M215" s="462"/>
      <c r="N215" s="544"/>
      <c r="O215" s="544"/>
    </row>
    <row r="216" spans="1:15">
      <c r="A216" s="467" t="s">
        <v>129</v>
      </c>
      <c r="D216" s="585"/>
      <c r="E216" s="465"/>
      <c r="F216" s="465"/>
      <c r="G216" s="465"/>
      <c r="H216" s="484"/>
      <c r="I216" s="465"/>
      <c r="J216" s="465"/>
      <c r="K216" s="465"/>
      <c r="L216" s="544"/>
      <c r="M216" s="462"/>
      <c r="N216" s="544"/>
      <c r="O216" s="544"/>
    </row>
    <row r="217" spans="1:15">
      <c r="A217" s="467">
        <v>28</v>
      </c>
      <c r="C217" s="456" t="s">
        <v>705</v>
      </c>
      <c r="D217" s="548"/>
      <c r="E217" s="476">
        <f>+$J296*E139</f>
        <v>73690261.343325704</v>
      </c>
      <c r="F217" s="465"/>
      <c r="G217" s="465" t="s">
        <v>605</v>
      </c>
      <c r="H217" s="577"/>
      <c r="I217" s="465"/>
      <c r="J217" s="476">
        <f>+$J296*J139</f>
        <v>13110630.794977356</v>
      </c>
      <c r="K217" s="465"/>
      <c r="L217" s="544"/>
      <c r="M217" s="462"/>
      <c r="N217" s="544"/>
      <c r="O217" s="544"/>
    </row>
    <row r="218" spans="1:15">
      <c r="A218" s="467"/>
      <c r="C218" s="578" t="s">
        <v>706</v>
      </c>
      <c r="E218" s="465"/>
      <c r="F218" s="465"/>
      <c r="G218" s="465"/>
      <c r="H218" s="577"/>
      <c r="I218" s="465"/>
      <c r="J218" s="465"/>
      <c r="K218" s="465"/>
      <c r="L218" s="465"/>
      <c r="N218" s="465"/>
      <c r="O218" s="465"/>
    </row>
    <row r="219" spans="1:15">
      <c r="A219" s="467"/>
      <c r="C219" s="456"/>
      <c r="E219" s="544"/>
      <c r="F219" s="465"/>
      <c r="G219" s="465"/>
      <c r="H219" s="577"/>
      <c r="I219" s="465"/>
      <c r="J219" s="544"/>
      <c r="K219" s="465"/>
      <c r="L219" s="465"/>
      <c r="N219" s="465"/>
      <c r="O219" s="465"/>
    </row>
    <row r="220" spans="1:15">
      <c r="A220" s="467">
        <v>29</v>
      </c>
      <c r="C220" s="456" t="s">
        <v>707</v>
      </c>
      <c r="D220" s="465"/>
      <c r="E220" s="502">
        <f>+E217+E215+E202+E191+E184</f>
        <v>155354916.35953796</v>
      </c>
      <c r="F220" s="465"/>
      <c r="G220" s="465"/>
      <c r="H220" s="465"/>
      <c r="I220" s="465"/>
      <c r="J220" s="586">
        <f>+J217+J215+J202+J191+J184</f>
        <v>36097348.291988008</v>
      </c>
      <c r="K220" s="458"/>
      <c r="L220" s="465"/>
      <c r="N220" s="465"/>
      <c r="O220" s="465"/>
    </row>
    <row r="221" spans="1:15">
      <c r="A221" s="467">
        <v>30</v>
      </c>
      <c r="C221" s="541" t="s">
        <v>708</v>
      </c>
      <c r="D221" s="489"/>
      <c r="E221" s="544"/>
      <c r="F221" s="465"/>
      <c r="G221" s="465"/>
      <c r="H221" s="465"/>
      <c r="I221" s="465"/>
      <c r="J221" s="544"/>
      <c r="K221" s="458"/>
      <c r="L221" s="465"/>
      <c r="N221" s="465"/>
      <c r="O221" s="465"/>
    </row>
    <row r="222" spans="1:15">
      <c r="C222" s="690" t="s">
        <v>709</v>
      </c>
      <c r="D222" s="690"/>
      <c r="E222" s="544"/>
      <c r="F222" s="465"/>
      <c r="G222" s="465"/>
      <c r="H222" s="465"/>
      <c r="I222" s="465"/>
      <c r="J222" s="544"/>
      <c r="K222" s="458"/>
      <c r="L222" s="465"/>
      <c r="N222" s="465"/>
      <c r="O222" s="465"/>
    </row>
    <row r="223" spans="1:15">
      <c r="A223" s="467"/>
      <c r="C223" s="541" t="s">
        <v>710</v>
      </c>
      <c r="D223" s="489"/>
      <c r="E223" s="479">
        <v>1472917.2048972382</v>
      </c>
      <c r="F223" s="465"/>
      <c r="G223" s="465"/>
      <c r="H223" s="465"/>
      <c r="I223" s="465"/>
      <c r="J223" s="587">
        <f>+E223</f>
        <v>1472917.2048972382</v>
      </c>
      <c r="K223" s="458"/>
      <c r="L223" s="465"/>
      <c r="N223" s="465"/>
      <c r="O223" s="465"/>
    </row>
    <row r="224" spans="1:15">
      <c r="A224" s="467"/>
      <c r="C224" s="541"/>
      <c r="D224" s="489"/>
      <c r="E224" s="474"/>
      <c r="F224" s="465"/>
      <c r="G224" s="465"/>
      <c r="H224" s="465"/>
      <c r="I224" s="465"/>
      <c r="J224" s="544"/>
      <c r="K224" s="458"/>
      <c r="L224" s="544"/>
      <c r="N224" s="544"/>
      <c r="O224" s="544"/>
    </row>
    <row r="225" spans="1:15">
      <c r="A225" s="467" t="s">
        <v>711</v>
      </c>
      <c r="C225" s="541" t="s">
        <v>712</v>
      </c>
      <c r="D225" s="489"/>
      <c r="E225" s="544"/>
      <c r="F225" s="465"/>
      <c r="G225" s="465"/>
      <c r="H225" s="465"/>
      <c r="I225" s="465"/>
      <c r="J225" s="544"/>
      <c r="K225" s="458"/>
      <c r="L225" s="465"/>
      <c r="N225" s="465"/>
      <c r="O225" s="465"/>
    </row>
    <row r="226" spans="1:15">
      <c r="C226" s="690" t="s">
        <v>709</v>
      </c>
      <c r="D226" s="690"/>
      <c r="E226" s="544"/>
      <c r="F226" s="465"/>
      <c r="G226" s="465"/>
      <c r="H226" s="465"/>
      <c r="I226" s="465"/>
      <c r="J226" s="544"/>
      <c r="K226" s="458"/>
      <c r="L226" s="465"/>
      <c r="N226" s="465"/>
      <c r="O226" s="465"/>
    </row>
    <row r="227" spans="1:15" ht="16.5" thickBot="1">
      <c r="A227" s="467"/>
      <c r="C227" s="541" t="s">
        <v>713</v>
      </c>
      <c r="D227" s="489"/>
      <c r="E227" s="588">
        <v>3609841.6484405706</v>
      </c>
      <c r="F227" s="465"/>
      <c r="G227" s="465"/>
      <c r="H227" s="465"/>
      <c r="I227" s="465"/>
      <c r="J227" s="587">
        <f>+E227</f>
        <v>3609841.6484405706</v>
      </c>
      <c r="K227" s="458"/>
      <c r="L227" s="465"/>
      <c r="N227" s="465"/>
      <c r="O227" s="465"/>
    </row>
    <row r="228" spans="1:15" ht="16.5" thickBot="1">
      <c r="A228" s="467">
        <v>31</v>
      </c>
      <c r="C228" s="456" t="s">
        <v>714</v>
      </c>
      <c r="D228" s="465"/>
      <c r="E228" s="589">
        <f>+E220-E223-E227</f>
        <v>150272157.50620016</v>
      </c>
      <c r="F228" s="465"/>
      <c r="G228" s="465"/>
      <c r="H228" s="465"/>
      <c r="I228" s="465"/>
      <c r="J228" s="589">
        <f>+J220-J223-J227</f>
        <v>31014589.438650198</v>
      </c>
      <c r="K228" s="458"/>
      <c r="L228" s="465"/>
      <c r="N228" s="465"/>
      <c r="O228" s="465"/>
    </row>
    <row r="229" spans="1:15" ht="16.5" thickTop="1">
      <c r="A229" s="467"/>
      <c r="C229" s="541" t="s">
        <v>715</v>
      </c>
      <c r="D229" s="465"/>
      <c r="E229" s="544"/>
      <c r="F229" s="465"/>
      <c r="G229" s="465"/>
      <c r="H229" s="465"/>
      <c r="I229" s="465"/>
      <c r="J229" s="544"/>
      <c r="K229" s="458"/>
      <c r="L229" s="465"/>
      <c r="N229" s="465"/>
      <c r="O229" s="465"/>
    </row>
    <row r="230" spans="1:15">
      <c r="A230" s="467"/>
      <c r="C230" s="456"/>
      <c r="D230" s="465"/>
      <c r="E230" s="544"/>
      <c r="F230" s="465"/>
      <c r="G230" s="465"/>
      <c r="H230" s="465"/>
      <c r="I230" s="465"/>
      <c r="J230" s="544"/>
      <c r="K230" s="458"/>
      <c r="L230" s="465"/>
      <c r="N230" s="465"/>
      <c r="O230" s="465"/>
    </row>
    <row r="231" spans="1:15">
      <c r="A231" s="467"/>
      <c r="C231" s="456"/>
      <c r="D231" s="465"/>
      <c r="E231" s="544"/>
      <c r="F231" s="465"/>
      <c r="G231" s="465"/>
      <c r="H231" s="465"/>
      <c r="I231" s="465"/>
      <c r="J231" s="544"/>
      <c r="K231" s="458"/>
      <c r="L231" s="465"/>
      <c r="N231" s="465"/>
      <c r="O231" s="465"/>
    </row>
    <row r="232" spans="1:15">
      <c r="A232" s="456"/>
      <c r="C232" s="456"/>
      <c r="D232" s="465"/>
      <c r="E232" s="544"/>
      <c r="F232" s="465"/>
      <c r="G232" s="465"/>
      <c r="H232" s="548"/>
      <c r="I232" s="465"/>
      <c r="J232" s="544"/>
      <c r="K232" s="474"/>
      <c r="L232" s="544"/>
      <c r="N232" s="544"/>
      <c r="O232" s="544"/>
    </row>
    <row r="233" spans="1:15">
      <c r="A233" s="456"/>
      <c r="C233" s="527"/>
      <c r="D233" s="465"/>
      <c r="E233" s="544"/>
      <c r="F233" s="465"/>
      <c r="G233" s="465"/>
      <c r="H233" s="548"/>
      <c r="I233" s="465"/>
      <c r="J233" s="544"/>
      <c r="K233" s="465"/>
      <c r="L233" s="465"/>
      <c r="N233" s="465"/>
      <c r="O233" s="465"/>
    </row>
    <row r="234" spans="1:15">
      <c r="A234" s="456"/>
      <c r="C234" s="527"/>
      <c r="D234" s="465"/>
      <c r="E234" s="544"/>
      <c r="F234" s="465"/>
      <c r="G234" s="465"/>
      <c r="H234" s="548"/>
      <c r="I234" s="465"/>
      <c r="J234" s="544"/>
      <c r="K234" s="465"/>
      <c r="L234" s="465"/>
      <c r="N234" s="465"/>
      <c r="O234" s="465"/>
    </row>
    <row r="235" spans="1:15">
      <c r="A235" s="456"/>
      <c r="C235" s="527"/>
      <c r="D235" s="465"/>
      <c r="E235" s="544"/>
      <c r="F235" s="465"/>
      <c r="G235" s="465"/>
      <c r="H235" s="548"/>
      <c r="I235" s="465"/>
      <c r="J235" s="544"/>
      <c r="K235" s="465"/>
      <c r="L235" s="590"/>
    </row>
    <row r="236" spans="1:15">
      <c r="C236" s="456"/>
      <c r="D236" s="456"/>
      <c r="E236" s="457"/>
      <c r="F236" s="456"/>
      <c r="G236" s="456"/>
      <c r="H236" s="456"/>
      <c r="I236" s="458"/>
      <c r="J236" s="467"/>
      <c r="K236" s="467"/>
      <c r="L236" s="460"/>
    </row>
    <row r="237" spans="1:15">
      <c r="C237" s="456"/>
      <c r="D237" s="456"/>
      <c r="E237" s="457"/>
      <c r="F237" s="456"/>
      <c r="G237" s="456"/>
      <c r="H237" s="456"/>
      <c r="I237" s="458"/>
      <c r="J237" s="459"/>
      <c r="K237" s="459"/>
      <c r="L237" s="460"/>
    </row>
    <row r="238" spans="1:15">
      <c r="C238" s="456"/>
      <c r="D238" s="456"/>
      <c r="E238" s="457"/>
      <c r="F238" s="456"/>
      <c r="G238" s="456"/>
      <c r="H238" s="456"/>
      <c r="I238" s="458"/>
      <c r="J238" s="458"/>
      <c r="L238" s="459" t="s">
        <v>1</v>
      </c>
    </row>
    <row r="239" spans="1:15">
      <c r="C239" s="456"/>
      <c r="D239" s="456"/>
      <c r="E239" s="457"/>
      <c r="F239" s="456"/>
      <c r="G239" s="456"/>
      <c r="H239" s="456"/>
      <c r="I239" s="458"/>
      <c r="J239" s="458"/>
      <c r="K239" s="458"/>
      <c r="L239" s="460" t="s">
        <v>716</v>
      </c>
    </row>
    <row r="240" spans="1:15">
      <c r="C240" s="456"/>
      <c r="D240" s="456"/>
      <c r="E240" s="457"/>
      <c r="F240" s="456"/>
      <c r="G240" s="456"/>
      <c r="H240" s="456"/>
      <c r="I240" s="458"/>
      <c r="J240" s="458"/>
      <c r="K240" s="458"/>
      <c r="L240" s="460"/>
    </row>
    <row r="241" spans="1:20">
      <c r="C241" s="456" t="s">
        <v>518</v>
      </c>
      <c r="D241" s="456"/>
      <c r="E241" s="457" t="s">
        <v>519</v>
      </c>
      <c r="F241" s="456"/>
      <c r="G241" s="456"/>
      <c r="H241" s="456"/>
      <c r="I241" s="458"/>
      <c r="J241" s="529" t="str">
        <f>J5</f>
        <v>For the 12 months ended 12/31/16</v>
      </c>
      <c r="K241" s="464"/>
      <c r="L241" s="464"/>
    </row>
    <row r="242" spans="1:20">
      <c r="C242" s="456"/>
      <c r="D242" s="465" t="s">
        <v>129</v>
      </c>
      <c r="E242" s="465" t="s">
        <v>521</v>
      </c>
      <c r="F242" s="465"/>
      <c r="G242" s="465"/>
      <c r="H242" s="465"/>
      <c r="I242" s="458"/>
      <c r="J242" s="458"/>
      <c r="K242" s="458"/>
      <c r="L242" s="463"/>
    </row>
    <row r="243" spans="1:20">
      <c r="A243" s="467"/>
      <c r="K243" s="465"/>
      <c r="L243" s="474"/>
    </row>
    <row r="244" spans="1:20">
      <c r="A244" s="467"/>
      <c r="E244" s="530" t="str">
        <f>E8</f>
        <v>Montana-Dakota Utilities Co.</v>
      </c>
      <c r="F244" s="469"/>
      <c r="G244" s="469"/>
      <c r="K244" s="465"/>
      <c r="L244" s="474"/>
    </row>
    <row r="245" spans="1:20">
      <c r="A245" s="467"/>
      <c r="D245" s="537" t="s">
        <v>717</v>
      </c>
      <c r="F245" s="458"/>
      <c r="G245" s="458"/>
      <c r="H245" s="458"/>
      <c r="I245" s="458"/>
      <c r="J245" s="458"/>
      <c r="K245" s="465"/>
      <c r="L245" s="474"/>
    </row>
    <row r="246" spans="1:20">
      <c r="A246" s="467" t="s">
        <v>522</v>
      </c>
      <c r="C246" s="537"/>
      <c r="D246" s="458"/>
      <c r="E246" s="458"/>
      <c r="F246" s="458"/>
      <c r="G246" s="458"/>
      <c r="H246" s="458"/>
      <c r="I246" s="458"/>
      <c r="J246" s="458"/>
      <c r="K246" s="465"/>
      <c r="L246" s="474"/>
    </row>
    <row r="247" spans="1:20" ht="16.5" thickBot="1">
      <c r="A247" s="471" t="s">
        <v>523</v>
      </c>
      <c r="C247" s="527" t="s">
        <v>718</v>
      </c>
      <c r="D247" s="463"/>
      <c r="E247" s="463"/>
      <c r="F247" s="463"/>
      <c r="G247" s="463"/>
      <c r="H247" s="463"/>
      <c r="I247" s="526"/>
      <c r="J247" s="526"/>
      <c r="K247" s="474"/>
      <c r="L247" s="474"/>
    </row>
    <row r="248" spans="1:20">
      <c r="A248" s="467"/>
      <c r="C248" s="527"/>
      <c r="D248" s="463"/>
      <c r="E248" s="463"/>
      <c r="F248" s="463"/>
      <c r="G248" s="463"/>
      <c r="H248" s="463"/>
      <c r="I248" s="463"/>
      <c r="J248" s="463"/>
      <c r="K248" s="474"/>
      <c r="L248" s="474"/>
    </row>
    <row r="249" spans="1:20">
      <c r="A249" s="467">
        <v>1</v>
      </c>
      <c r="C249" s="463" t="s">
        <v>719</v>
      </c>
      <c r="D249" s="463"/>
      <c r="E249" s="474"/>
      <c r="F249" s="474"/>
      <c r="G249" s="474"/>
      <c r="H249" s="474"/>
      <c r="I249" s="474"/>
      <c r="J249" s="553">
        <f>E96</f>
        <v>264777125</v>
      </c>
      <c r="K249" s="474"/>
      <c r="L249" s="474"/>
    </row>
    <row r="250" spans="1:20">
      <c r="A250" s="467">
        <v>2</v>
      </c>
      <c r="C250" s="463" t="s">
        <v>720</v>
      </c>
      <c r="D250" s="526"/>
      <c r="E250" s="526"/>
      <c r="F250" s="526"/>
      <c r="G250" s="526"/>
      <c r="H250" s="526"/>
      <c r="I250" s="526"/>
      <c r="J250" s="479">
        <v>0</v>
      </c>
      <c r="K250" s="474"/>
      <c r="L250" s="474"/>
    </row>
    <row r="251" spans="1:20" ht="16.5" thickBot="1">
      <c r="A251" s="467">
        <v>3</v>
      </c>
      <c r="C251" s="591" t="s">
        <v>721</v>
      </c>
      <c r="D251" s="591"/>
      <c r="E251" s="592"/>
      <c r="F251" s="474"/>
      <c r="G251" s="474"/>
      <c r="H251" s="593"/>
      <c r="I251" s="474"/>
      <c r="J251" s="546">
        <v>17702443</v>
      </c>
      <c r="K251" s="474"/>
      <c r="L251" s="474"/>
    </row>
    <row r="252" spans="1:20">
      <c r="A252" s="467">
        <v>4</v>
      </c>
      <c r="C252" s="463" t="s">
        <v>722</v>
      </c>
      <c r="D252" s="463"/>
      <c r="E252" s="474"/>
      <c r="F252" s="474"/>
      <c r="G252" s="474"/>
      <c r="H252" s="593"/>
      <c r="I252" s="474"/>
      <c r="J252" s="553">
        <f>J249-J250-J251</f>
        <v>247074682</v>
      </c>
      <c r="K252" s="474"/>
      <c r="L252" s="474"/>
    </row>
    <row r="253" spans="1:20">
      <c r="A253" s="467"/>
      <c r="C253" s="526"/>
      <c r="D253" s="463"/>
      <c r="E253" s="474"/>
      <c r="F253" s="474"/>
      <c r="G253" s="474"/>
      <c r="H253" s="593"/>
      <c r="I253" s="474"/>
      <c r="J253" s="526"/>
      <c r="K253" s="474"/>
      <c r="L253" s="474"/>
      <c r="N253" s="594"/>
      <c r="O253" s="594"/>
      <c r="P253" s="594"/>
      <c r="Q253" s="594"/>
      <c r="R253" s="594"/>
      <c r="S253" s="594"/>
      <c r="T253" s="594"/>
    </row>
    <row r="254" spans="1:20">
      <c r="A254" s="467">
        <v>5</v>
      </c>
      <c r="C254" s="463" t="s">
        <v>723</v>
      </c>
      <c r="D254" s="595"/>
      <c r="E254" s="596"/>
      <c r="F254" s="596"/>
      <c r="G254" s="596"/>
      <c r="H254" s="597"/>
      <c r="I254" s="474" t="s">
        <v>724</v>
      </c>
      <c r="J254" s="598">
        <f>IF(J249&gt;0,J252/J249,0)</f>
        <v>0.93314209828360362</v>
      </c>
      <c r="K254" s="474"/>
      <c r="L254" s="474"/>
      <c r="N254" s="594"/>
      <c r="O254" s="594"/>
      <c r="P254" s="594"/>
      <c r="Q254" s="594"/>
      <c r="R254" s="594"/>
      <c r="S254" s="594"/>
      <c r="T254" s="594"/>
    </row>
    <row r="255" spans="1:20">
      <c r="A255" s="467"/>
      <c r="C255" s="526"/>
      <c r="D255" s="526"/>
      <c r="E255" s="526"/>
      <c r="F255" s="526"/>
      <c r="G255" s="526"/>
      <c r="H255" s="526"/>
      <c r="I255" s="526"/>
      <c r="J255" s="526"/>
      <c r="K255" s="474"/>
      <c r="L255" s="474"/>
      <c r="N255" s="599"/>
      <c r="O255" s="599"/>
      <c r="P255" s="599"/>
      <c r="Q255" s="594"/>
      <c r="R255" s="594"/>
      <c r="S255" s="594"/>
      <c r="T255" s="594"/>
    </row>
    <row r="256" spans="1:20">
      <c r="A256" s="467"/>
      <c r="C256" s="527" t="s">
        <v>725</v>
      </c>
      <c r="D256" s="526"/>
      <c r="E256" s="526"/>
      <c r="F256" s="526"/>
      <c r="G256" s="526"/>
      <c r="H256" s="526"/>
      <c r="I256" s="526"/>
      <c r="J256" s="526"/>
      <c r="K256" s="474"/>
      <c r="L256" s="474"/>
      <c r="N256" s="600"/>
      <c r="O256" s="601"/>
      <c r="P256" s="602"/>
      <c r="Q256" s="600"/>
      <c r="R256" s="601"/>
      <c r="S256" s="601"/>
      <c r="T256" s="594"/>
    </row>
    <row r="257" spans="1:20">
      <c r="A257" s="467"/>
      <c r="C257" s="526"/>
      <c r="D257" s="526"/>
      <c r="E257" s="526"/>
      <c r="F257" s="526"/>
      <c r="G257" s="526"/>
      <c r="H257" s="526"/>
      <c r="I257" s="526"/>
      <c r="J257" s="526"/>
      <c r="K257" s="474"/>
      <c r="L257" s="474"/>
      <c r="N257" s="691"/>
      <c r="O257" s="692"/>
      <c r="P257" s="692"/>
      <c r="Q257" s="692"/>
      <c r="R257" s="692"/>
      <c r="S257" s="692"/>
      <c r="T257" s="594"/>
    </row>
    <row r="258" spans="1:20">
      <c r="A258" s="467">
        <v>6</v>
      </c>
      <c r="C258" s="526" t="s">
        <v>726</v>
      </c>
      <c r="D258" s="526"/>
      <c r="E258" s="463"/>
      <c r="F258" s="463"/>
      <c r="G258" s="463"/>
      <c r="H258" s="525"/>
      <c r="I258" s="463"/>
      <c r="J258" s="553">
        <f>E175</f>
        <v>33897629</v>
      </c>
      <c r="K258" s="474"/>
      <c r="L258" s="474"/>
      <c r="N258" s="603"/>
      <c r="O258" s="604"/>
      <c r="P258" s="605"/>
      <c r="Q258" s="606"/>
      <c r="R258" s="604"/>
      <c r="S258" s="604"/>
      <c r="T258" s="594"/>
    </row>
    <row r="259" spans="1:20" ht="16.5" thickBot="1">
      <c r="A259" s="467">
        <v>7</v>
      </c>
      <c r="C259" s="591" t="s">
        <v>727</v>
      </c>
      <c r="D259" s="591"/>
      <c r="E259" s="592"/>
      <c r="F259" s="592"/>
      <c r="G259" s="474"/>
      <c r="H259" s="474"/>
      <c r="I259" s="474"/>
      <c r="J259" s="546">
        <v>1358211</v>
      </c>
      <c r="K259" s="474"/>
      <c r="L259" s="474"/>
      <c r="M259" s="463"/>
      <c r="N259" s="607"/>
      <c r="O259" s="608"/>
      <c r="P259" s="605"/>
      <c r="Q259" s="606"/>
      <c r="R259" s="604"/>
      <c r="S259" s="604"/>
      <c r="T259" s="594"/>
    </row>
    <row r="260" spans="1:20">
      <c r="A260" s="467">
        <v>8</v>
      </c>
      <c r="C260" s="463" t="s">
        <v>728</v>
      </c>
      <c r="D260" s="595"/>
      <c r="E260" s="596"/>
      <c r="F260" s="596"/>
      <c r="G260" s="596"/>
      <c r="H260" s="597"/>
      <c r="I260" s="596"/>
      <c r="J260" s="553">
        <f>+J258-J259</f>
        <v>32539418</v>
      </c>
      <c r="K260" s="526"/>
      <c r="N260" s="609"/>
      <c r="O260" s="610"/>
      <c r="P260" s="611"/>
      <c r="Q260" s="611"/>
      <c r="R260" s="603"/>
      <c r="S260" s="603"/>
      <c r="T260" s="594"/>
    </row>
    <row r="261" spans="1:20">
      <c r="A261" s="467"/>
      <c r="C261" s="463"/>
      <c r="D261" s="463"/>
      <c r="E261" s="474"/>
      <c r="F261" s="474"/>
      <c r="G261" s="474"/>
      <c r="H261" s="474"/>
      <c r="I261" s="526"/>
      <c r="J261" s="526"/>
      <c r="K261" s="526"/>
      <c r="N261" s="607"/>
      <c r="O261" s="610"/>
      <c r="P261" s="603"/>
      <c r="Q261" s="603"/>
      <c r="R261" s="603"/>
      <c r="S261" s="603"/>
      <c r="T261" s="594"/>
    </row>
    <row r="262" spans="1:20">
      <c r="A262" s="467">
        <v>9</v>
      </c>
      <c r="C262" s="463" t="s">
        <v>729</v>
      </c>
      <c r="D262" s="463"/>
      <c r="E262" s="474"/>
      <c r="F262" s="474"/>
      <c r="G262" s="474"/>
      <c r="H262" s="474"/>
      <c r="I262" s="474"/>
      <c r="J262" s="570">
        <f>IF(J258&gt;0,J260/J258,0)</f>
        <v>0.95993197636330263</v>
      </c>
      <c r="K262" s="526"/>
      <c r="N262" s="606"/>
      <c r="O262" s="612"/>
      <c r="P262" s="613"/>
      <c r="Q262" s="613"/>
      <c r="R262" s="604"/>
      <c r="S262" s="604"/>
      <c r="T262" s="594"/>
    </row>
    <row r="263" spans="1:20">
      <c r="A263" s="467">
        <v>10</v>
      </c>
      <c r="C263" s="463" t="s">
        <v>730</v>
      </c>
      <c r="D263" s="463"/>
      <c r="E263" s="474"/>
      <c r="F263" s="474"/>
      <c r="G263" s="474"/>
      <c r="H263" s="474"/>
      <c r="I263" s="463" t="s">
        <v>531</v>
      </c>
      <c r="J263" s="614">
        <f>J254</f>
        <v>0.93314209828360362</v>
      </c>
      <c r="K263" s="526"/>
      <c r="N263" s="607"/>
      <c r="O263" s="613"/>
      <c r="P263" s="603"/>
      <c r="Q263" s="613"/>
      <c r="R263" s="604"/>
      <c r="S263" s="604"/>
      <c r="T263" s="594"/>
    </row>
    <row r="264" spans="1:20">
      <c r="A264" s="467">
        <v>11</v>
      </c>
      <c r="C264" s="463" t="s">
        <v>731</v>
      </c>
      <c r="D264" s="463"/>
      <c r="E264" s="463"/>
      <c r="F264" s="463"/>
      <c r="G264" s="463"/>
      <c r="H264" s="463"/>
      <c r="I264" s="463" t="s">
        <v>732</v>
      </c>
      <c r="J264" s="615">
        <f>+J263*J262</f>
        <v>0.89575293863317884</v>
      </c>
      <c r="K264" s="526"/>
      <c r="N264" s="609"/>
      <c r="O264" s="613"/>
      <c r="P264" s="603"/>
      <c r="Q264" s="613"/>
      <c r="R264" s="604"/>
      <c r="S264" s="604"/>
      <c r="T264" s="594"/>
    </row>
    <row r="265" spans="1:20">
      <c r="A265" s="467"/>
      <c r="D265" s="458"/>
      <c r="E265" s="465"/>
      <c r="F265" s="465"/>
      <c r="G265" s="465"/>
      <c r="H265" s="616"/>
      <c r="I265" s="465"/>
      <c r="N265" s="609"/>
      <c r="O265" s="613"/>
      <c r="P265" s="603"/>
      <c r="Q265" s="617"/>
      <c r="R265" s="604"/>
      <c r="S265" s="604"/>
      <c r="T265" s="594"/>
    </row>
    <row r="266" spans="1:20">
      <c r="A266" s="467" t="s">
        <v>129</v>
      </c>
      <c r="C266" s="456" t="s">
        <v>733</v>
      </c>
      <c r="D266" s="465"/>
      <c r="E266" s="465"/>
      <c r="F266" s="465"/>
      <c r="G266" s="465"/>
      <c r="H266" s="465"/>
      <c r="I266" s="465"/>
      <c r="J266" s="465"/>
      <c r="K266" s="465"/>
      <c r="L266" s="474"/>
      <c r="N266" s="607"/>
      <c r="O266" s="610"/>
      <c r="P266" s="605"/>
      <c r="Q266" s="606"/>
      <c r="R266" s="604"/>
      <c r="S266" s="604"/>
      <c r="T266" s="594"/>
    </row>
    <row r="267" spans="1:20" ht="16.5" thickBot="1">
      <c r="A267" s="467" t="s">
        <v>129</v>
      </c>
      <c r="C267" s="456"/>
      <c r="D267" s="618" t="s">
        <v>734</v>
      </c>
      <c r="E267" s="619" t="s">
        <v>735</v>
      </c>
      <c r="F267" s="619" t="s">
        <v>531</v>
      </c>
      <c r="G267" s="465"/>
      <c r="H267" s="619" t="s">
        <v>736</v>
      </c>
      <c r="I267" s="465"/>
      <c r="J267" s="465"/>
      <c r="K267" s="465"/>
      <c r="L267" s="474"/>
      <c r="N267" s="607"/>
      <c r="O267" s="610"/>
      <c r="P267" s="605"/>
      <c r="Q267" s="606"/>
      <c r="R267" s="604"/>
      <c r="S267" s="604"/>
      <c r="T267" s="594"/>
    </row>
    <row r="268" spans="1:20">
      <c r="A268" s="467">
        <v>12</v>
      </c>
      <c r="C268" s="456" t="s">
        <v>604</v>
      </c>
      <c r="D268" s="465" t="s">
        <v>278</v>
      </c>
      <c r="E268" s="479">
        <v>9806468</v>
      </c>
      <c r="F268" s="620">
        <v>0</v>
      </c>
      <c r="G268" s="620"/>
      <c r="H268" s="476">
        <f>E268*F268</f>
        <v>0</v>
      </c>
      <c r="I268" s="465"/>
      <c r="J268" s="465"/>
      <c r="K268" s="465"/>
      <c r="L268" s="474"/>
      <c r="N268" s="594"/>
      <c r="O268" s="594"/>
      <c r="P268" s="594"/>
      <c r="Q268" s="594"/>
      <c r="R268" s="594"/>
      <c r="S268" s="594"/>
      <c r="T268" s="594"/>
    </row>
    <row r="269" spans="1:20">
      <c r="A269" s="467">
        <v>13</v>
      </c>
      <c r="C269" s="456" t="s">
        <v>606</v>
      </c>
      <c r="D269" s="465" t="s">
        <v>279</v>
      </c>
      <c r="E269" s="479">
        <v>3758883</v>
      </c>
      <c r="F269" s="621">
        <f>+J254</f>
        <v>0.93314209828360362</v>
      </c>
      <c r="G269" s="620"/>
      <c r="H269" s="476">
        <f>E269*F269</f>
        <v>3507571.969822567</v>
      </c>
      <c r="I269" s="465"/>
      <c r="J269" s="465"/>
      <c r="K269" s="465"/>
      <c r="L269" s="474"/>
      <c r="N269" s="594"/>
      <c r="O269" s="594"/>
      <c r="P269" s="594"/>
      <c r="Q269" s="594"/>
      <c r="R269" s="594"/>
      <c r="S269" s="594"/>
      <c r="T269" s="594"/>
    </row>
    <row r="270" spans="1:20">
      <c r="A270" s="467">
        <v>14</v>
      </c>
      <c r="C270" s="456" t="s">
        <v>607</v>
      </c>
      <c r="D270" s="465" t="s">
        <v>280</v>
      </c>
      <c r="E270" s="479">
        <v>8317294</v>
      </c>
      <c r="F270" s="620">
        <v>0</v>
      </c>
      <c r="G270" s="620"/>
      <c r="H270" s="476">
        <f>E270*F270</f>
        <v>0</v>
      </c>
      <c r="I270" s="465"/>
      <c r="J270" s="622" t="s">
        <v>737</v>
      </c>
      <c r="K270" s="465"/>
      <c r="L270" s="474"/>
      <c r="N270" s="594"/>
      <c r="O270" s="594"/>
      <c r="P270" s="594"/>
      <c r="Q270" s="594"/>
      <c r="R270" s="594"/>
      <c r="S270" s="594"/>
      <c r="T270" s="594"/>
    </row>
    <row r="271" spans="1:20" ht="16.5" thickBot="1">
      <c r="A271" s="467">
        <v>15</v>
      </c>
      <c r="C271" s="456" t="s">
        <v>738</v>
      </c>
      <c r="D271" s="465" t="s">
        <v>739</v>
      </c>
      <c r="E271" s="546">
        <f>2225502+89398+67973</f>
        <v>2382873</v>
      </c>
      <c r="F271" s="620">
        <v>0</v>
      </c>
      <c r="G271" s="620"/>
      <c r="H271" s="482">
        <f>E271*F271</f>
        <v>0</v>
      </c>
      <c r="I271" s="465"/>
      <c r="J271" s="471" t="s">
        <v>740</v>
      </c>
      <c r="K271" s="465"/>
      <c r="L271" s="474"/>
      <c r="N271" s="594"/>
      <c r="O271" s="594"/>
      <c r="P271" s="594"/>
      <c r="Q271" s="594"/>
      <c r="R271" s="594"/>
      <c r="S271" s="594"/>
      <c r="T271" s="594"/>
    </row>
    <row r="272" spans="1:20">
      <c r="A272" s="467">
        <v>16</v>
      </c>
      <c r="C272" s="456" t="s">
        <v>741</v>
      </c>
      <c r="D272" s="465"/>
      <c r="E272" s="476">
        <f>SUM(E268:E271)</f>
        <v>24265518</v>
      </c>
      <c r="F272" s="465"/>
      <c r="G272" s="465"/>
      <c r="H272" s="476">
        <f>SUM(H268:H271)</f>
        <v>3507571.969822567</v>
      </c>
      <c r="I272" s="467" t="s">
        <v>742</v>
      </c>
      <c r="J272" s="545">
        <f>IF(H272&gt;0,H272/E272,0)</f>
        <v>0.14454964323541608</v>
      </c>
      <c r="K272" s="616" t="s">
        <v>742</v>
      </c>
      <c r="L272" s="474" t="s">
        <v>743</v>
      </c>
    </row>
    <row r="273" spans="1:19">
      <c r="A273" s="467"/>
      <c r="C273" s="456"/>
      <c r="D273" s="465"/>
      <c r="E273" s="465"/>
      <c r="F273" s="465"/>
      <c r="G273" s="465"/>
      <c r="H273" s="465"/>
      <c r="I273" s="465"/>
      <c r="J273" s="465"/>
      <c r="K273" s="465"/>
      <c r="L273" s="474"/>
    </row>
    <row r="274" spans="1:19">
      <c r="A274" s="467"/>
      <c r="C274" s="456" t="s">
        <v>744</v>
      </c>
      <c r="D274" s="465"/>
      <c r="E274" s="465"/>
      <c r="F274" s="465"/>
      <c r="G274" s="465"/>
      <c r="H274" s="465"/>
      <c r="I274" s="465"/>
      <c r="J274" s="465"/>
      <c r="K274" s="465"/>
      <c r="L274" s="474"/>
    </row>
    <row r="275" spans="1:19">
      <c r="A275" s="467"/>
      <c r="C275" s="456"/>
      <c r="D275" s="465"/>
      <c r="E275" s="533" t="s">
        <v>735</v>
      </c>
      <c r="F275" s="465"/>
      <c r="G275" s="465"/>
      <c r="H275" s="616" t="s">
        <v>745</v>
      </c>
      <c r="I275" s="577" t="s">
        <v>129</v>
      </c>
      <c r="J275" s="547" t="str">
        <f>+J270</f>
        <v>W&amp;S Allocator</v>
      </c>
    </row>
    <row r="276" spans="1:19">
      <c r="A276" s="467">
        <v>17</v>
      </c>
      <c r="C276" s="456" t="s">
        <v>746</v>
      </c>
      <c r="D276" s="465" t="s">
        <v>288</v>
      </c>
      <c r="E276" s="479">
        <v>1174911504</v>
      </c>
      <c r="F276" s="465"/>
      <c r="H276" s="467" t="s">
        <v>747</v>
      </c>
      <c r="I276" s="577"/>
      <c r="J276" s="467" t="s">
        <v>748</v>
      </c>
      <c r="K276" s="465"/>
      <c r="L276" s="525" t="s">
        <v>613</v>
      </c>
    </row>
    <row r="277" spans="1:19">
      <c r="A277" s="467">
        <v>18</v>
      </c>
      <c r="C277" s="456" t="s">
        <v>749</v>
      </c>
      <c r="D277" s="465" t="s">
        <v>289</v>
      </c>
      <c r="E277" s="479">
        <v>498888558</v>
      </c>
      <c r="F277" s="465"/>
      <c r="H277" s="477">
        <f>IF(E279&gt;0,E276/E279,0)</f>
        <v>0.70194256212185513</v>
      </c>
      <c r="I277" s="616" t="s">
        <v>750</v>
      </c>
      <c r="J277" s="477">
        <f>J272</f>
        <v>0.14454964323541608</v>
      </c>
      <c r="K277" s="577" t="s">
        <v>742</v>
      </c>
      <c r="L277" s="623">
        <f>J277*H277</f>
        <v>0.10146554692646804</v>
      </c>
    </row>
    <row r="278" spans="1:19" ht="16.5" thickBot="1">
      <c r="A278" s="467">
        <v>19</v>
      </c>
      <c r="C278" s="624" t="s">
        <v>751</v>
      </c>
      <c r="D278" s="618" t="s">
        <v>752</v>
      </c>
      <c r="E278" s="546">
        <v>0</v>
      </c>
      <c r="F278" s="465"/>
      <c r="G278" s="465"/>
      <c r="H278" s="465" t="s">
        <v>129</v>
      </c>
      <c r="I278" s="465"/>
      <c r="J278" s="465"/>
      <c r="K278" s="465"/>
      <c r="L278" s="474"/>
    </row>
    <row r="279" spans="1:19">
      <c r="A279" s="467">
        <v>20</v>
      </c>
      <c r="C279" s="456" t="s">
        <v>753</v>
      </c>
      <c r="D279" s="465"/>
      <c r="E279" s="476">
        <f>E276+E277+E278</f>
        <v>1673800062</v>
      </c>
      <c r="F279" s="465"/>
      <c r="G279" s="465"/>
      <c r="H279" s="465"/>
      <c r="I279" s="465"/>
      <c r="J279" s="465"/>
      <c r="K279" s="465"/>
      <c r="L279" s="474"/>
    </row>
    <row r="280" spans="1:19">
      <c r="A280" s="467"/>
      <c r="C280" s="456"/>
      <c r="D280" s="465"/>
      <c r="F280" s="465"/>
      <c r="G280" s="465"/>
      <c r="H280" s="465"/>
      <c r="I280" s="465"/>
      <c r="J280" s="465"/>
      <c r="K280" s="465"/>
      <c r="L280" s="474"/>
    </row>
    <row r="281" spans="1:19" ht="16.5" thickBot="1">
      <c r="A281" s="467"/>
      <c r="B281" s="458"/>
      <c r="C281" s="456" t="s">
        <v>754</v>
      </c>
      <c r="D281" s="465"/>
      <c r="E281" s="465"/>
      <c r="F281" s="465"/>
      <c r="G281" s="465"/>
      <c r="H281" s="465"/>
      <c r="I281" s="465"/>
      <c r="J281" s="619" t="s">
        <v>735</v>
      </c>
      <c r="K281" s="465"/>
      <c r="L281" s="474"/>
      <c r="N281" s="625"/>
      <c r="O281" s="481"/>
      <c r="P281" s="626"/>
      <c r="Q281" s="625"/>
      <c r="R281" s="481"/>
      <c r="S281" s="481"/>
    </row>
    <row r="282" spans="1:19">
      <c r="A282" s="467">
        <v>21</v>
      </c>
      <c r="B282" s="458"/>
      <c r="C282" s="458"/>
      <c r="D282" s="465" t="s">
        <v>755</v>
      </c>
      <c r="E282" s="465"/>
      <c r="F282" s="465"/>
      <c r="G282" s="465"/>
      <c r="H282" s="465"/>
      <c r="I282" s="465"/>
      <c r="J282" s="627">
        <v>30559947</v>
      </c>
      <c r="K282" s="465"/>
      <c r="L282" s="474"/>
      <c r="N282" s="625"/>
      <c r="O282" s="481"/>
      <c r="P282" s="626"/>
      <c r="Q282" s="625"/>
      <c r="R282" s="481"/>
      <c r="S282" s="481"/>
    </row>
    <row r="283" spans="1:19">
      <c r="A283" s="467"/>
      <c r="C283" s="456"/>
      <c r="D283" s="465"/>
      <c r="E283" s="465"/>
      <c r="F283" s="465"/>
      <c r="G283" s="465"/>
      <c r="H283" s="465"/>
      <c r="I283" s="465"/>
      <c r="J283" s="465"/>
      <c r="K283" s="465"/>
      <c r="L283" s="474"/>
    </row>
    <row r="284" spans="1:19">
      <c r="A284" s="467">
        <v>22</v>
      </c>
      <c r="B284" s="458"/>
      <c r="C284" s="456"/>
      <c r="D284" s="465" t="s">
        <v>756</v>
      </c>
      <c r="E284" s="465"/>
      <c r="F284" s="465"/>
      <c r="G284" s="465"/>
      <c r="H284" s="465"/>
      <c r="I284" s="474"/>
      <c r="J284" s="628">
        <v>685003</v>
      </c>
      <c r="K284" s="465"/>
      <c r="L284" s="474"/>
    </row>
    <row r="285" spans="1:19">
      <c r="A285" s="467"/>
      <c r="B285" s="458"/>
      <c r="C285" s="456"/>
      <c r="D285" s="465"/>
      <c r="E285" s="465"/>
      <c r="F285" s="465"/>
      <c r="G285" s="465"/>
      <c r="H285" s="465"/>
      <c r="I285" s="465"/>
      <c r="J285" s="465"/>
      <c r="K285" s="465"/>
      <c r="L285" s="474"/>
    </row>
    <row r="286" spans="1:19">
      <c r="A286" s="467"/>
      <c r="B286" s="458"/>
      <c r="C286" s="456" t="s">
        <v>757</v>
      </c>
      <c r="D286" s="465"/>
      <c r="E286" s="465"/>
      <c r="F286" s="465"/>
      <c r="G286" s="465"/>
      <c r="H286" s="465"/>
      <c r="I286" s="465"/>
      <c r="J286" s="465"/>
      <c r="K286" s="465"/>
      <c r="L286" s="474"/>
    </row>
    <row r="287" spans="1:19">
      <c r="A287" s="467">
        <v>23</v>
      </c>
      <c r="B287" s="458"/>
      <c r="C287" s="456"/>
      <c r="D287" s="465" t="s">
        <v>758</v>
      </c>
      <c r="E287" s="458"/>
      <c r="F287" s="465"/>
      <c r="G287" s="465"/>
      <c r="H287" s="465"/>
      <c r="I287" s="465"/>
      <c r="J287" s="479">
        <v>2326097538</v>
      </c>
      <c r="K287" s="465"/>
      <c r="L287" s="474"/>
    </row>
    <row r="288" spans="1:19">
      <c r="A288" s="467">
        <v>24</v>
      </c>
      <c r="B288" s="458"/>
      <c r="C288" s="456"/>
      <c r="D288" s="465" t="s">
        <v>759</v>
      </c>
      <c r="E288" s="465"/>
      <c r="F288" s="465"/>
      <c r="G288" s="465"/>
      <c r="H288" s="465"/>
      <c r="I288" s="465"/>
      <c r="J288" s="553">
        <f>-E294</f>
        <v>-15000000</v>
      </c>
      <c r="K288" s="465"/>
      <c r="L288" s="474"/>
    </row>
    <row r="289" spans="1:18" ht="16.5" thickBot="1">
      <c r="A289" s="467">
        <v>25</v>
      </c>
      <c r="B289" s="458"/>
      <c r="C289" s="456"/>
      <c r="D289" s="465" t="s">
        <v>760</v>
      </c>
      <c r="E289" s="465"/>
      <c r="F289" s="465"/>
      <c r="G289" s="465"/>
      <c r="H289" s="465"/>
      <c r="I289" s="465"/>
      <c r="J289" s="546">
        <v>-1640734392</v>
      </c>
      <c r="K289" s="465"/>
      <c r="L289" s="474"/>
    </row>
    <row r="290" spans="1:18">
      <c r="A290" s="467">
        <v>26</v>
      </c>
      <c r="B290" s="458"/>
      <c r="C290" s="458"/>
      <c r="D290" s="465" t="s">
        <v>761</v>
      </c>
      <c r="E290" s="458" t="s">
        <v>762</v>
      </c>
      <c r="F290" s="458"/>
      <c r="G290" s="458"/>
      <c r="H290" s="458"/>
      <c r="I290" s="458"/>
      <c r="J290" s="476">
        <f>+J287+J288+J289</f>
        <v>670363146</v>
      </c>
      <c r="K290" s="465"/>
      <c r="L290" s="474"/>
    </row>
    <row r="291" spans="1:18">
      <c r="A291" s="467"/>
      <c r="C291" s="456"/>
      <c r="D291" s="465"/>
      <c r="E291" s="465"/>
      <c r="F291" s="465"/>
      <c r="G291" s="465"/>
      <c r="H291" s="616" t="s">
        <v>763</v>
      </c>
      <c r="I291" s="465"/>
      <c r="J291" s="465"/>
      <c r="K291" s="465"/>
      <c r="L291" s="474"/>
    </row>
    <row r="292" spans="1:18" ht="16.5" thickBot="1">
      <c r="A292" s="467"/>
      <c r="C292" s="456"/>
      <c r="D292" s="465"/>
      <c r="E292" s="471" t="s">
        <v>735</v>
      </c>
      <c r="F292" s="471" t="s">
        <v>764</v>
      </c>
      <c r="G292" s="465"/>
      <c r="H292" s="471" t="s">
        <v>765</v>
      </c>
      <c r="I292" s="465"/>
      <c r="J292" s="471" t="s">
        <v>766</v>
      </c>
      <c r="K292" s="465"/>
      <c r="L292" s="474"/>
    </row>
    <row r="293" spans="1:18">
      <c r="A293" s="467">
        <v>27</v>
      </c>
      <c r="C293" s="456" t="s">
        <v>767</v>
      </c>
      <c r="E293" s="479">
        <v>652490574</v>
      </c>
      <c r="F293" s="629">
        <f>IF($E$296&gt;0,E293/$E$296,0)</f>
        <v>0.48771443712097312</v>
      </c>
      <c r="G293" s="630"/>
      <c r="H293" s="631">
        <f>IF(E293&gt;0,J282/E293,0)</f>
        <v>4.683584440562355E-2</v>
      </c>
      <c r="J293" s="631">
        <f>H293*F293</f>
        <v>2.2842517491374167E-2</v>
      </c>
      <c r="K293" s="632" t="s">
        <v>768</v>
      </c>
      <c r="N293" s="633"/>
      <c r="O293" s="634"/>
      <c r="P293" s="634"/>
      <c r="Q293" s="634"/>
      <c r="R293" s="635"/>
    </row>
    <row r="294" spans="1:18">
      <c r="A294" s="467">
        <v>28</v>
      </c>
      <c r="C294" s="456" t="s">
        <v>769</v>
      </c>
      <c r="E294" s="479">
        <v>15000000</v>
      </c>
      <c r="F294" s="629">
        <f>IF($E$296&gt;0,E294/$E$296,0)</f>
        <v>1.12119881088345E-2</v>
      </c>
      <c r="G294" s="630"/>
      <c r="H294" s="631">
        <f>IF(E294&gt;0,J284/E294,0)</f>
        <v>4.5666866666666667E-2</v>
      </c>
      <c r="J294" s="631">
        <f>H294*F294</f>
        <v>5.1201636603439725E-4</v>
      </c>
      <c r="K294" s="465"/>
      <c r="N294" s="636" t="s">
        <v>770</v>
      </c>
      <c r="O294" s="637"/>
      <c r="P294" s="637"/>
      <c r="Q294" s="637"/>
      <c r="R294" s="638"/>
    </row>
    <row r="295" spans="1:18" ht="16.5" thickBot="1">
      <c r="A295" s="467">
        <v>29</v>
      </c>
      <c r="C295" s="456" t="s">
        <v>771</v>
      </c>
      <c r="E295" s="482">
        <f>J290</f>
        <v>670363146</v>
      </c>
      <c r="F295" s="629">
        <f>IF($E$296&gt;0,E295/$E$296,0)</f>
        <v>0.50107357477019232</v>
      </c>
      <c r="G295" s="630"/>
      <c r="H295" s="639">
        <f>R295+R296</f>
        <v>0.1082</v>
      </c>
      <c r="J295" s="640">
        <f>H295*F295</f>
        <v>5.4216160790134811E-2</v>
      </c>
      <c r="K295" s="465"/>
      <c r="N295" s="636" t="s">
        <v>772</v>
      </c>
      <c r="O295" s="637"/>
      <c r="P295" s="637"/>
      <c r="Q295" s="637"/>
      <c r="R295" s="641">
        <v>0.1032</v>
      </c>
    </row>
    <row r="296" spans="1:18">
      <c r="A296" s="467">
        <v>30</v>
      </c>
      <c r="C296" s="456" t="s">
        <v>773</v>
      </c>
      <c r="E296" s="476">
        <f>E295+E294+E293</f>
        <v>1337853720</v>
      </c>
      <c r="F296" s="465" t="s">
        <v>129</v>
      </c>
      <c r="G296" s="465"/>
      <c r="H296" s="465"/>
      <c r="I296" s="465"/>
      <c r="J296" s="631">
        <f>SUM(J293:J295)</f>
        <v>7.7570694647543376E-2</v>
      </c>
      <c r="K296" s="632" t="s">
        <v>774</v>
      </c>
      <c r="N296" s="636" t="s">
        <v>775</v>
      </c>
      <c r="O296" s="637"/>
      <c r="P296" s="637"/>
      <c r="Q296" s="637"/>
      <c r="R296" s="641">
        <v>5.0000000000000001E-3</v>
      </c>
    </row>
    <row r="297" spans="1:18">
      <c r="F297" s="465"/>
      <c r="G297" s="465"/>
      <c r="H297" s="465"/>
      <c r="I297" s="465"/>
      <c r="N297" s="642"/>
      <c r="O297" s="643"/>
      <c r="P297" s="643"/>
      <c r="Q297" s="643"/>
      <c r="R297" s="644"/>
    </row>
    <row r="298" spans="1:18">
      <c r="A298" s="467"/>
      <c r="L298" s="474"/>
    </row>
    <row r="299" spans="1:18">
      <c r="A299" s="467"/>
      <c r="C299" s="456" t="s">
        <v>776</v>
      </c>
      <c r="D299" s="458"/>
      <c r="E299" s="458"/>
      <c r="F299" s="458"/>
      <c r="G299" s="458"/>
      <c r="H299" s="458"/>
      <c r="I299" s="458"/>
      <c r="J299" s="458"/>
      <c r="K299" s="458"/>
      <c r="L299" s="463"/>
    </row>
    <row r="300" spans="1:18" ht="16.5" thickBot="1">
      <c r="A300" s="467"/>
      <c r="C300" s="456"/>
      <c r="D300" s="456"/>
      <c r="E300" s="456"/>
      <c r="F300" s="456"/>
      <c r="G300" s="456"/>
      <c r="H300" s="456"/>
      <c r="I300" s="456"/>
      <c r="J300" s="471" t="s">
        <v>777</v>
      </c>
      <c r="K300" s="645"/>
    </row>
    <row r="301" spans="1:18">
      <c r="A301" s="467"/>
      <c r="C301" s="456" t="s">
        <v>778</v>
      </c>
      <c r="D301" s="458"/>
      <c r="E301" s="458" t="s">
        <v>779</v>
      </c>
      <c r="F301" s="458" t="s">
        <v>780</v>
      </c>
      <c r="G301" s="458"/>
      <c r="H301" s="646" t="s">
        <v>129</v>
      </c>
      <c r="I301" s="647"/>
      <c r="J301" s="526"/>
      <c r="K301" s="526"/>
    </row>
    <row r="302" spans="1:18">
      <c r="A302" s="467">
        <v>31</v>
      </c>
      <c r="C302" s="455" t="s">
        <v>781</v>
      </c>
      <c r="D302" s="458"/>
      <c r="E302" s="458"/>
      <c r="G302" s="458"/>
      <c r="I302" s="647"/>
      <c r="J302" s="648">
        <v>0</v>
      </c>
      <c r="K302" s="649"/>
    </row>
    <row r="303" spans="1:18" ht="16.5" thickBot="1">
      <c r="A303" s="467">
        <v>32</v>
      </c>
      <c r="C303" s="561" t="s">
        <v>782</v>
      </c>
      <c r="D303" s="650"/>
      <c r="E303" s="561"/>
      <c r="F303" s="650"/>
      <c r="G303" s="650"/>
      <c r="H303" s="650"/>
      <c r="I303" s="458"/>
      <c r="J303" s="651">
        <v>0</v>
      </c>
      <c r="K303" s="649"/>
    </row>
    <row r="304" spans="1:18">
      <c r="A304" s="467">
        <v>33</v>
      </c>
      <c r="C304" s="455" t="s">
        <v>783</v>
      </c>
      <c r="D304" s="458"/>
      <c r="F304" s="458"/>
      <c r="G304" s="458"/>
      <c r="H304" s="458"/>
      <c r="I304" s="458"/>
      <c r="J304" s="652">
        <f>+J302-J303</f>
        <v>0</v>
      </c>
      <c r="K304" s="649"/>
      <c r="N304" s="462"/>
      <c r="O304" s="462"/>
    </row>
    <row r="305" spans="1:16">
      <c r="A305" s="467"/>
      <c r="C305" s="455" t="s">
        <v>129</v>
      </c>
      <c r="D305" s="458"/>
      <c r="F305" s="458"/>
      <c r="G305" s="458"/>
      <c r="H305" s="523"/>
      <c r="I305" s="458"/>
      <c r="J305" s="653" t="s">
        <v>129</v>
      </c>
      <c r="K305" s="526"/>
      <c r="L305" s="654"/>
      <c r="N305" s="462"/>
      <c r="O305" s="462"/>
    </row>
    <row r="306" spans="1:16">
      <c r="A306" s="467">
        <v>34</v>
      </c>
      <c r="C306" s="456" t="s">
        <v>784</v>
      </c>
      <c r="D306" s="458"/>
      <c r="F306" s="458"/>
      <c r="G306" s="458"/>
      <c r="H306" s="516"/>
      <c r="I306" s="458"/>
      <c r="J306" s="655">
        <v>20860</v>
      </c>
      <c r="K306" s="526"/>
      <c r="L306" s="656"/>
      <c r="M306" s="462"/>
      <c r="N306" s="657"/>
      <c r="O306" s="462"/>
      <c r="P306" s="462"/>
    </row>
    <row r="307" spans="1:16">
      <c r="A307" s="467"/>
      <c r="D307" s="458"/>
      <c r="E307" s="458"/>
      <c r="F307" s="458"/>
      <c r="G307" s="458"/>
      <c r="H307" s="458"/>
      <c r="I307" s="458"/>
      <c r="J307" s="653"/>
      <c r="K307" s="526"/>
      <c r="L307" s="539"/>
      <c r="M307" s="462"/>
      <c r="N307" s="540"/>
      <c r="O307" s="540"/>
      <c r="P307" s="462"/>
    </row>
    <row r="308" spans="1:16">
      <c r="C308" s="456" t="s">
        <v>785</v>
      </c>
      <c r="D308" s="458"/>
      <c r="E308" s="458" t="s">
        <v>786</v>
      </c>
      <c r="F308" s="458"/>
      <c r="G308" s="458"/>
      <c r="H308" s="458"/>
      <c r="I308" s="458"/>
      <c r="L308" s="539"/>
      <c r="M308" s="462"/>
      <c r="N308" s="540"/>
      <c r="O308" s="540"/>
      <c r="P308" s="462"/>
    </row>
    <row r="309" spans="1:16">
      <c r="A309" s="467">
        <v>35</v>
      </c>
      <c r="C309" s="456" t="s">
        <v>787</v>
      </c>
      <c r="D309" s="465"/>
      <c r="E309" s="465"/>
      <c r="F309" s="465"/>
      <c r="G309" s="465"/>
      <c r="H309" s="465"/>
      <c r="I309" s="465"/>
      <c r="J309" s="658">
        <v>23491573</v>
      </c>
      <c r="K309" s="465"/>
      <c r="L309" s="544"/>
      <c r="M309" s="462"/>
      <c r="N309" s="544"/>
      <c r="O309" s="544"/>
      <c r="P309" s="462"/>
    </row>
    <row r="310" spans="1:16">
      <c r="A310" s="467">
        <v>36</v>
      </c>
      <c r="C310" s="659" t="s">
        <v>788</v>
      </c>
      <c r="D310" s="504"/>
      <c r="E310" s="504"/>
      <c r="F310" s="504"/>
      <c r="G310" s="504"/>
      <c r="H310" s="458"/>
      <c r="I310" s="458"/>
      <c r="J310" s="658">
        <v>5091666</v>
      </c>
      <c r="L310" s="544"/>
      <c r="M310" s="462"/>
      <c r="N310" s="544"/>
      <c r="O310" s="544"/>
      <c r="P310" s="462"/>
    </row>
    <row r="311" spans="1:16">
      <c r="A311" s="467" t="s">
        <v>789</v>
      </c>
      <c r="C311" s="659" t="s">
        <v>790</v>
      </c>
      <c r="D311" s="504"/>
      <c r="E311" s="504"/>
      <c r="F311" s="504"/>
      <c r="G311" s="504"/>
      <c r="H311" s="458"/>
      <c r="I311" s="458"/>
      <c r="J311" s="658">
        <v>1472917.2048972382</v>
      </c>
      <c r="L311" s="544"/>
      <c r="M311" s="462"/>
      <c r="N311" s="544"/>
      <c r="O311" s="544"/>
      <c r="P311" s="462"/>
    </row>
    <row r="312" spans="1:16" ht="16.5" thickBot="1">
      <c r="A312" s="467" t="s">
        <v>791</v>
      </c>
      <c r="C312" s="624" t="s">
        <v>792</v>
      </c>
      <c r="D312" s="650"/>
      <c r="E312" s="650"/>
      <c r="F312" s="650"/>
      <c r="G312" s="650"/>
      <c r="H312" s="458"/>
      <c r="I312" s="458"/>
      <c r="J312" s="660">
        <v>3609841.6484405706</v>
      </c>
      <c r="L312" s="544"/>
      <c r="M312" s="462"/>
      <c r="N312" s="544"/>
      <c r="O312" s="544"/>
      <c r="P312" s="462"/>
    </row>
    <row r="313" spans="1:16">
      <c r="A313" s="467">
        <v>37</v>
      </c>
      <c r="C313" s="661" t="s">
        <v>793</v>
      </c>
      <c r="D313" s="467"/>
      <c r="E313" s="465"/>
      <c r="F313" s="465"/>
      <c r="G313" s="465"/>
      <c r="H313" s="465"/>
      <c r="I313" s="458"/>
      <c r="J313" s="662">
        <f>+J309-J310-J311-J312</f>
        <v>13317148.146662191</v>
      </c>
      <c r="K313" s="465"/>
      <c r="L313" s="544"/>
      <c r="M313" s="462"/>
      <c r="N313" s="544"/>
      <c r="O313" s="544"/>
      <c r="P313" s="462"/>
    </row>
    <row r="314" spans="1:16">
      <c r="A314" s="467"/>
      <c r="D314" s="467"/>
      <c r="E314" s="465"/>
      <c r="F314" s="465"/>
      <c r="G314" s="465"/>
      <c r="H314" s="465"/>
      <c r="I314" s="458"/>
      <c r="J314" s="663"/>
      <c r="K314" s="465"/>
      <c r="L314" s="538"/>
      <c r="M314" s="462"/>
      <c r="N314" s="462"/>
      <c r="O314" s="462"/>
      <c r="P314" s="462"/>
    </row>
    <row r="315" spans="1:16">
      <c r="C315" s="456"/>
      <c r="D315" s="456"/>
      <c r="E315" s="457"/>
      <c r="F315" s="456"/>
      <c r="G315" s="456"/>
      <c r="H315" s="456"/>
      <c r="I315" s="458"/>
      <c r="J315" s="467"/>
      <c r="K315" s="467"/>
      <c r="L315" s="460"/>
    </row>
    <row r="316" spans="1:16">
      <c r="C316" s="456"/>
      <c r="D316" s="456"/>
      <c r="E316" s="457"/>
      <c r="F316" s="456"/>
      <c r="G316" s="456"/>
      <c r="H316" s="456"/>
      <c r="I316" s="458"/>
      <c r="J316" s="459"/>
      <c r="K316" s="459"/>
      <c r="L316" s="460"/>
    </row>
    <row r="317" spans="1:16">
      <c r="C317" s="456"/>
      <c r="D317" s="456"/>
      <c r="E317" s="457"/>
      <c r="F317" s="456"/>
      <c r="G317" s="456"/>
      <c r="H317" s="456"/>
      <c r="I317" s="458"/>
      <c r="J317" s="458"/>
      <c r="L317" s="459" t="s">
        <v>1</v>
      </c>
    </row>
    <row r="318" spans="1:16">
      <c r="C318" s="456"/>
      <c r="D318" s="456"/>
      <c r="E318" s="457"/>
      <c r="F318" s="456"/>
      <c r="G318" s="456"/>
      <c r="H318" s="456"/>
      <c r="I318" s="458"/>
      <c r="J318" s="458"/>
      <c r="K318" s="458"/>
      <c r="L318" s="460" t="s">
        <v>794</v>
      </c>
    </row>
    <row r="319" spans="1:16">
      <c r="C319" s="456"/>
      <c r="D319" s="456"/>
      <c r="E319" s="457"/>
      <c r="F319" s="456"/>
      <c r="G319" s="456"/>
      <c r="H319" s="456"/>
      <c r="I319" s="458"/>
      <c r="J319" s="458"/>
      <c r="K319" s="458"/>
      <c r="L319" s="460"/>
    </row>
    <row r="320" spans="1:16">
      <c r="C320" s="456" t="s">
        <v>518</v>
      </c>
      <c r="D320" s="456"/>
      <c r="E320" s="457" t="s">
        <v>519</v>
      </c>
      <c r="F320" s="456"/>
      <c r="G320" s="456"/>
      <c r="H320" s="456"/>
      <c r="I320" s="458"/>
      <c r="J320" s="529" t="str">
        <f>J5</f>
        <v>For the 12 months ended 12/31/16</v>
      </c>
      <c r="K320" s="464"/>
      <c r="L320" s="464"/>
    </row>
    <row r="321" spans="1:12">
      <c r="C321" s="456"/>
      <c r="D321" s="465" t="s">
        <v>129</v>
      </c>
      <c r="E321" s="465" t="s">
        <v>521</v>
      </c>
      <c r="F321" s="465"/>
      <c r="G321" s="465"/>
      <c r="H321" s="465"/>
      <c r="I321" s="458"/>
      <c r="J321" s="458"/>
      <c r="K321" s="458"/>
      <c r="L321" s="463"/>
    </row>
    <row r="322" spans="1:12">
      <c r="A322" s="467"/>
      <c r="B322" s="458"/>
      <c r="D322" s="467"/>
      <c r="E322" s="465"/>
      <c r="F322" s="465"/>
      <c r="G322" s="465"/>
      <c r="H322" s="465"/>
      <c r="I322" s="458"/>
      <c r="J322" s="664"/>
      <c r="K322" s="526"/>
      <c r="L322" s="474"/>
    </row>
    <row r="323" spans="1:12">
      <c r="A323" s="467"/>
      <c r="B323" s="458"/>
      <c r="D323" s="467"/>
      <c r="E323" s="530" t="str">
        <f>E8</f>
        <v>Montana-Dakota Utilities Co.</v>
      </c>
      <c r="F323" s="469"/>
      <c r="G323" s="469"/>
      <c r="H323" s="465"/>
      <c r="I323" s="458"/>
      <c r="J323" s="664"/>
      <c r="K323" s="526"/>
      <c r="L323" s="474"/>
    </row>
    <row r="324" spans="1:12">
      <c r="A324" s="467"/>
      <c r="B324" s="458"/>
      <c r="D324" s="467"/>
      <c r="E324" s="465"/>
      <c r="F324" s="465"/>
      <c r="G324" s="465"/>
      <c r="H324" s="465"/>
      <c r="I324" s="458"/>
      <c r="J324" s="664"/>
      <c r="K324" s="526"/>
      <c r="L324" s="474"/>
    </row>
    <row r="325" spans="1:12">
      <c r="A325" s="467"/>
      <c r="B325" s="458"/>
      <c r="C325" s="456" t="s">
        <v>795</v>
      </c>
      <c r="D325" s="467"/>
      <c r="E325" s="465"/>
      <c r="F325" s="465"/>
      <c r="G325" s="465"/>
      <c r="H325" s="465"/>
      <c r="I325" s="458"/>
      <c r="J325" s="465"/>
      <c r="K325" s="458"/>
      <c r="L325" s="474"/>
    </row>
    <row r="326" spans="1:12">
      <c r="A326" s="467"/>
      <c r="B326" s="458"/>
      <c r="C326" s="456" t="s">
        <v>796</v>
      </c>
      <c r="D326" s="467"/>
      <c r="E326" s="465"/>
      <c r="F326" s="465"/>
      <c r="G326" s="465"/>
      <c r="H326" s="465"/>
      <c r="I326" s="458"/>
      <c r="J326" s="465"/>
      <c r="K326" s="458"/>
      <c r="L326" s="474"/>
    </row>
    <row r="327" spans="1:12">
      <c r="A327" s="467" t="s">
        <v>797</v>
      </c>
      <c r="B327" s="458"/>
      <c r="C327" s="456"/>
      <c r="D327" s="458"/>
      <c r="E327" s="465"/>
      <c r="F327" s="465"/>
      <c r="G327" s="465"/>
      <c r="H327" s="465"/>
      <c r="I327" s="458"/>
      <c r="J327" s="465"/>
      <c r="K327" s="458"/>
      <c r="L327" s="474"/>
    </row>
    <row r="328" spans="1:12" ht="16.5" thickBot="1">
      <c r="A328" s="471" t="s">
        <v>798</v>
      </c>
      <c r="B328" s="458"/>
      <c r="C328" s="456"/>
      <c r="D328" s="458"/>
      <c r="E328" s="465"/>
      <c r="F328" s="465"/>
      <c r="G328" s="465"/>
      <c r="H328" s="465"/>
      <c r="I328" s="458"/>
      <c r="J328" s="465"/>
      <c r="K328" s="458"/>
      <c r="L328" s="474"/>
    </row>
    <row r="329" spans="1:12">
      <c r="A329" s="467" t="s">
        <v>799</v>
      </c>
      <c r="B329" s="458"/>
      <c r="C329" s="527" t="s">
        <v>800</v>
      </c>
      <c r="D329" s="463"/>
      <c r="E329" s="474"/>
      <c r="F329" s="474"/>
      <c r="G329" s="474"/>
      <c r="H329" s="474"/>
      <c r="I329" s="463"/>
      <c r="J329" s="474"/>
      <c r="K329" s="463"/>
      <c r="L329" s="474"/>
    </row>
    <row r="330" spans="1:12">
      <c r="A330" s="467" t="s">
        <v>801</v>
      </c>
      <c r="B330" s="458"/>
      <c r="C330" s="527" t="s">
        <v>802</v>
      </c>
      <c r="D330" s="463"/>
      <c r="E330" s="474"/>
      <c r="F330" s="474"/>
      <c r="G330" s="474"/>
      <c r="H330" s="474"/>
      <c r="I330" s="463"/>
      <c r="J330" s="474"/>
      <c r="K330" s="463"/>
      <c r="L330" s="474"/>
    </row>
    <row r="331" spans="1:12">
      <c r="A331" s="467" t="s">
        <v>803</v>
      </c>
      <c r="B331" s="458"/>
      <c r="C331" s="527" t="s">
        <v>804</v>
      </c>
      <c r="D331" s="463"/>
      <c r="E331" s="463"/>
      <c r="F331" s="463"/>
      <c r="G331" s="463"/>
      <c r="H331" s="463"/>
      <c r="I331" s="463"/>
      <c r="J331" s="474"/>
      <c r="K331" s="463"/>
      <c r="L331" s="463"/>
    </row>
    <row r="332" spans="1:12">
      <c r="A332" s="467" t="s">
        <v>805</v>
      </c>
      <c r="B332" s="458"/>
      <c r="C332" s="527" t="s">
        <v>804</v>
      </c>
      <c r="D332" s="463"/>
      <c r="E332" s="463"/>
      <c r="F332" s="463"/>
      <c r="G332" s="463"/>
      <c r="H332" s="463"/>
      <c r="I332" s="463"/>
      <c r="J332" s="474"/>
      <c r="K332" s="463"/>
      <c r="L332" s="463"/>
    </row>
    <row r="333" spans="1:12">
      <c r="A333" s="467" t="s">
        <v>806</v>
      </c>
      <c r="B333" s="458"/>
      <c r="C333" s="463" t="s">
        <v>807</v>
      </c>
      <c r="D333" s="463"/>
      <c r="E333" s="463"/>
      <c r="F333" s="463"/>
      <c r="G333" s="463"/>
      <c r="H333" s="463"/>
      <c r="I333" s="463"/>
      <c r="J333" s="463"/>
      <c r="K333" s="463"/>
      <c r="L333" s="463"/>
    </row>
    <row r="334" spans="1:12">
      <c r="A334" s="467" t="s">
        <v>808</v>
      </c>
      <c r="B334" s="458"/>
      <c r="C334" s="463" t="s">
        <v>809</v>
      </c>
      <c r="D334" s="463"/>
      <c r="E334" s="463"/>
      <c r="F334" s="463"/>
      <c r="G334" s="463"/>
      <c r="H334" s="463"/>
      <c r="I334" s="463"/>
      <c r="J334" s="463"/>
      <c r="K334" s="463"/>
      <c r="L334" s="463"/>
    </row>
    <row r="335" spans="1:12">
      <c r="A335" s="467"/>
      <c r="B335" s="458"/>
      <c r="C335" s="463" t="s">
        <v>810</v>
      </c>
      <c r="D335" s="463"/>
      <c r="E335" s="463"/>
      <c r="F335" s="463"/>
      <c r="G335" s="463"/>
      <c r="H335" s="463"/>
      <c r="I335" s="463"/>
      <c r="J335" s="463"/>
      <c r="K335" s="463"/>
      <c r="L335" s="463"/>
    </row>
    <row r="336" spans="1:12">
      <c r="A336" s="467"/>
      <c r="B336" s="458"/>
      <c r="C336" s="463" t="s">
        <v>811</v>
      </c>
      <c r="D336" s="463"/>
      <c r="E336" s="463"/>
      <c r="F336" s="463"/>
      <c r="G336" s="463"/>
      <c r="H336" s="463"/>
      <c r="I336" s="463"/>
      <c r="J336" s="463"/>
      <c r="K336" s="463"/>
      <c r="L336" s="463"/>
    </row>
    <row r="337" spans="1:12">
      <c r="A337" s="467"/>
      <c r="B337" s="458"/>
      <c r="C337" s="463" t="s">
        <v>812</v>
      </c>
      <c r="D337" s="463"/>
      <c r="E337" s="463"/>
      <c r="F337" s="463"/>
      <c r="G337" s="463"/>
      <c r="H337" s="463"/>
      <c r="I337" s="463"/>
      <c r="J337" s="463"/>
      <c r="K337" s="463"/>
      <c r="L337" s="463"/>
    </row>
    <row r="338" spans="1:12">
      <c r="A338" s="467"/>
      <c r="B338" s="458"/>
      <c r="C338" s="463" t="s">
        <v>813</v>
      </c>
      <c r="D338" s="463"/>
      <c r="E338" s="463"/>
      <c r="F338" s="463"/>
      <c r="G338" s="463"/>
      <c r="H338" s="463"/>
      <c r="I338" s="463"/>
      <c r="J338" s="463"/>
      <c r="K338" s="463"/>
      <c r="L338" s="463"/>
    </row>
    <row r="339" spans="1:12">
      <c r="A339" s="467"/>
      <c r="B339" s="458"/>
      <c r="C339" s="463" t="s">
        <v>814</v>
      </c>
      <c r="D339" s="463"/>
      <c r="E339" s="463"/>
      <c r="F339" s="463"/>
      <c r="G339" s="463"/>
      <c r="H339" s="463"/>
      <c r="I339" s="463"/>
      <c r="J339" s="463"/>
      <c r="K339" s="463"/>
      <c r="L339" s="463"/>
    </row>
    <row r="340" spans="1:12">
      <c r="A340" s="467"/>
      <c r="B340" s="458"/>
      <c r="C340" s="463" t="s">
        <v>815</v>
      </c>
      <c r="D340" s="463"/>
      <c r="E340" s="463"/>
      <c r="F340" s="463"/>
      <c r="G340" s="463"/>
      <c r="H340" s="463"/>
      <c r="I340" s="463"/>
      <c r="J340" s="463"/>
      <c r="K340" s="463"/>
      <c r="L340" s="463"/>
    </row>
    <row r="341" spans="1:12">
      <c r="A341" s="467" t="s">
        <v>816</v>
      </c>
      <c r="B341" s="458"/>
      <c r="C341" s="463" t="s">
        <v>817</v>
      </c>
      <c r="D341" s="463"/>
      <c r="E341" s="463"/>
      <c r="F341" s="463"/>
      <c r="G341" s="463"/>
      <c r="H341" s="463"/>
      <c r="I341" s="463"/>
      <c r="J341" s="463"/>
      <c r="K341" s="463"/>
      <c r="L341" s="463"/>
    </row>
    <row r="342" spans="1:12">
      <c r="A342" s="467" t="s">
        <v>818</v>
      </c>
      <c r="B342" s="458"/>
      <c r="C342" s="463" t="s">
        <v>819</v>
      </c>
      <c r="D342" s="463"/>
      <c r="E342" s="463"/>
      <c r="F342" s="463"/>
      <c r="G342" s="463"/>
      <c r="H342" s="463"/>
      <c r="I342" s="463"/>
      <c r="J342" s="463"/>
      <c r="K342" s="463"/>
      <c r="L342" s="463"/>
    </row>
    <row r="343" spans="1:12">
      <c r="A343" s="467"/>
      <c r="B343" s="458"/>
      <c r="C343" s="463" t="s">
        <v>820</v>
      </c>
      <c r="D343" s="463"/>
      <c r="E343" s="463"/>
      <c r="F343" s="463"/>
      <c r="G343" s="463"/>
      <c r="H343" s="463"/>
      <c r="I343" s="463"/>
      <c r="J343" s="463"/>
      <c r="K343" s="463"/>
      <c r="L343" s="463"/>
    </row>
    <row r="344" spans="1:12">
      <c r="A344" s="467" t="s">
        <v>821</v>
      </c>
      <c r="B344" s="458"/>
      <c r="C344" s="463" t="s">
        <v>822</v>
      </c>
      <c r="D344" s="463"/>
      <c r="E344" s="463"/>
      <c r="F344" s="463"/>
      <c r="G344" s="463"/>
      <c r="H344" s="463"/>
      <c r="I344" s="463"/>
      <c r="J344" s="463"/>
      <c r="K344" s="463"/>
      <c r="L344" s="463"/>
    </row>
    <row r="345" spans="1:12">
      <c r="A345" s="467"/>
      <c r="B345" s="458"/>
      <c r="C345" s="526" t="s">
        <v>823</v>
      </c>
      <c r="D345" s="463"/>
      <c r="E345" s="463"/>
      <c r="F345" s="463"/>
      <c r="G345" s="463"/>
      <c r="H345" s="463"/>
      <c r="I345" s="463"/>
      <c r="J345" s="463"/>
      <c r="K345" s="463"/>
      <c r="L345" s="463"/>
    </row>
    <row r="346" spans="1:12">
      <c r="A346" s="467"/>
      <c r="B346" s="458"/>
      <c r="C346" s="463" t="s">
        <v>824</v>
      </c>
      <c r="D346" s="463"/>
      <c r="E346" s="463"/>
      <c r="F346" s="463"/>
      <c r="G346" s="463"/>
      <c r="H346" s="463"/>
      <c r="I346" s="463"/>
      <c r="J346" s="463"/>
      <c r="K346" s="463"/>
      <c r="L346" s="463"/>
    </row>
    <row r="347" spans="1:12">
      <c r="A347" s="467" t="s">
        <v>825</v>
      </c>
      <c r="B347" s="458"/>
      <c r="C347" s="463" t="s">
        <v>826</v>
      </c>
      <c r="D347" s="463"/>
      <c r="E347" s="463"/>
      <c r="F347" s="463"/>
      <c r="G347" s="463"/>
      <c r="H347" s="463"/>
      <c r="I347" s="463"/>
      <c r="J347" s="463"/>
      <c r="K347" s="463"/>
      <c r="L347" s="463"/>
    </row>
    <row r="348" spans="1:12">
      <c r="A348" s="467"/>
      <c r="B348" s="458"/>
      <c r="C348" s="463" t="s">
        <v>827</v>
      </c>
      <c r="D348" s="463"/>
      <c r="E348" s="463"/>
      <c r="F348" s="463"/>
      <c r="G348" s="463"/>
      <c r="H348" s="463"/>
      <c r="I348" s="463"/>
      <c r="J348" s="463"/>
      <c r="K348" s="463"/>
      <c r="L348" s="463"/>
    </row>
    <row r="349" spans="1:12">
      <c r="A349" s="467"/>
      <c r="B349" s="458"/>
      <c r="C349" s="463" t="s">
        <v>828</v>
      </c>
      <c r="D349" s="463"/>
      <c r="E349" s="463"/>
      <c r="F349" s="463"/>
      <c r="G349" s="463"/>
      <c r="H349" s="463"/>
      <c r="I349" s="463"/>
      <c r="J349" s="463"/>
      <c r="K349" s="463"/>
      <c r="L349" s="463"/>
    </row>
    <row r="350" spans="1:12">
      <c r="A350" s="467" t="s">
        <v>829</v>
      </c>
      <c r="B350" s="458"/>
      <c r="C350" s="463" t="s">
        <v>298</v>
      </c>
      <c r="D350" s="463"/>
      <c r="E350" s="463"/>
      <c r="F350" s="463"/>
      <c r="G350" s="463"/>
      <c r="H350" s="463"/>
      <c r="I350" s="463"/>
      <c r="J350" s="463"/>
      <c r="K350" s="463"/>
      <c r="L350" s="463"/>
    </row>
    <row r="351" spans="1:12">
      <c r="A351" s="467"/>
      <c r="B351" s="458"/>
      <c r="C351" s="463" t="s">
        <v>299</v>
      </c>
      <c r="D351" s="463"/>
      <c r="E351" s="463"/>
      <c r="F351" s="463"/>
      <c r="G351" s="463"/>
      <c r="H351" s="463"/>
      <c r="I351" s="463"/>
      <c r="J351" s="463"/>
      <c r="K351" s="463"/>
      <c r="L351" s="463"/>
    </row>
    <row r="352" spans="1:12">
      <c r="A352" s="467"/>
      <c r="B352" s="458"/>
      <c r="C352" s="463" t="s">
        <v>300</v>
      </c>
      <c r="D352" s="463"/>
      <c r="E352" s="463"/>
      <c r="F352" s="463"/>
      <c r="G352" s="463"/>
      <c r="H352" s="463"/>
      <c r="I352" s="463"/>
      <c r="J352" s="463"/>
      <c r="K352" s="463"/>
      <c r="L352" s="463"/>
    </row>
    <row r="353" spans="1:14">
      <c r="A353" s="467"/>
      <c r="B353" s="458"/>
      <c r="C353" s="463" t="s">
        <v>301</v>
      </c>
      <c r="D353" s="463"/>
      <c r="E353" s="463"/>
      <c r="F353" s="463"/>
      <c r="G353" s="463"/>
      <c r="H353" s="463"/>
      <c r="I353" s="463"/>
      <c r="J353" s="463"/>
      <c r="K353" s="463"/>
      <c r="L353" s="463"/>
    </row>
    <row r="354" spans="1:14">
      <c r="A354" s="467"/>
      <c r="B354" s="458"/>
      <c r="C354" s="463" t="s">
        <v>302</v>
      </c>
      <c r="D354" s="463"/>
      <c r="E354" s="463"/>
      <c r="F354" s="463"/>
      <c r="G354" s="463"/>
      <c r="H354" s="463"/>
      <c r="I354" s="463"/>
      <c r="J354" s="463"/>
      <c r="K354" s="463"/>
      <c r="L354" s="463"/>
    </row>
    <row r="355" spans="1:14">
      <c r="A355" s="467"/>
      <c r="B355" s="458"/>
      <c r="C355" s="463" t="s">
        <v>303</v>
      </c>
      <c r="D355" s="463"/>
      <c r="E355" s="463"/>
      <c r="F355" s="463"/>
      <c r="G355" s="463"/>
      <c r="H355" s="463"/>
      <c r="I355" s="463"/>
      <c r="J355" s="463"/>
      <c r="K355" s="463"/>
      <c r="L355" s="463"/>
    </row>
    <row r="356" spans="1:14">
      <c r="A356" s="467" t="s">
        <v>129</v>
      </c>
      <c r="B356" s="458"/>
      <c r="C356" s="463" t="s">
        <v>830</v>
      </c>
      <c r="D356" s="463" t="s">
        <v>306</v>
      </c>
      <c r="E356" s="665">
        <v>0.35</v>
      </c>
      <c r="F356" s="463"/>
      <c r="G356" s="463"/>
      <c r="H356" s="463"/>
      <c r="I356" s="463"/>
      <c r="J356" s="463"/>
      <c r="K356" s="463"/>
      <c r="L356" s="463"/>
    </row>
    <row r="357" spans="1:14">
      <c r="A357" s="467"/>
      <c r="B357" s="458"/>
      <c r="C357" s="463"/>
      <c r="D357" s="463" t="s">
        <v>307</v>
      </c>
      <c r="E357" s="665">
        <v>4.65E-2</v>
      </c>
      <c r="F357" s="463" t="s">
        <v>308</v>
      </c>
      <c r="G357" s="463"/>
      <c r="H357" s="463"/>
      <c r="I357" s="463"/>
      <c r="J357" s="463"/>
      <c r="K357" s="463"/>
      <c r="L357" s="463"/>
      <c r="N357" s="666"/>
    </row>
    <row r="358" spans="1:14">
      <c r="A358" s="467"/>
      <c r="B358" s="458"/>
      <c r="C358" s="463"/>
      <c r="D358" s="463" t="s">
        <v>309</v>
      </c>
      <c r="E358" s="665">
        <v>0</v>
      </c>
      <c r="F358" s="463" t="s">
        <v>310</v>
      </c>
      <c r="G358" s="463"/>
      <c r="H358" s="463"/>
      <c r="I358" s="463"/>
      <c r="J358" s="463"/>
      <c r="K358" s="463"/>
      <c r="L358" s="463"/>
    </row>
    <row r="359" spans="1:14">
      <c r="A359" s="467" t="s">
        <v>831</v>
      </c>
      <c r="B359" s="458"/>
      <c r="C359" s="463" t="s">
        <v>832</v>
      </c>
      <c r="D359" s="463"/>
      <c r="E359" s="463"/>
      <c r="F359" s="463"/>
      <c r="G359" s="463"/>
      <c r="H359" s="463"/>
      <c r="I359" s="463"/>
      <c r="J359" s="667"/>
      <c r="K359" s="667"/>
      <c r="L359" s="463"/>
    </row>
    <row r="360" spans="1:14">
      <c r="A360" s="467" t="s">
        <v>833</v>
      </c>
      <c r="B360" s="458"/>
      <c r="C360" s="463" t="s">
        <v>834</v>
      </c>
      <c r="D360" s="463"/>
      <c r="E360" s="463"/>
      <c r="F360" s="463"/>
      <c r="G360" s="463"/>
      <c r="H360" s="463"/>
      <c r="I360" s="463"/>
      <c r="J360" s="463"/>
      <c r="K360" s="463"/>
      <c r="L360" s="463"/>
    </row>
    <row r="361" spans="1:14">
      <c r="A361" s="467"/>
      <c r="B361" s="458"/>
      <c r="C361" s="463" t="s">
        <v>835</v>
      </c>
      <c r="D361" s="463"/>
      <c r="E361" s="463"/>
      <c r="F361" s="463"/>
      <c r="G361" s="463"/>
      <c r="H361" s="463"/>
      <c r="I361" s="463"/>
      <c r="J361" s="463"/>
      <c r="K361" s="463"/>
      <c r="L361" s="463"/>
    </row>
    <row r="362" spans="1:14">
      <c r="A362" s="467" t="s">
        <v>836</v>
      </c>
      <c r="B362" s="458"/>
      <c r="C362" s="463" t="s">
        <v>837</v>
      </c>
      <c r="D362" s="463"/>
      <c r="E362" s="463"/>
      <c r="F362" s="463"/>
      <c r="G362" s="463"/>
      <c r="H362" s="463"/>
      <c r="I362" s="463"/>
      <c r="J362" s="463"/>
      <c r="K362" s="463"/>
      <c r="L362" s="463"/>
    </row>
    <row r="363" spans="1:14">
      <c r="A363" s="467"/>
      <c r="B363" s="458"/>
      <c r="C363" s="463" t="s">
        <v>838</v>
      </c>
      <c r="D363" s="463"/>
      <c r="E363" s="463"/>
      <c r="F363" s="463"/>
      <c r="G363" s="463"/>
      <c r="H363" s="463"/>
      <c r="I363" s="463"/>
      <c r="J363" s="463"/>
      <c r="K363" s="463"/>
      <c r="L363" s="463"/>
    </row>
    <row r="364" spans="1:14">
      <c r="A364" s="467"/>
      <c r="B364" s="458"/>
      <c r="C364" s="463" t="s">
        <v>839</v>
      </c>
      <c r="D364" s="463"/>
      <c r="E364" s="463"/>
      <c r="F364" s="463"/>
      <c r="G364" s="463"/>
      <c r="H364" s="463"/>
      <c r="I364" s="463"/>
      <c r="J364" s="463"/>
      <c r="K364" s="463"/>
      <c r="L364" s="463"/>
    </row>
    <row r="365" spans="1:14">
      <c r="A365" s="467" t="s">
        <v>840</v>
      </c>
      <c r="B365" s="458"/>
      <c r="C365" s="463" t="s">
        <v>841</v>
      </c>
      <c r="D365" s="463"/>
      <c r="E365" s="463"/>
      <c r="F365" s="463"/>
      <c r="G365" s="463"/>
      <c r="H365" s="463"/>
      <c r="I365" s="463"/>
      <c r="J365" s="463"/>
      <c r="K365" s="463"/>
      <c r="L365" s="463"/>
    </row>
    <row r="366" spans="1:14">
      <c r="A366" s="467" t="s">
        <v>842</v>
      </c>
      <c r="B366" s="458"/>
      <c r="C366" s="463" t="s">
        <v>843</v>
      </c>
      <c r="D366" s="463"/>
      <c r="E366" s="463"/>
      <c r="F366" s="463"/>
      <c r="G366" s="463"/>
      <c r="H366" s="463"/>
      <c r="I366" s="463"/>
      <c r="J366" s="463"/>
      <c r="K366" s="463"/>
      <c r="L366" s="463"/>
    </row>
    <row r="367" spans="1:14">
      <c r="A367" s="467"/>
      <c r="B367" s="458"/>
      <c r="C367" s="463" t="s">
        <v>844</v>
      </c>
      <c r="D367" s="463"/>
      <c r="E367" s="463"/>
      <c r="F367" s="463"/>
      <c r="G367" s="463"/>
      <c r="H367" s="463"/>
      <c r="I367" s="463"/>
      <c r="J367" s="463"/>
      <c r="K367" s="463"/>
      <c r="L367" s="463"/>
    </row>
    <row r="368" spans="1:14">
      <c r="A368" s="467"/>
      <c r="B368" s="458"/>
      <c r="C368" s="463" t="s">
        <v>845</v>
      </c>
      <c r="D368" s="463"/>
      <c r="E368" s="463"/>
      <c r="F368" s="463"/>
      <c r="G368" s="463"/>
      <c r="H368" s="463"/>
      <c r="I368" s="463"/>
      <c r="J368" s="463"/>
      <c r="K368" s="463"/>
      <c r="L368" s="463"/>
    </row>
    <row r="369" spans="1:12">
      <c r="A369" s="467" t="s">
        <v>846</v>
      </c>
      <c r="B369" s="458"/>
      <c r="C369" s="463" t="s">
        <v>847</v>
      </c>
      <c r="D369" s="463"/>
      <c r="E369" s="463"/>
      <c r="F369" s="463"/>
      <c r="G369" s="463"/>
      <c r="H369" s="463"/>
      <c r="I369" s="463"/>
      <c r="J369" s="463"/>
      <c r="K369" s="463"/>
      <c r="L369" s="463"/>
    </row>
    <row r="370" spans="1:12">
      <c r="A370" s="467"/>
      <c r="B370" s="458"/>
      <c r="C370" s="463" t="s">
        <v>848</v>
      </c>
      <c r="D370" s="463"/>
      <c r="E370" s="463"/>
      <c r="F370" s="463"/>
      <c r="G370" s="463"/>
      <c r="H370" s="463"/>
      <c r="I370" s="463"/>
      <c r="J370" s="463"/>
      <c r="K370" s="463"/>
      <c r="L370" s="463"/>
    </row>
    <row r="371" spans="1:12">
      <c r="A371" s="467" t="s">
        <v>849</v>
      </c>
      <c r="B371" s="458"/>
      <c r="C371" s="463" t="s">
        <v>850</v>
      </c>
      <c r="D371" s="463"/>
      <c r="E371" s="463"/>
      <c r="F371" s="463"/>
      <c r="G371" s="463"/>
      <c r="H371" s="463"/>
      <c r="I371" s="463"/>
      <c r="J371" s="463"/>
      <c r="K371" s="463"/>
      <c r="L371" s="463"/>
    </row>
    <row r="372" spans="1:12">
      <c r="A372" s="467" t="s">
        <v>851</v>
      </c>
      <c r="B372" s="458"/>
      <c r="C372" s="463" t="s">
        <v>852</v>
      </c>
      <c r="D372" s="463"/>
      <c r="E372" s="463"/>
      <c r="F372" s="463"/>
      <c r="G372" s="463"/>
      <c r="H372" s="463"/>
      <c r="I372" s="463"/>
      <c r="J372" s="463"/>
      <c r="K372" s="463"/>
      <c r="L372" s="463"/>
    </row>
    <row r="373" spans="1:12">
      <c r="B373" s="458"/>
      <c r="C373" s="463" t="s">
        <v>853</v>
      </c>
      <c r="D373" s="463"/>
      <c r="E373" s="463"/>
      <c r="F373" s="463"/>
      <c r="G373" s="463"/>
      <c r="H373" s="463"/>
      <c r="I373" s="463"/>
      <c r="J373" s="463"/>
      <c r="K373" s="463"/>
      <c r="L373" s="463"/>
    </row>
    <row r="374" spans="1:12">
      <c r="C374" s="463" t="s">
        <v>854</v>
      </c>
      <c r="D374" s="463"/>
      <c r="E374" s="463"/>
      <c r="F374" s="463"/>
      <c r="G374" s="463"/>
      <c r="H374" s="463"/>
      <c r="I374" s="463"/>
      <c r="J374" s="463"/>
      <c r="K374" s="463"/>
      <c r="L374" s="463"/>
    </row>
    <row r="375" spans="1:12">
      <c r="A375" s="518" t="s">
        <v>855</v>
      </c>
      <c r="C375" s="463" t="s">
        <v>856</v>
      </c>
      <c r="D375" s="463"/>
      <c r="E375" s="463"/>
      <c r="F375" s="463"/>
      <c r="G375" s="463"/>
      <c r="H375" s="463"/>
      <c r="I375" s="463"/>
      <c r="J375" s="463"/>
      <c r="K375" s="463"/>
      <c r="L375" s="463"/>
    </row>
    <row r="376" spans="1:12">
      <c r="C376" s="463" t="s">
        <v>857</v>
      </c>
      <c r="D376" s="668"/>
      <c r="E376" s="463"/>
      <c r="F376" s="463"/>
      <c r="G376" s="463"/>
      <c r="H376" s="463"/>
      <c r="I376" s="463"/>
      <c r="J376" s="463"/>
      <c r="K376" s="463"/>
      <c r="L376" s="463"/>
    </row>
    <row r="377" spans="1:12">
      <c r="C377" s="463" t="s">
        <v>858</v>
      </c>
      <c r="D377" s="463"/>
      <c r="E377" s="463"/>
      <c r="F377" s="463"/>
      <c r="G377" s="463"/>
      <c r="H377" s="463"/>
      <c r="I377" s="463"/>
      <c r="J377" s="463"/>
      <c r="K377" s="463"/>
      <c r="L377" s="463"/>
    </row>
    <row r="378" spans="1:12">
      <c r="C378" s="463" t="s">
        <v>859</v>
      </c>
      <c r="D378" s="463"/>
      <c r="E378" s="668"/>
      <c r="F378" s="463"/>
      <c r="G378" s="463"/>
      <c r="H378" s="463"/>
      <c r="I378" s="463"/>
      <c r="J378" s="463"/>
      <c r="K378" s="463"/>
      <c r="L378" s="463"/>
    </row>
    <row r="379" spans="1:12">
      <c r="A379" s="518" t="s">
        <v>860</v>
      </c>
      <c r="C379" s="463" t="s">
        <v>861</v>
      </c>
      <c r="D379" s="458"/>
      <c r="E379" s="458"/>
      <c r="F379" s="458"/>
      <c r="G379" s="458"/>
      <c r="H379" s="458"/>
      <c r="I379" s="458"/>
      <c r="J379" s="463"/>
      <c r="K379" s="463"/>
      <c r="L379" s="463"/>
    </row>
    <row r="380" spans="1:12" s="526" customFormat="1">
      <c r="A380" s="669" t="s">
        <v>862</v>
      </c>
      <c r="C380" s="463" t="s">
        <v>863</v>
      </c>
      <c r="D380" s="463"/>
      <c r="E380" s="463"/>
      <c r="F380" s="463"/>
      <c r="G380" s="463"/>
      <c r="H380" s="463"/>
      <c r="I380" s="463"/>
      <c r="J380" s="463"/>
      <c r="K380" s="463"/>
      <c r="L380" s="463"/>
    </row>
    <row r="381" spans="1:12">
      <c r="A381" s="518" t="s">
        <v>864</v>
      </c>
      <c r="C381" s="463" t="s">
        <v>865</v>
      </c>
      <c r="D381" s="463"/>
      <c r="E381" s="463"/>
      <c r="F381" s="463"/>
      <c r="G381" s="463"/>
      <c r="H381" s="463"/>
      <c r="I381" s="463"/>
      <c r="J381" s="463"/>
      <c r="K381" s="463"/>
      <c r="L381" s="463"/>
    </row>
    <row r="382" spans="1:12">
      <c r="A382" s="518" t="s">
        <v>866</v>
      </c>
      <c r="C382" s="463" t="s">
        <v>867</v>
      </c>
      <c r="D382" s="463"/>
      <c r="E382" s="463"/>
      <c r="F382" s="463"/>
      <c r="G382" s="463"/>
      <c r="H382" s="463"/>
      <c r="I382" s="463"/>
      <c r="J382" s="463"/>
      <c r="K382" s="463"/>
      <c r="L382" s="463"/>
    </row>
    <row r="383" spans="1:12">
      <c r="A383" s="518"/>
      <c r="C383" s="463" t="s">
        <v>868</v>
      </c>
      <c r="D383" s="463"/>
      <c r="E383" s="463"/>
      <c r="F383" s="463"/>
      <c r="G383" s="463"/>
      <c r="H383" s="463"/>
      <c r="I383" s="463"/>
      <c r="J383" s="463"/>
      <c r="K383" s="463"/>
      <c r="L383" s="463"/>
    </row>
    <row r="384" spans="1:12">
      <c r="A384" s="518" t="s">
        <v>869</v>
      </c>
      <c r="C384" s="693" t="s">
        <v>870</v>
      </c>
      <c r="D384" s="693"/>
      <c r="E384" s="693"/>
      <c r="F384" s="693"/>
      <c r="G384" s="693"/>
      <c r="H384" s="693"/>
      <c r="I384" s="693"/>
      <c r="J384" s="693"/>
      <c r="K384" s="693"/>
      <c r="L384" s="693"/>
    </row>
    <row r="385" spans="1:12">
      <c r="A385" s="518" t="s">
        <v>871</v>
      </c>
      <c r="C385" s="693" t="s">
        <v>872</v>
      </c>
      <c r="D385" s="693"/>
      <c r="E385" s="693"/>
      <c r="F385" s="693"/>
      <c r="G385" s="693"/>
      <c r="H385" s="693"/>
      <c r="I385" s="693"/>
      <c r="J385" s="693"/>
      <c r="K385" s="693"/>
      <c r="L385" s="693"/>
    </row>
    <row r="386" spans="1:12">
      <c r="A386" s="518"/>
      <c r="C386" s="463" t="s">
        <v>873</v>
      </c>
      <c r="D386" s="458"/>
      <c r="E386" s="458"/>
      <c r="F386" s="458"/>
      <c r="G386" s="458"/>
      <c r="H386" s="458"/>
      <c r="I386" s="458"/>
      <c r="J386" s="463"/>
      <c r="K386" s="463"/>
      <c r="L386" s="463"/>
    </row>
    <row r="387" spans="1:12">
      <c r="A387" s="518" t="s">
        <v>874</v>
      </c>
      <c r="C387" s="488" t="s">
        <v>875</v>
      </c>
      <c r="D387" s="458"/>
      <c r="E387" s="458"/>
      <c r="F387" s="458"/>
      <c r="G387" s="458"/>
      <c r="H387" s="458"/>
      <c r="I387" s="458"/>
      <c r="J387" s="463"/>
      <c r="K387" s="463"/>
      <c r="L387" s="463"/>
    </row>
    <row r="388" spans="1:12">
      <c r="A388" s="518" t="s">
        <v>876</v>
      </c>
      <c r="C388" s="670" t="s">
        <v>877</v>
      </c>
      <c r="D388" s="458"/>
      <c r="E388" s="458"/>
      <c r="F388" s="458"/>
      <c r="G388" s="458"/>
      <c r="H388" s="458"/>
      <c r="I388" s="458"/>
      <c r="J388" s="463"/>
      <c r="K388" s="463"/>
      <c r="L388" s="463"/>
    </row>
    <row r="389" spans="1:12">
      <c r="A389" s="518" t="s">
        <v>878</v>
      </c>
      <c r="C389" s="488" t="s">
        <v>879</v>
      </c>
      <c r="D389" s="458"/>
      <c r="E389" s="458"/>
      <c r="F389" s="458"/>
      <c r="G389" s="458"/>
      <c r="H389" s="458"/>
      <c r="I389" s="458"/>
      <c r="J389" s="463"/>
      <c r="K389" s="463"/>
      <c r="L389" s="463"/>
    </row>
    <row r="390" spans="1:12">
      <c r="A390" s="671"/>
      <c r="B390" s="487"/>
      <c r="C390" s="488" t="s">
        <v>880</v>
      </c>
      <c r="D390" s="488"/>
      <c r="E390" s="488"/>
      <c r="F390" s="488"/>
      <c r="G390" s="488"/>
      <c r="H390" s="488"/>
      <c r="I390" s="488"/>
      <c r="J390" s="488"/>
      <c r="K390" s="488"/>
      <c r="L390" s="488"/>
    </row>
    <row r="391" spans="1:12">
      <c r="A391" s="671"/>
      <c r="B391" s="487"/>
      <c r="C391" s="488" t="s">
        <v>881</v>
      </c>
      <c r="D391" s="488"/>
      <c r="E391" s="488"/>
      <c r="F391" s="488"/>
      <c r="G391" s="488"/>
      <c r="H391" s="670"/>
      <c r="I391" s="572"/>
      <c r="J391" s="488"/>
      <c r="K391" s="488"/>
      <c r="L391" s="488"/>
    </row>
    <row r="392" spans="1:12">
      <c r="A392" s="672" t="s">
        <v>882</v>
      </c>
      <c r="B392" s="487"/>
      <c r="C392" s="488" t="s">
        <v>883</v>
      </c>
      <c r="D392" s="488"/>
      <c r="E392" s="488"/>
      <c r="F392" s="488"/>
      <c r="G392" s="488"/>
      <c r="H392" s="670"/>
      <c r="I392" s="670"/>
      <c r="J392" s="488"/>
      <c r="K392" s="488"/>
      <c r="L392" s="488"/>
    </row>
    <row r="393" spans="1:12">
      <c r="A393" s="673" t="s">
        <v>884</v>
      </c>
      <c r="B393" s="487"/>
      <c r="C393" s="488" t="s">
        <v>885</v>
      </c>
      <c r="D393" s="488"/>
      <c r="E393" s="488"/>
      <c r="F393" s="488"/>
      <c r="G393" s="488"/>
      <c r="H393" s="670"/>
      <c r="I393" s="670"/>
      <c r="J393" s="488"/>
      <c r="K393" s="488"/>
      <c r="L393" s="488"/>
    </row>
    <row r="394" spans="1:12">
      <c r="A394" s="673" t="s">
        <v>886</v>
      </c>
      <c r="B394" s="572"/>
      <c r="C394" s="488" t="s">
        <v>887</v>
      </c>
      <c r="D394" s="487"/>
      <c r="E394" s="487"/>
      <c r="F394" s="488"/>
      <c r="G394" s="488"/>
      <c r="H394" s="488"/>
      <c r="I394" s="670"/>
      <c r="J394" s="488"/>
      <c r="K394" s="488"/>
      <c r="L394" s="488"/>
    </row>
    <row r="395" spans="1:12">
      <c r="A395" s="673"/>
      <c r="B395" s="572"/>
      <c r="C395" s="674" t="s">
        <v>888</v>
      </c>
      <c r="D395" s="488" t="s">
        <v>889</v>
      </c>
      <c r="E395" s="675">
        <v>505945</v>
      </c>
      <c r="F395" s="488"/>
      <c r="G395" s="488"/>
      <c r="H395" s="488"/>
      <c r="I395" s="670"/>
      <c r="J395" s="488"/>
      <c r="K395" s="488"/>
      <c r="L395" s="488"/>
    </row>
    <row r="396" spans="1:12">
      <c r="A396" s="673"/>
      <c r="B396" s="572"/>
      <c r="C396" s="674" t="s">
        <v>890</v>
      </c>
      <c r="D396" s="488" t="s">
        <v>889</v>
      </c>
      <c r="E396" s="676">
        <v>514133</v>
      </c>
      <c r="F396" s="487"/>
      <c r="G396" s="488"/>
      <c r="H396" s="488"/>
      <c r="I396" s="670"/>
      <c r="J396" s="488"/>
      <c r="K396" s="488"/>
      <c r="L396" s="488"/>
    </row>
    <row r="397" spans="1:12">
      <c r="A397" s="673"/>
      <c r="B397" s="572"/>
      <c r="C397" s="677" t="s">
        <v>891</v>
      </c>
      <c r="D397" s="488"/>
      <c r="E397" s="678">
        <f>+E396-E395</f>
        <v>8188</v>
      </c>
      <c r="F397" s="487"/>
      <c r="G397" s="488"/>
      <c r="H397" s="488"/>
      <c r="I397" s="670"/>
      <c r="J397" s="488"/>
      <c r="K397" s="488"/>
      <c r="L397" s="488"/>
    </row>
    <row r="398" spans="1:12">
      <c r="A398" s="673"/>
      <c r="B398" s="572"/>
      <c r="C398" s="674" t="s">
        <v>892</v>
      </c>
      <c r="D398" s="488" t="s">
        <v>893</v>
      </c>
      <c r="E398" s="679">
        <v>44.277700000000003</v>
      </c>
      <c r="F398" s="487"/>
      <c r="G398" s="488"/>
      <c r="H398" s="488"/>
      <c r="I398" s="670"/>
      <c r="J398" s="488"/>
      <c r="K398" s="488"/>
      <c r="L398" s="488"/>
    </row>
    <row r="399" spans="1:12">
      <c r="A399" s="673"/>
      <c r="B399" s="572"/>
      <c r="C399" s="674" t="s">
        <v>894</v>
      </c>
      <c r="D399" s="488"/>
      <c r="E399" s="678">
        <f>+E397*E398</f>
        <v>362545.8076</v>
      </c>
      <c r="F399" s="487"/>
      <c r="G399" s="488"/>
      <c r="H399" s="488"/>
      <c r="I399" s="670"/>
      <c r="J399" s="488"/>
      <c r="K399" s="488"/>
      <c r="L399" s="488"/>
    </row>
    <row r="400" spans="1:12">
      <c r="A400" s="673" t="s">
        <v>895</v>
      </c>
      <c r="B400" s="572"/>
      <c r="C400" s="455" t="s">
        <v>896</v>
      </c>
      <c r="F400" s="487"/>
      <c r="G400" s="488"/>
      <c r="H400" s="488"/>
      <c r="I400" s="670"/>
      <c r="J400" s="488"/>
      <c r="K400" s="488"/>
      <c r="L400" s="488"/>
    </row>
    <row r="401" spans="1:12">
      <c r="A401" s="673"/>
      <c r="B401" s="572"/>
      <c r="C401" s="455" t="s">
        <v>897</v>
      </c>
      <c r="F401" s="488"/>
      <c r="G401" s="488"/>
      <c r="H401" s="488"/>
      <c r="I401" s="670"/>
      <c r="J401" s="488"/>
      <c r="K401" s="488"/>
      <c r="L401" s="488"/>
    </row>
    <row r="402" spans="1:12">
      <c r="A402" s="672"/>
      <c r="B402" s="672"/>
      <c r="C402" s="455" t="s">
        <v>898</v>
      </c>
      <c r="L402" s="455"/>
    </row>
    <row r="403" spans="1:12">
      <c r="B403" s="672"/>
      <c r="C403" s="455" t="s">
        <v>899</v>
      </c>
      <c r="L403" s="455"/>
    </row>
    <row r="404" spans="1:12">
      <c r="B404" s="673"/>
      <c r="D404" s="670"/>
      <c r="E404" s="670"/>
      <c r="F404" s="670"/>
      <c r="G404" s="670"/>
      <c r="H404" s="670"/>
      <c r="I404" s="670"/>
      <c r="J404" s="488"/>
      <c r="K404" s="670"/>
      <c r="L404" s="488"/>
    </row>
    <row r="405" spans="1:12">
      <c r="B405" s="572"/>
      <c r="D405" s="670"/>
      <c r="E405" s="670"/>
      <c r="F405" s="670"/>
      <c r="G405" s="670"/>
      <c r="H405" s="670"/>
      <c r="I405" s="670"/>
      <c r="J405" s="670"/>
      <c r="K405" s="572"/>
      <c r="L405" s="487"/>
    </row>
    <row r="406" spans="1:12">
      <c r="A406" s="456"/>
      <c r="C406" s="456"/>
      <c r="D406" s="465"/>
      <c r="E406" s="544"/>
      <c r="F406" s="465"/>
      <c r="G406" s="465"/>
      <c r="H406" s="548"/>
      <c r="I406" s="465"/>
      <c r="J406" s="544"/>
      <c r="K406" s="465"/>
      <c r="L406" s="564"/>
    </row>
    <row r="407" spans="1:12">
      <c r="C407" s="458"/>
      <c r="D407" s="458"/>
      <c r="E407" s="458"/>
      <c r="F407" s="458"/>
      <c r="G407" s="458"/>
      <c r="H407" s="458"/>
      <c r="I407" s="458"/>
      <c r="J407" s="458"/>
      <c r="K407" s="458"/>
      <c r="L407" s="463"/>
    </row>
    <row r="408" spans="1:12">
      <c r="C408" s="458"/>
      <c r="D408" s="458"/>
      <c r="E408" s="458"/>
      <c r="F408" s="458"/>
      <c r="G408" s="458"/>
      <c r="H408" s="458"/>
      <c r="I408" s="458"/>
      <c r="J408" s="458"/>
      <c r="K408" s="458"/>
      <c r="L408" s="463"/>
    </row>
    <row r="409" spans="1:12">
      <c r="C409" s="458"/>
      <c r="D409" s="458"/>
      <c r="E409" s="458"/>
      <c r="F409" s="458"/>
      <c r="G409" s="458"/>
      <c r="H409" s="458"/>
      <c r="I409" s="458"/>
      <c r="J409" s="458"/>
      <c r="K409" s="458"/>
      <c r="L409" s="463"/>
    </row>
    <row r="410" spans="1:12">
      <c r="C410" s="526"/>
    </row>
  </sheetData>
  <sheetProtection algorithmName="SHA-512" hashValue="7//YImApMtEaQuUkSo0OHvw0GdI+xhKm4AGV8XWUL8DujuYMEtzvRsU0sIk6w+L2G5VAiII4MEY2FOktFb88DA==" saltValue="/lWNoFYJonlFfJZU7FaZ2Q==" spinCount="100000" sheet="1" objects="1" scenarios="1" formatCells="0" formatColumns="0"/>
  <mergeCells count="5">
    <mergeCell ref="C222:D222"/>
    <mergeCell ref="C226:D226"/>
    <mergeCell ref="N257:S257"/>
    <mergeCell ref="C384:L384"/>
    <mergeCell ref="C385:L385"/>
  </mergeCells>
  <pageMargins left="0.49" right="0.17" top="0.5" bottom="0.43" header="0.3" footer="0.3"/>
  <pageSetup scale="53" orientation="portrait" r:id="rId1"/>
  <headerFooter>
    <oddFooter>&amp;RV34
EFF 04.04.16</oddFooter>
  </headerFooter>
  <rowBreaks count="4" manualBreakCount="4">
    <brk id="81" max="16383" man="1"/>
    <brk id="161" max="11" man="1"/>
    <brk id="237" max="11" man="1"/>
    <brk id="316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workbookViewId="0"/>
  </sheetViews>
  <sheetFormatPr defaultRowHeight="12.75"/>
  <cols>
    <col min="1" max="2" width="2.7109375" style="62" customWidth="1"/>
    <col min="3" max="3" width="31.28515625" style="62" customWidth="1"/>
    <col min="4" max="4" width="2.7109375" style="62" customWidth="1"/>
    <col min="5" max="5" width="12.28515625" style="62" bestFit="1" customWidth="1"/>
    <col min="6" max="6" width="2.7109375" style="62" customWidth="1"/>
    <col min="7" max="7" width="14.140625" style="62" bestFit="1" customWidth="1"/>
    <col min="8" max="8" width="2.7109375" style="62" customWidth="1"/>
    <col min="9" max="9" width="14.28515625" style="62" bestFit="1" customWidth="1"/>
    <col min="10" max="10" width="2.7109375" style="62" customWidth="1"/>
    <col min="11" max="11" width="13.42578125" style="62" bestFit="1" customWidth="1"/>
    <col min="12" max="12" width="2.7109375" style="62" customWidth="1"/>
    <col min="13" max="13" width="12.28515625" style="62" bestFit="1" customWidth="1"/>
    <col min="14" max="14" width="2.5703125" style="62" bestFit="1" customWidth="1"/>
    <col min="15" max="15" width="13.5703125" style="62" bestFit="1" customWidth="1"/>
    <col min="16" max="16" width="2.7109375" style="62" customWidth="1"/>
    <col min="17" max="16384" width="9.140625" style="62"/>
  </cols>
  <sheetData>
    <row r="1" spans="1:15">
      <c r="A1" s="4" t="s">
        <v>0</v>
      </c>
      <c r="B1" s="4"/>
      <c r="C1" s="64"/>
      <c r="D1" s="64"/>
      <c r="E1" s="64"/>
      <c r="F1" s="64"/>
      <c r="G1" s="65"/>
      <c r="H1" s="65"/>
      <c r="I1" s="65"/>
      <c r="J1" s="65"/>
      <c r="K1" s="65"/>
      <c r="L1" s="65"/>
      <c r="M1" s="65"/>
      <c r="N1" s="65"/>
      <c r="O1" s="65"/>
    </row>
    <row r="2" spans="1:15">
      <c r="A2" s="4" t="s">
        <v>30</v>
      </c>
      <c r="B2" s="4"/>
      <c r="C2" s="64"/>
      <c r="D2" s="64"/>
      <c r="E2" s="64"/>
      <c r="F2" s="64"/>
      <c r="G2" s="65"/>
      <c r="H2" s="65"/>
      <c r="I2" s="65"/>
      <c r="J2" s="65"/>
      <c r="K2" s="65"/>
      <c r="L2" s="65"/>
      <c r="M2" s="65"/>
      <c r="N2" s="65"/>
      <c r="O2" s="65"/>
    </row>
    <row r="3" spans="1:15">
      <c r="A3" s="4" t="s">
        <v>103</v>
      </c>
      <c r="B3" s="4"/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5"/>
      <c r="O3" s="65"/>
    </row>
    <row r="4" spans="1:15">
      <c r="A4" s="4" t="s">
        <v>100</v>
      </c>
      <c r="B4" s="64"/>
      <c r="C4" s="64"/>
      <c r="D4" s="64"/>
      <c r="E4" s="64"/>
      <c r="F4" s="64"/>
      <c r="G4" s="65"/>
      <c r="H4" s="65"/>
      <c r="I4" s="65"/>
      <c r="J4" s="65"/>
      <c r="K4" s="65"/>
      <c r="L4" s="65"/>
      <c r="M4" s="65"/>
      <c r="N4" s="65"/>
      <c r="O4" s="65"/>
    </row>
    <row r="5" spans="1:15">
      <c r="A5" s="4" t="s">
        <v>374</v>
      </c>
      <c r="B5" s="4"/>
      <c r="C5" s="64"/>
      <c r="D5" s="64"/>
      <c r="E5" s="64"/>
      <c r="F5" s="64"/>
      <c r="G5" s="65"/>
      <c r="H5" s="65"/>
      <c r="I5" s="65"/>
      <c r="J5" s="65"/>
      <c r="K5" s="65"/>
      <c r="L5" s="65"/>
      <c r="M5" s="65"/>
      <c r="N5" s="65"/>
      <c r="O5" s="65"/>
    </row>
    <row r="6" spans="1:15">
      <c r="A6" s="4"/>
      <c r="B6" s="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</row>
    <row r="7" spans="1:15">
      <c r="A7" s="24"/>
      <c r="B7" s="24"/>
      <c r="G7" s="63"/>
      <c r="H7" s="63"/>
      <c r="I7" s="63"/>
      <c r="J7" s="63"/>
      <c r="K7" s="63"/>
      <c r="L7" s="63"/>
      <c r="M7" s="63"/>
      <c r="N7" s="63"/>
      <c r="O7" s="63"/>
    </row>
    <row r="8" spans="1:15">
      <c r="A8" s="24"/>
      <c r="B8" s="24"/>
      <c r="E8" s="66" t="s">
        <v>32</v>
      </c>
      <c r="G8" s="67" t="s">
        <v>33</v>
      </c>
      <c r="H8" s="82"/>
      <c r="J8" s="82"/>
      <c r="L8" s="82"/>
      <c r="O8" s="66" t="s">
        <v>101</v>
      </c>
    </row>
    <row r="9" spans="1:15">
      <c r="A9" s="24" t="s">
        <v>35</v>
      </c>
      <c r="B9" s="24"/>
      <c r="E9" s="69" t="s">
        <v>36</v>
      </c>
      <c r="G9" s="70" t="s">
        <v>37</v>
      </c>
      <c r="H9" s="83"/>
      <c r="I9" s="69" t="s">
        <v>38</v>
      </c>
      <c r="J9" s="83"/>
      <c r="K9" s="69" t="s">
        <v>102</v>
      </c>
      <c r="L9" s="83"/>
      <c r="M9" s="69" t="s">
        <v>65</v>
      </c>
      <c r="O9" s="69" t="s">
        <v>1</v>
      </c>
    </row>
    <row r="10" spans="1:15">
      <c r="A10" s="24"/>
      <c r="B10" s="24" t="s">
        <v>103</v>
      </c>
      <c r="G10" s="84"/>
      <c r="H10" s="84"/>
      <c r="I10" s="84"/>
      <c r="J10" s="84"/>
      <c r="K10" s="84"/>
      <c r="L10" s="84"/>
      <c r="M10" s="84"/>
      <c r="N10" s="63"/>
    </row>
    <row r="11" spans="1:15">
      <c r="A11" s="24"/>
      <c r="B11" s="24"/>
      <c r="G11" s="84"/>
      <c r="H11" s="84"/>
      <c r="I11" s="84"/>
      <c r="J11" s="84"/>
      <c r="K11" s="84"/>
      <c r="L11" s="84"/>
      <c r="M11" s="84"/>
      <c r="N11" s="63"/>
    </row>
    <row r="12" spans="1:15">
      <c r="A12" s="24"/>
      <c r="B12" s="24"/>
      <c r="C12" s="62" t="s">
        <v>104</v>
      </c>
      <c r="E12" s="62" t="s">
        <v>105</v>
      </c>
      <c r="G12" s="85">
        <v>-499023</v>
      </c>
      <c r="H12" s="85"/>
      <c r="I12" s="85"/>
      <c r="J12" s="85"/>
      <c r="K12" s="71">
        <f>G12-I12</f>
        <v>-499023</v>
      </c>
      <c r="L12" s="85"/>
      <c r="M12" s="85"/>
      <c r="N12" s="71"/>
      <c r="O12" s="71">
        <f>K12-M12</f>
        <v>-499023</v>
      </c>
    </row>
    <row r="13" spans="1:15">
      <c r="A13" s="24"/>
      <c r="B13" s="24"/>
      <c r="G13" s="85"/>
      <c r="H13" s="85"/>
      <c r="I13" s="85"/>
      <c r="J13" s="85"/>
      <c r="K13" s="71"/>
      <c r="L13" s="85"/>
      <c r="M13" s="85"/>
      <c r="N13" s="71"/>
      <c r="O13" s="71"/>
    </row>
    <row r="14" spans="1:15">
      <c r="C14" s="62" t="s">
        <v>106</v>
      </c>
      <c r="I14" s="85"/>
    </row>
    <row r="15" spans="1:15">
      <c r="C15" s="62" t="s">
        <v>107</v>
      </c>
      <c r="E15" s="62" t="s">
        <v>108</v>
      </c>
      <c r="G15" s="63">
        <v>-234752746</v>
      </c>
      <c r="H15" s="63"/>
      <c r="I15" s="85"/>
      <c r="J15" s="63"/>
      <c r="K15" s="63">
        <f>G15+I15</f>
        <v>-234752746</v>
      </c>
      <c r="L15" s="63"/>
      <c r="M15" s="63">
        <v>-20568951</v>
      </c>
      <c r="N15" s="63"/>
      <c r="O15" s="63">
        <f>K15-M15</f>
        <v>-214183795</v>
      </c>
    </row>
    <row r="16" spans="1:15" s="75" customFormat="1">
      <c r="G16" s="74"/>
      <c r="H16" s="74"/>
      <c r="I16" s="359"/>
      <c r="J16" s="74"/>
      <c r="K16" s="74"/>
      <c r="L16" s="74"/>
      <c r="M16" s="74"/>
      <c r="N16" s="74"/>
      <c r="O16" s="74"/>
    </row>
    <row r="17" spans="1:15" s="75" customFormat="1">
      <c r="A17" s="62"/>
      <c r="B17" s="62"/>
      <c r="C17" s="62" t="s">
        <v>110</v>
      </c>
      <c r="D17" s="62"/>
      <c r="E17" s="62"/>
      <c r="F17" s="62"/>
      <c r="G17" s="62"/>
      <c r="H17" s="62"/>
      <c r="I17" s="85"/>
      <c r="J17" s="62"/>
      <c r="K17" s="62"/>
      <c r="L17" s="62"/>
      <c r="M17" s="62"/>
      <c r="N17" s="62"/>
      <c r="O17" s="62"/>
    </row>
    <row r="18" spans="1:15">
      <c r="C18" s="62" t="s">
        <v>111</v>
      </c>
      <c r="E18" s="62" t="s">
        <v>112</v>
      </c>
      <c r="G18" s="63">
        <v>-26814281</v>
      </c>
      <c r="H18" s="63"/>
      <c r="I18" s="85"/>
      <c r="J18" s="63"/>
      <c r="K18" s="63">
        <f>G18+I18</f>
        <v>-26814281</v>
      </c>
      <c r="L18" s="63"/>
      <c r="M18" s="63">
        <v>-1666731</v>
      </c>
      <c r="N18" s="63"/>
      <c r="O18" s="63">
        <f>K18-M18</f>
        <v>-25147550</v>
      </c>
    </row>
    <row r="19" spans="1:15" s="75" customFormat="1">
      <c r="G19" s="74"/>
      <c r="H19" s="74"/>
      <c r="I19" s="359"/>
      <c r="J19" s="74"/>
      <c r="K19" s="74"/>
      <c r="L19" s="74"/>
      <c r="M19" s="74"/>
      <c r="N19" s="74"/>
      <c r="O19" s="74"/>
    </row>
    <row r="20" spans="1:15" s="75" customFormat="1">
      <c r="A20" s="62"/>
      <c r="B20" s="62"/>
      <c r="C20" s="62" t="s">
        <v>114</v>
      </c>
      <c r="D20" s="62"/>
      <c r="E20" s="62"/>
      <c r="F20" s="62"/>
      <c r="G20" s="63"/>
      <c r="H20" s="63"/>
      <c r="I20" s="85"/>
      <c r="J20" s="63"/>
      <c r="K20" s="63"/>
      <c r="L20" s="63"/>
      <c r="M20" s="63"/>
      <c r="N20" s="63"/>
      <c r="O20" s="63"/>
    </row>
    <row r="21" spans="1:15" s="75" customFormat="1">
      <c r="A21" s="62"/>
      <c r="B21" s="62"/>
      <c r="C21" s="62" t="s">
        <v>115</v>
      </c>
      <c r="D21" s="62"/>
      <c r="E21" s="62" t="s">
        <v>116</v>
      </c>
      <c r="F21" s="62"/>
      <c r="G21" s="63">
        <v>41131900</v>
      </c>
      <c r="H21" s="63"/>
      <c r="I21" s="84">
        <f>620090--180651</f>
        <v>800741</v>
      </c>
      <c r="J21" s="63"/>
      <c r="K21" s="63">
        <f>G21+I21</f>
        <v>41932641</v>
      </c>
      <c r="L21" s="63"/>
      <c r="M21" s="63">
        <v>1789079</v>
      </c>
      <c r="N21" s="63"/>
      <c r="O21" s="63">
        <f>K21-M21</f>
        <v>40143562</v>
      </c>
    </row>
    <row r="23" spans="1:15">
      <c r="G23" s="63"/>
      <c r="H23" s="63"/>
      <c r="I23" s="85"/>
      <c r="J23" s="63"/>
      <c r="K23" s="63"/>
      <c r="L23" s="63"/>
      <c r="M23" s="63"/>
      <c r="N23" s="63"/>
      <c r="O23" s="63"/>
    </row>
    <row r="24" spans="1:15">
      <c r="A24" s="4" t="s">
        <v>0</v>
      </c>
      <c r="B24" s="4"/>
      <c r="C24" s="64"/>
      <c r="D24" s="64"/>
      <c r="E24" s="64"/>
      <c r="F24" s="64"/>
      <c r="G24" s="65"/>
      <c r="H24" s="65"/>
      <c r="I24" s="65"/>
      <c r="J24" s="65"/>
      <c r="K24" s="65"/>
      <c r="L24" s="65"/>
      <c r="M24" s="65"/>
      <c r="N24" s="65"/>
      <c r="O24" s="65"/>
    </row>
    <row r="25" spans="1:15">
      <c r="A25" s="4" t="s">
        <v>30</v>
      </c>
      <c r="B25" s="4"/>
      <c r="C25" s="64"/>
      <c r="D25" s="64"/>
      <c r="E25" s="64"/>
      <c r="F25" s="64"/>
      <c r="G25" s="65"/>
      <c r="H25" s="65"/>
      <c r="I25" s="65"/>
      <c r="J25" s="65"/>
      <c r="K25" s="65"/>
      <c r="L25" s="65"/>
      <c r="M25" s="65"/>
      <c r="N25" s="65"/>
      <c r="O25" s="65"/>
    </row>
    <row r="26" spans="1:15" s="75" customFormat="1">
      <c r="A26" s="4" t="s">
        <v>103</v>
      </c>
      <c r="B26" s="4"/>
      <c r="C26" s="64"/>
      <c r="D26" s="64"/>
      <c r="E26" s="64"/>
      <c r="F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1:15" s="75" customFormat="1">
      <c r="A27" s="4" t="s">
        <v>100</v>
      </c>
      <c r="B27" s="64"/>
      <c r="C27" s="64"/>
      <c r="D27" s="64"/>
      <c r="E27" s="64"/>
      <c r="F27" s="64"/>
      <c r="G27" s="65"/>
      <c r="H27" s="65"/>
      <c r="I27" s="65"/>
      <c r="J27" s="65"/>
      <c r="K27" s="65"/>
      <c r="L27" s="65"/>
      <c r="M27" s="65"/>
      <c r="N27" s="65"/>
      <c r="O27" s="65"/>
    </row>
    <row r="28" spans="1:15" s="75" customFormat="1">
      <c r="A28" s="4" t="s">
        <v>345</v>
      </c>
      <c r="B28" s="4"/>
      <c r="C28" s="64"/>
      <c r="D28" s="64"/>
      <c r="E28" s="64"/>
      <c r="F28" s="64"/>
      <c r="G28" s="65"/>
      <c r="H28" s="65"/>
      <c r="I28" s="65"/>
      <c r="J28" s="65"/>
      <c r="K28" s="65"/>
      <c r="L28" s="65"/>
      <c r="M28" s="65"/>
      <c r="N28" s="65"/>
      <c r="O28" s="65"/>
    </row>
    <row r="29" spans="1:15">
      <c r="A29" s="4"/>
      <c r="B29" s="4"/>
      <c r="C29" s="64"/>
      <c r="D29" s="64"/>
      <c r="E29" s="64"/>
      <c r="F29" s="64"/>
      <c r="G29" s="65"/>
      <c r="H29" s="65"/>
      <c r="I29" s="65"/>
      <c r="J29" s="65"/>
      <c r="K29" s="65"/>
      <c r="L29" s="65"/>
      <c r="M29" s="65"/>
      <c r="N29" s="65"/>
      <c r="O29" s="65"/>
    </row>
    <row r="30" spans="1:15">
      <c r="A30" s="24"/>
      <c r="B30" s="24"/>
      <c r="G30" s="63"/>
      <c r="H30" s="63"/>
      <c r="I30" s="63"/>
      <c r="J30" s="63"/>
      <c r="K30" s="63"/>
      <c r="L30" s="63"/>
      <c r="M30" s="63"/>
      <c r="N30" s="63"/>
      <c r="O30" s="63"/>
    </row>
    <row r="31" spans="1:15">
      <c r="A31" s="24"/>
      <c r="B31" s="24"/>
      <c r="E31" s="66" t="s">
        <v>32</v>
      </c>
      <c r="G31" s="67" t="s">
        <v>33</v>
      </c>
      <c r="H31" s="82"/>
      <c r="J31" s="82"/>
      <c r="L31" s="82"/>
      <c r="O31" s="66" t="s">
        <v>101</v>
      </c>
    </row>
    <row r="32" spans="1:15">
      <c r="A32" s="24" t="s">
        <v>35</v>
      </c>
      <c r="B32" s="24"/>
      <c r="E32" s="69" t="s">
        <v>36</v>
      </c>
      <c r="G32" s="70" t="s">
        <v>37</v>
      </c>
      <c r="H32" s="83"/>
      <c r="I32" s="69" t="s">
        <v>38</v>
      </c>
      <c r="J32" s="83"/>
      <c r="K32" s="69" t="s">
        <v>102</v>
      </c>
      <c r="L32" s="83"/>
      <c r="M32" s="69" t="s">
        <v>65</v>
      </c>
      <c r="O32" s="69" t="s">
        <v>1</v>
      </c>
    </row>
    <row r="33" spans="1:18">
      <c r="A33" s="24"/>
      <c r="B33" s="24" t="s">
        <v>103</v>
      </c>
      <c r="G33" s="84"/>
      <c r="H33" s="84"/>
      <c r="I33" s="84"/>
      <c r="J33" s="84"/>
      <c r="K33" s="84"/>
      <c r="L33" s="84"/>
      <c r="M33" s="84"/>
      <c r="N33" s="63"/>
    </row>
    <row r="34" spans="1:18">
      <c r="A34" s="24"/>
      <c r="B34" s="24"/>
      <c r="G34" s="84"/>
      <c r="H34" s="84"/>
      <c r="I34" s="84"/>
      <c r="J34" s="84"/>
      <c r="K34" s="84"/>
      <c r="L34" s="84"/>
      <c r="M34" s="84"/>
      <c r="N34" s="63"/>
    </row>
    <row r="35" spans="1:18">
      <c r="A35" s="24"/>
      <c r="B35" s="24"/>
      <c r="C35" s="62" t="s">
        <v>104</v>
      </c>
      <c r="E35" s="62" t="s">
        <v>105</v>
      </c>
      <c r="G35" s="85">
        <v>0</v>
      </c>
      <c r="H35" s="85"/>
      <c r="I35" s="85">
        <v>0</v>
      </c>
      <c r="J35" s="85"/>
      <c r="K35" s="71">
        <v>0</v>
      </c>
      <c r="L35" s="85"/>
      <c r="M35" s="85">
        <v>0</v>
      </c>
      <c r="N35" s="71"/>
      <c r="O35" s="71">
        <v>0</v>
      </c>
    </row>
    <row r="36" spans="1:18">
      <c r="A36" s="24"/>
      <c r="B36" s="24"/>
      <c r="G36" s="85"/>
      <c r="H36" s="85"/>
      <c r="I36" s="85"/>
      <c r="J36" s="85"/>
      <c r="K36" s="71"/>
      <c r="L36" s="85"/>
      <c r="M36" s="85"/>
      <c r="N36" s="71"/>
      <c r="O36" s="71"/>
    </row>
    <row r="37" spans="1:18">
      <c r="C37" s="62" t="s">
        <v>106</v>
      </c>
    </row>
    <row r="38" spans="1:18">
      <c r="C38" s="62" t="s">
        <v>107</v>
      </c>
      <c r="E38" s="62" t="s">
        <v>108</v>
      </c>
      <c r="G38" s="63">
        <v>-205365446</v>
      </c>
      <c r="H38" s="63"/>
      <c r="I38" s="63">
        <v>-9504532</v>
      </c>
      <c r="J38" s="63"/>
      <c r="K38" s="63">
        <v>-214869978</v>
      </c>
      <c r="L38" s="63"/>
      <c r="M38" s="63">
        <v>-20960222</v>
      </c>
      <c r="N38" s="63"/>
      <c r="O38" s="63">
        <v>-193909756</v>
      </c>
    </row>
    <row r="39" spans="1:18">
      <c r="C39" s="62" t="s">
        <v>109</v>
      </c>
      <c r="G39" s="74"/>
      <c r="H39" s="74"/>
      <c r="I39" s="74"/>
      <c r="J39" s="63"/>
      <c r="K39" s="63">
        <v>4237286</v>
      </c>
      <c r="L39" s="63"/>
      <c r="M39" s="63">
        <v>373482</v>
      </c>
      <c r="N39" s="63"/>
      <c r="O39" s="63">
        <v>3863804</v>
      </c>
    </row>
    <row r="40" spans="1:18">
      <c r="G40" s="74"/>
      <c r="H40" s="74"/>
      <c r="I40" s="74"/>
      <c r="J40" s="63"/>
      <c r="K40" s="72">
        <v>-210632692</v>
      </c>
      <c r="L40" s="63"/>
      <c r="M40" s="72">
        <v>-20586740</v>
      </c>
      <c r="N40" s="63"/>
      <c r="O40" s="72">
        <v>-190045952</v>
      </c>
    </row>
    <row r="41" spans="1:18">
      <c r="G41" s="63"/>
      <c r="H41" s="63"/>
      <c r="I41" s="63"/>
      <c r="J41" s="63"/>
      <c r="K41" s="63"/>
      <c r="L41" s="63"/>
      <c r="M41" s="63"/>
      <c r="N41" s="63"/>
      <c r="O41" s="63"/>
    </row>
    <row r="42" spans="1:18">
      <c r="C42" s="62" t="s">
        <v>110</v>
      </c>
    </row>
    <row r="43" spans="1:18">
      <c r="C43" s="62" t="s">
        <v>111</v>
      </c>
      <c r="E43" s="62" t="s">
        <v>112</v>
      </c>
      <c r="G43" s="63">
        <v>-21742674</v>
      </c>
      <c r="H43" s="63"/>
      <c r="I43" s="63">
        <v>-5800730</v>
      </c>
      <c r="J43" s="63"/>
      <c r="K43" s="63">
        <v>-27543404</v>
      </c>
      <c r="L43" s="63"/>
      <c r="M43" s="63">
        <v>-1752772</v>
      </c>
      <c r="N43" s="63"/>
      <c r="O43" s="63">
        <v>-25790632</v>
      </c>
    </row>
    <row r="44" spans="1:18">
      <c r="C44" s="62" t="s">
        <v>113</v>
      </c>
      <c r="G44" s="74"/>
      <c r="H44" s="74"/>
      <c r="I44" s="74"/>
      <c r="J44" s="63"/>
      <c r="K44" s="63">
        <v>54136</v>
      </c>
      <c r="L44" s="63"/>
      <c r="M44" s="63">
        <v>-6515</v>
      </c>
      <c r="N44" s="63"/>
      <c r="O44" s="63">
        <v>60651</v>
      </c>
    </row>
    <row r="45" spans="1:18">
      <c r="G45" s="74"/>
      <c r="H45" s="74"/>
      <c r="I45" s="74"/>
      <c r="J45" s="63"/>
      <c r="K45" s="72">
        <v>-27489268</v>
      </c>
      <c r="L45" s="63"/>
      <c r="M45" s="72">
        <v>-1759287</v>
      </c>
      <c r="N45" s="63"/>
      <c r="O45" s="72">
        <v>-25729981</v>
      </c>
    </row>
    <row r="46" spans="1:18">
      <c r="G46" s="63"/>
      <c r="H46" s="63"/>
      <c r="I46" s="63"/>
      <c r="J46" s="63"/>
      <c r="K46" s="63"/>
      <c r="L46" s="63"/>
      <c r="M46" s="63"/>
      <c r="N46" s="63"/>
      <c r="O46" s="63"/>
    </row>
    <row r="47" spans="1:18">
      <c r="C47" s="62" t="s">
        <v>114</v>
      </c>
      <c r="G47" s="63"/>
      <c r="H47" s="63"/>
      <c r="I47" s="63"/>
      <c r="J47" s="63"/>
      <c r="K47" s="63"/>
      <c r="L47" s="63"/>
      <c r="M47" s="63"/>
      <c r="N47" s="63"/>
      <c r="O47" s="63"/>
      <c r="R47" s="63"/>
    </row>
    <row r="48" spans="1:18">
      <c r="C48" s="62" t="s">
        <v>115</v>
      </c>
      <c r="E48" s="62" t="s">
        <v>116</v>
      </c>
      <c r="G48" s="63">
        <v>22795689</v>
      </c>
      <c r="H48" s="63"/>
      <c r="I48" s="63">
        <v>707956</v>
      </c>
      <c r="J48" s="63"/>
      <c r="K48" s="63">
        <v>23503645</v>
      </c>
      <c r="L48" s="63"/>
      <c r="M48" s="63">
        <v>1592034</v>
      </c>
      <c r="N48" s="63"/>
      <c r="O48" s="63">
        <v>21911611</v>
      </c>
    </row>
    <row r="49" spans="1:15">
      <c r="C49" s="62" t="s">
        <v>117</v>
      </c>
      <c r="G49" s="63"/>
      <c r="H49" s="63"/>
      <c r="I49" s="63"/>
      <c r="J49" s="63"/>
      <c r="K49" s="63">
        <v>-45559</v>
      </c>
      <c r="L49" s="63"/>
      <c r="M49" s="63">
        <v>45361</v>
      </c>
      <c r="N49" s="63"/>
      <c r="O49" s="63">
        <v>-90920</v>
      </c>
    </row>
    <row r="50" spans="1:15">
      <c r="G50" s="74"/>
      <c r="H50" s="74"/>
      <c r="I50" s="74"/>
      <c r="J50" s="63"/>
      <c r="K50" s="72">
        <v>23458086</v>
      </c>
      <c r="L50" s="63"/>
      <c r="M50" s="72">
        <v>1637395</v>
      </c>
      <c r="N50" s="63"/>
      <c r="O50" s="72">
        <v>21820691</v>
      </c>
    </row>
    <row r="51" spans="1:15">
      <c r="G51" s="74"/>
      <c r="H51" s="74"/>
      <c r="I51" s="74"/>
      <c r="J51" s="63"/>
      <c r="K51" s="74"/>
      <c r="L51" s="63"/>
      <c r="M51" s="74"/>
      <c r="N51" s="63"/>
      <c r="O51" s="74"/>
    </row>
    <row r="52" spans="1:15">
      <c r="A52" s="62" t="s">
        <v>118</v>
      </c>
    </row>
  </sheetData>
  <printOptions horizontalCentered="1"/>
  <pageMargins left="0.22" right="0.17" top="1" bottom="0.28000000000000003" header="0.3" footer="0.3"/>
  <pageSetup orientation="landscape" r:id="rId1"/>
  <headerFooter>
    <oddFooter>&amp;C&amp;F - &amp;A
Page &amp;P of &amp;N</oddFooter>
  </headerFooter>
  <rowBreaks count="1" manualBreakCount="1">
    <brk id="23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/>
  </sheetViews>
  <sheetFormatPr defaultRowHeight="12.75"/>
  <cols>
    <col min="1" max="1" width="2.7109375" style="62" customWidth="1"/>
    <col min="2" max="2" width="32.28515625" style="62" customWidth="1"/>
    <col min="3" max="3" width="3.7109375" style="62" customWidth="1"/>
    <col min="4" max="4" width="14.42578125" style="62" bestFit="1" customWidth="1"/>
    <col min="5" max="5" width="2.7109375" style="62" customWidth="1"/>
    <col min="6" max="6" width="14.42578125" style="62" bestFit="1" customWidth="1"/>
    <col min="7" max="7" width="2.7109375" style="62" customWidth="1"/>
    <col min="8" max="8" width="14.42578125" style="62" bestFit="1" customWidth="1"/>
    <col min="9" max="9" width="2.7109375" style="62" customWidth="1"/>
    <col min="10" max="11" width="11.7109375" style="62" bestFit="1" customWidth="1"/>
    <col min="12" max="12" width="2.7109375" style="62" customWidth="1"/>
    <col min="13" max="13" width="10.28515625" style="62" bestFit="1" customWidth="1"/>
    <col min="14" max="16384" width="9.140625" style="62"/>
  </cols>
  <sheetData>
    <row r="1" spans="1:10">
      <c r="A1" s="4" t="s">
        <v>0</v>
      </c>
      <c r="B1" s="4"/>
      <c r="C1" s="4"/>
      <c r="D1" s="64"/>
      <c r="E1" s="64"/>
      <c r="F1" s="64"/>
      <c r="G1" s="64"/>
      <c r="H1" s="64"/>
      <c r="I1" s="64"/>
      <c r="J1" s="64"/>
    </row>
    <row r="2" spans="1:10">
      <c r="A2" s="4" t="s">
        <v>60</v>
      </c>
      <c r="B2" s="4"/>
      <c r="C2" s="4"/>
      <c r="D2" s="64"/>
      <c r="E2" s="64"/>
      <c r="F2" s="64"/>
      <c r="G2" s="64"/>
      <c r="H2" s="64"/>
      <c r="I2" s="64"/>
      <c r="J2" s="64"/>
    </row>
    <row r="3" spans="1:10">
      <c r="A3" s="4" t="s">
        <v>141</v>
      </c>
      <c r="B3" s="4"/>
      <c r="C3" s="4"/>
      <c r="D3" s="64"/>
      <c r="E3" s="64"/>
      <c r="F3" s="64"/>
      <c r="G3" s="64"/>
      <c r="H3" s="64"/>
      <c r="I3" s="64"/>
      <c r="J3" s="64"/>
    </row>
    <row r="4" spans="1:10">
      <c r="A4" s="4" t="s">
        <v>123</v>
      </c>
      <c r="B4" s="4"/>
      <c r="C4" s="4"/>
      <c r="D4" s="64"/>
      <c r="E4" s="64"/>
      <c r="F4" s="64"/>
      <c r="G4" s="64"/>
      <c r="H4" s="64"/>
      <c r="I4" s="64"/>
      <c r="J4" s="64"/>
    </row>
    <row r="5" spans="1:10">
      <c r="A5" s="4" t="s">
        <v>377</v>
      </c>
      <c r="B5" s="4"/>
      <c r="C5" s="4"/>
      <c r="D5" s="64"/>
      <c r="E5" s="64"/>
      <c r="F5" s="64"/>
      <c r="G5" s="64"/>
      <c r="H5" s="64"/>
      <c r="I5" s="64"/>
      <c r="J5" s="64"/>
    </row>
    <row r="6" spans="1:10">
      <c r="A6" s="4"/>
      <c r="B6" s="4"/>
      <c r="C6" s="4"/>
      <c r="D6" s="64"/>
      <c r="E6" s="64"/>
      <c r="F6" s="64"/>
      <c r="G6" s="64"/>
      <c r="H6" s="64"/>
      <c r="I6" s="64"/>
      <c r="J6" s="64"/>
    </row>
    <row r="7" spans="1:10">
      <c r="A7" s="64"/>
      <c r="B7" s="64"/>
      <c r="C7" s="64"/>
      <c r="D7" s="64"/>
      <c r="E7" s="64"/>
      <c r="F7" s="64"/>
      <c r="G7" s="64"/>
      <c r="H7" s="64"/>
      <c r="I7" s="64"/>
      <c r="J7" s="64"/>
    </row>
    <row r="9" spans="1:10">
      <c r="A9" s="277" t="s">
        <v>344</v>
      </c>
      <c r="D9" s="279" t="s">
        <v>346</v>
      </c>
      <c r="E9" s="86"/>
      <c r="F9" s="86"/>
      <c r="H9" s="329" t="s">
        <v>391</v>
      </c>
      <c r="I9" s="86"/>
      <c r="J9" s="86"/>
    </row>
    <row r="10" spans="1:10">
      <c r="B10" s="62" t="s">
        <v>124</v>
      </c>
      <c r="D10" s="71">
        <v>19057339</v>
      </c>
      <c r="H10" s="167">
        <v>17336690</v>
      </c>
    </row>
    <row r="11" spans="1:10">
      <c r="B11" s="62" t="s">
        <v>125</v>
      </c>
      <c r="D11" s="63">
        <v>-251453</v>
      </c>
      <c r="H11" s="73">
        <v>-214431</v>
      </c>
    </row>
    <row r="12" spans="1:10">
      <c r="D12" s="72">
        <v>19308792</v>
      </c>
      <c r="H12" s="339">
        <f>H10-H11</f>
        <v>17551121</v>
      </c>
    </row>
    <row r="13" spans="1:10">
      <c r="H13" s="340"/>
    </row>
    <row r="14" spans="1:10">
      <c r="B14" s="283" t="s">
        <v>348</v>
      </c>
      <c r="D14" s="63">
        <v>15221043</v>
      </c>
      <c r="F14" s="87">
        <v>0.788296</v>
      </c>
      <c r="H14" s="73">
        <v>13266709</v>
      </c>
      <c r="J14" s="88">
        <f>ROUND(H14/$H$18,7)-0.0000001</f>
        <v>0.7558895000000001</v>
      </c>
    </row>
    <row r="15" spans="1:10">
      <c r="B15" s="283" t="s">
        <v>361</v>
      </c>
      <c r="D15" s="63">
        <v>2627737</v>
      </c>
      <c r="F15" s="87">
        <v>0.13609019999999999</v>
      </c>
      <c r="H15" s="73">
        <v>2874413</v>
      </c>
      <c r="J15" s="88">
        <f>ROUND(H15/$H$18,7)</f>
        <v>0.1637738</v>
      </c>
    </row>
    <row r="16" spans="1:10">
      <c r="B16" s="283" t="s">
        <v>362</v>
      </c>
      <c r="D16" s="63">
        <v>335632</v>
      </c>
      <c r="F16" s="87">
        <v>1.73823E-2</v>
      </c>
      <c r="H16" s="73">
        <v>91892</v>
      </c>
      <c r="J16" s="88">
        <f>ROUND(H16/$H$18,7)</f>
        <v>5.2357000000000002E-3</v>
      </c>
    </row>
    <row r="17" spans="1:10">
      <c r="B17" s="283" t="s">
        <v>363</v>
      </c>
      <c r="D17" s="63">
        <v>1124380</v>
      </c>
      <c r="F17" s="87">
        <v>5.8231499999999999E-2</v>
      </c>
      <c r="H17" s="73">
        <v>1318107</v>
      </c>
      <c r="J17" s="88">
        <f>ROUND(H17/$H$18,7)</f>
        <v>7.5101000000000001E-2</v>
      </c>
    </row>
    <row r="18" spans="1:10">
      <c r="D18" s="72">
        <v>19308792</v>
      </c>
      <c r="F18" s="89">
        <v>1</v>
      </c>
      <c r="H18" s="72">
        <f>SUM(H14:H17)</f>
        <v>17551121</v>
      </c>
      <c r="J18" s="89">
        <f>SUM(J14:J17)</f>
        <v>1</v>
      </c>
    </row>
    <row r="19" spans="1:10">
      <c r="D19" s="74"/>
      <c r="E19" s="75"/>
      <c r="F19" s="75"/>
      <c r="G19" s="75"/>
      <c r="H19" s="75"/>
      <c r="I19" s="75"/>
      <c r="J19" s="75"/>
    </row>
    <row r="21" spans="1:10">
      <c r="D21" s="279">
        <v>2015</v>
      </c>
      <c r="E21" s="86"/>
      <c r="F21" s="86"/>
      <c r="G21" s="75"/>
      <c r="H21" s="279">
        <v>2016</v>
      </c>
      <c r="I21" s="86"/>
      <c r="J21" s="86"/>
    </row>
    <row r="22" spans="1:10">
      <c r="A22" s="64"/>
      <c r="B22" s="64"/>
      <c r="D22" s="66" t="s">
        <v>2</v>
      </c>
      <c r="F22" s="66" t="s">
        <v>127</v>
      </c>
      <c r="G22" s="75"/>
      <c r="H22" s="66" t="s">
        <v>2</v>
      </c>
      <c r="J22" s="66" t="s">
        <v>127</v>
      </c>
    </row>
    <row r="23" spans="1:10">
      <c r="A23" s="161" t="s">
        <v>191</v>
      </c>
      <c r="B23" s="86"/>
      <c r="D23" s="69" t="s">
        <v>5</v>
      </c>
      <c r="F23" s="69" t="s">
        <v>7</v>
      </c>
      <c r="G23" s="75"/>
      <c r="H23" s="69" t="s">
        <v>5</v>
      </c>
      <c r="J23" s="69" t="s">
        <v>7</v>
      </c>
    </row>
    <row r="24" spans="1:10">
      <c r="A24" s="330" t="s">
        <v>392</v>
      </c>
      <c r="B24" s="90"/>
      <c r="D24" s="91">
        <v>14449654.149999999</v>
      </c>
      <c r="E24" s="91"/>
      <c r="F24" s="71">
        <v>50041</v>
      </c>
      <c r="G24" s="92"/>
      <c r="H24" s="91">
        <v>14159371.029999999</v>
      </c>
      <c r="I24" s="71"/>
      <c r="J24" s="71">
        <f>F36</f>
        <v>246122</v>
      </c>
    </row>
    <row r="25" spans="1:10">
      <c r="A25" s="330" t="s">
        <v>393</v>
      </c>
      <c r="B25" s="90"/>
      <c r="D25" s="93">
        <v>13321610.510000002</v>
      </c>
      <c r="E25" s="93"/>
      <c r="F25" s="63">
        <v>231560</v>
      </c>
      <c r="G25" s="94"/>
      <c r="H25" s="93">
        <v>12893745.449999999</v>
      </c>
      <c r="I25" s="93"/>
      <c r="J25" s="63">
        <f t="shared" ref="J25:J36" si="0">ROUND(H25*$J$16,0)</f>
        <v>67508</v>
      </c>
    </row>
    <row r="26" spans="1:10">
      <c r="A26" s="62" t="s">
        <v>11</v>
      </c>
      <c r="D26" s="93">
        <v>13469360.800000001</v>
      </c>
      <c r="E26" s="93"/>
      <c r="F26" s="63">
        <v>234128</v>
      </c>
      <c r="G26" s="94"/>
      <c r="H26" s="93">
        <v>12915639.43</v>
      </c>
      <c r="I26" s="93"/>
      <c r="J26" s="63">
        <f t="shared" si="0"/>
        <v>67622</v>
      </c>
    </row>
    <row r="27" spans="1:10">
      <c r="A27" s="62" t="s">
        <v>12</v>
      </c>
      <c r="D27" s="93">
        <v>13863501.720000001</v>
      </c>
      <c r="E27" s="93"/>
      <c r="F27" s="63">
        <v>240980</v>
      </c>
      <c r="G27" s="94"/>
      <c r="H27" s="93">
        <v>13296269.5</v>
      </c>
      <c r="I27" s="93"/>
      <c r="J27" s="63">
        <f t="shared" si="0"/>
        <v>69615</v>
      </c>
    </row>
    <row r="28" spans="1:10">
      <c r="A28" s="62" t="s">
        <v>13</v>
      </c>
      <c r="D28" s="93">
        <v>14073435.52</v>
      </c>
      <c r="E28" s="93"/>
      <c r="F28" s="63">
        <v>244629</v>
      </c>
      <c r="G28" s="94"/>
      <c r="H28" s="93">
        <v>13853979.57</v>
      </c>
      <c r="I28" s="93"/>
      <c r="J28" s="63">
        <f t="shared" si="0"/>
        <v>72535</v>
      </c>
    </row>
    <row r="29" spans="1:10">
      <c r="A29" s="62" t="s">
        <v>14</v>
      </c>
      <c r="D29" s="93">
        <v>14728262.570000002</v>
      </c>
      <c r="E29" s="93"/>
      <c r="F29" s="63">
        <v>256011</v>
      </c>
      <c r="G29" s="94"/>
      <c r="H29" s="93">
        <v>13865971.549999999</v>
      </c>
      <c r="I29" s="93"/>
      <c r="J29" s="63">
        <f t="shared" si="0"/>
        <v>72598</v>
      </c>
    </row>
    <row r="30" spans="1:10">
      <c r="A30" s="62" t="s">
        <v>15</v>
      </c>
      <c r="D30" s="93">
        <v>15748306.07</v>
      </c>
      <c r="E30" s="93"/>
      <c r="F30" s="63">
        <v>273742</v>
      </c>
      <c r="G30" s="94"/>
      <c r="H30" s="93">
        <v>14330840.9</v>
      </c>
      <c r="I30" s="93"/>
      <c r="J30" s="63">
        <f t="shared" si="0"/>
        <v>75032</v>
      </c>
    </row>
    <row r="31" spans="1:10">
      <c r="A31" s="62" t="s">
        <v>16</v>
      </c>
      <c r="D31" s="93">
        <v>16985949.060000002</v>
      </c>
      <c r="E31" s="93"/>
      <c r="F31" s="63">
        <v>295255</v>
      </c>
      <c r="G31" s="94"/>
      <c r="H31" s="93">
        <v>14681733.9</v>
      </c>
      <c r="I31" s="93"/>
      <c r="J31" s="63">
        <f t="shared" si="0"/>
        <v>76869</v>
      </c>
    </row>
    <row r="32" spans="1:10">
      <c r="A32" s="62" t="s">
        <v>17</v>
      </c>
      <c r="D32" s="93">
        <v>17296980.75</v>
      </c>
      <c r="E32" s="93"/>
      <c r="F32" s="63">
        <v>300661</v>
      </c>
      <c r="G32" s="94"/>
      <c r="H32" s="93">
        <v>14446689.189999999</v>
      </c>
      <c r="I32" s="93"/>
      <c r="J32" s="63">
        <f t="shared" si="0"/>
        <v>75639</v>
      </c>
    </row>
    <row r="33" spans="1:10">
      <c r="A33" s="62" t="s">
        <v>18</v>
      </c>
      <c r="D33" s="93">
        <v>18574942.080000002</v>
      </c>
      <c r="E33" s="93"/>
      <c r="F33" s="63">
        <v>322875</v>
      </c>
      <c r="G33" s="94"/>
      <c r="H33" s="93">
        <v>14603511.249999998</v>
      </c>
      <c r="I33" s="93"/>
      <c r="J33" s="63">
        <f t="shared" si="0"/>
        <v>76460</v>
      </c>
    </row>
    <row r="34" spans="1:10">
      <c r="A34" s="62" t="s">
        <v>19</v>
      </c>
      <c r="D34" s="93">
        <v>17920047.75</v>
      </c>
      <c r="E34" s="93"/>
      <c r="F34" s="63">
        <v>311492</v>
      </c>
      <c r="G34" s="94"/>
      <c r="H34" s="93">
        <v>13382138.220000001</v>
      </c>
      <c r="I34" s="93"/>
      <c r="J34" s="63">
        <f t="shared" si="0"/>
        <v>70065</v>
      </c>
    </row>
    <row r="35" spans="1:10">
      <c r="A35" s="62" t="s">
        <v>20</v>
      </c>
      <c r="D35" s="93">
        <v>17570988.109999999</v>
      </c>
      <c r="E35" s="93"/>
      <c r="F35" s="63">
        <v>305424</v>
      </c>
      <c r="G35" s="94"/>
      <c r="H35" s="93">
        <v>12947786.780000001</v>
      </c>
      <c r="I35" s="93"/>
      <c r="J35" s="63">
        <f t="shared" si="0"/>
        <v>67791</v>
      </c>
    </row>
    <row r="36" spans="1:10">
      <c r="A36" s="62" t="s">
        <v>21</v>
      </c>
      <c r="D36" s="93">
        <v>14159371.029999999</v>
      </c>
      <c r="E36" s="93"/>
      <c r="F36" s="63">
        <v>246122</v>
      </c>
      <c r="G36" s="94"/>
      <c r="H36" s="93">
        <v>12536172.960000001</v>
      </c>
      <c r="I36" s="93"/>
      <c r="J36" s="63">
        <f t="shared" si="0"/>
        <v>65636</v>
      </c>
    </row>
    <row r="37" spans="1:10">
      <c r="B37" s="62" t="s">
        <v>128</v>
      </c>
      <c r="D37" s="63"/>
      <c r="E37" s="63"/>
      <c r="F37" s="63"/>
      <c r="G37" s="94"/>
      <c r="H37" s="94"/>
      <c r="I37" s="94"/>
      <c r="J37" s="78">
        <f>ROUND(AVERAGE(J24:J36),0)</f>
        <v>84884</v>
      </c>
    </row>
  </sheetData>
  <printOptions horizontalCentered="1"/>
  <pageMargins left="0.17" right="0.19" top="1" bottom="0.6" header="0.3" footer="0.3"/>
  <pageSetup orientation="portrait" r:id="rId1"/>
  <headerFooter>
    <oddFooter>&amp;C&amp;F - &amp;A
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workbookViewId="0"/>
  </sheetViews>
  <sheetFormatPr defaultRowHeight="12.75"/>
  <cols>
    <col min="1" max="1" width="26.7109375" style="97" customWidth="1"/>
    <col min="2" max="2" width="7.85546875" style="97" bestFit="1" customWidth="1"/>
    <col min="3" max="3" width="2.7109375" style="97" customWidth="1"/>
    <col min="4" max="4" width="9.7109375" style="97" bestFit="1" customWidth="1"/>
    <col min="5" max="5" width="2.7109375" style="97" customWidth="1"/>
    <col min="6" max="6" width="10.7109375" style="97" bestFit="1" customWidth="1"/>
    <col min="7" max="13" width="10.7109375" style="97" customWidth="1"/>
    <col min="14" max="16" width="10.7109375" style="97" bestFit="1" customWidth="1"/>
    <col min="17" max="17" width="10.42578125" style="97" customWidth="1"/>
    <col min="18" max="18" width="9.7109375" style="97" bestFit="1" customWidth="1"/>
    <col min="19" max="16384" width="9.140625" style="97"/>
  </cols>
  <sheetData>
    <row r="1" spans="1:19">
      <c r="A1" s="98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129</v>
      </c>
      <c r="O1" s="4"/>
      <c r="P1" s="4"/>
      <c r="Q1" s="4"/>
      <c r="R1" s="4"/>
    </row>
    <row r="2" spans="1:19">
      <c r="A2" s="98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129</v>
      </c>
      <c r="O2" s="4"/>
      <c r="P2" s="4"/>
      <c r="Q2" s="4"/>
      <c r="R2" s="4"/>
    </row>
    <row r="3" spans="1:19">
      <c r="A3" s="98" t="s">
        <v>141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129</v>
      </c>
      <c r="O3" s="4"/>
      <c r="P3" s="4"/>
      <c r="Q3" s="4"/>
      <c r="R3" s="4"/>
    </row>
    <row r="4" spans="1:19">
      <c r="A4" s="98" t="s">
        <v>130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129</v>
      </c>
      <c r="O4" s="4"/>
      <c r="P4" s="4"/>
      <c r="Q4" s="4"/>
      <c r="R4" s="4"/>
    </row>
    <row r="5" spans="1:19">
      <c r="A5" s="98" t="str">
        <f>'Materials &amp; Supplies'!A5</f>
        <v>December 2015 through December 2016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129</v>
      </c>
      <c r="O5" s="4"/>
      <c r="P5" s="4"/>
      <c r="Q5" s="4"/>
      <c r="R5" s="4"/>
    </row>
    <row r="6" spans="1:19">
      <c r="A6" s="96"/>
      <c r="F6" s="4"/>
      <c r="N6" s="97" t="s">
        <v>129</v>
      </c>
    </row>
    <row r="7" spans="1:19">
      <c r="F7" s="4"/>
    </row>
    <row r="8" spans="1:19" ht="25.5">
      <c r="B8" s="95" t="s">
        <v>131</v>
      </c>
      <c r="D8" s="99" t="s">
        <v>132</v>
      </c>
      <c r="E8" s="100"/>
      <c r="F8" s="280" t="s">
        <v>347</v>
      </c>
      <c r="G8" s="326" t="s">
        <v>376</v>
      </c>
      <c r="H8" s="326" t="s">
        <v>380</v>
      </c>
      <c r="I8" s="326" t="s">
        <v>381</v>
      </c>
      <c r="J8" s="326" t="s">
        <v>382</v>
      </c>
      <c r="K8" s="326" t="s">
        <v>383</v>
      </c>
      <c r="L8" s="326" t="s">
        <v>384</v>
      </c>
      <c r="M8" s="326" t="s">
        <v>385</v>
      </c>
      <c r="N8" s="326" t="s">
        <v>386</v>
      </c>
      <c r="O8" s="326" t="s">
        <v>387</v>
      </c>
      <c r="P8" s="326" t="s">
        <v>388</v>
      </c>
      <c r="Q8" s="326" t="s">
        <v>389</v>
      </c>
      <c r="R8" s="326" t="s">
        <v>390</v>
      </c>
    </row>
    <row r="9" spans="1:19">
      <c r="A9" s="97" t="s">
        <v>133</v>
      </c>
      <c r="B9" s="97">
        <v>1655</v>
      </c>
      <c r="D9" s="101"/>
      <c r="E9" s="101"/>
      <c r="F9" s="327">
        <v>354816</v>
      </c>
      <c r="G9" s="102">
        <v>2998254</v>
      </c>
      <c r="H9" s="102">
        <v>2693182</v>
      </c>
      <c r="I9" s="102">
        <v>2376539</v>
      </c>
      <c r="J9" s="102">
        <v>2391255</v>
      </c>
      <c r="K9" s="102">
        <v>2096012</v>
      </c>
      <c r="L9" s="102">
        <v>1798903</v>
      </c>
      <c r="M9" s="102">
        <v>1509380</v>
      </c>
      <c r="N9" s="102">
        <v>1210283</v>
      </c>
      <c r="O9" s="102">
        <v>915088</v>
      </c>
      <c r="P9" s="102">
        <v>619821</v>
      </c>
      <c r="Q9" s="102">
        <v>689796</v>
      </c>
      <c r="R9" s="102">
        <v>418304</v>
      </c>
    </row>
    <row r="10" spans="1:19">
      <c r="A10" s="97" t="s">
        <v>134</v>
      </c>
      <c r="B10" s="97">
        <v>1656</v>
      </c>
      <c r="D10" s="103"/>
      <c r="E10" s="103"/>
      <c r="F10" s="328">
        <v>172563</v>
      </c>
      <c r="G10" s="104">
        <v>172563</v>
      </c>
      <c r="H10" s="104">
        <v>143528</v>
      </c>
      <c r="I10" s="104">
        <v>143528</v>
      </c>
      <c r="J10" s="104">
        <v>139986</v>
      </c>
      <c r="K10" s="104">
        <v>135776</v>
      </c>
      <c r="L10" s="104">
        <v>116380</v>
      </c>
      <c r="M10" s="104">
        <v>108063</v>
      </c>
      <c r="N10" s="104">
        <v>100239</v>
      </c>
      <c r="O10" s="104">
        <v>98866</v>
      </c>
      <c r="P10" s="104">
        <v>98867</v>
      </c>
      <c r="Q10" s="104">
        <v>80838</v>
      </c>
      <c r="R10" s="104">
        <v>80838</v>
      </c>
    </row>
    <row r="11" spans="1:19">
      <c r="A11" s="97" t="s">
        <v>135</v>
      </c>
      <c r="B11" s="97">
        <v>1658</v>
      </c>
      <c r="D11" s="103"/>
      <c r="E11" s="103"/>
      <c r="F11" s="328">
        <v>3134662</v>
      </c>
      <c r="G11" s="104"/>
      <c r="H11" s="104"/>
      <c r="I11" s="104"/>
      <c r="J11" s="104"/>
      <c r="K11" s="104"/>
      <c r="L11" s="104"/>
      <c r="M11" s="104">
        <v>3095581</v>
      </c>
      <c r="N11" s="104">
        <v>6339803</v>
      </c>
      <c r="O11" s="104">
        <v>9224523</v>
      </c>
      <c r="P11" s="104">
        <v>9804152</v>
      </c>
      <c r="Q11" s="104">
        <v>7805258</v>
      </c>
      <c r="R11" s="104">
        <v>3581682</v>
      </c>
    </row>
    <row r="12" spans="1:19">
      <c r="A12" s="97" t="s">
        <v>136</v>
      </c>
      <c r="B12" s="97">
        <v>1659</v>
      </c>
      <c r="D12" s="103"/>
      <c r="E12" s="104"/>
      <c r="F12" s="328">
        <v>2009039</v>
      </c>
      <c r="G12" s="104">
        <v>1476503</v>
      </c>
      <c r="H12" s="104">
        <v>1242364</v>
      </c>
      <c r="I12" s="104">
        <v>1137630</v>
      </c>
      <c r="J12" s="104">
        <v>1104689</v>
      </c>
      <c r="K12" s="104">
        <v>1168137</v>
      </c>
      <c r="L12" s="104">
        <v>1259013</v>
      </c>
      <c r="M12" s="104">
        <v>1311232</v>
      </c>
      <c r="N12" s="104">
        <v>1376108</v>
      </c>
      <c r="O12" s="104">
        <v>1737061</v>
      </c>
      <c r="P12" s="104">
        <v>1495081</v>
      </c>
      <c r="Q12" s="104">
        <v>1654554</v>
      </c>
      <c r="R12" s="104">
        <v>1855231</v>
      </c>
    </row>
    <row r="13" spans="1:19">
      <c r="D13" s="103"/>
      <c r="E13" s="104"/>
      <c r="F13" s="105">
        <v>5671080</v>
      </c>
      <c r="G13" s="105">
        <f t="shared" ref="G13:R13" si="0">SUM(G9:G12)</f>
        <v>4647320</v>
      </c>
      <c r="H13" s="105">
        <f t="shared" si="0"/>
        <v>4079074</v>
      </c>
      <c r="I13" s="105">
        <f t="shared" si="0"/>
        <v>3657697</v>
      </c>
      <c r="J13" s="105">
        <f t="shared" si="0"/>
        <v>3635930</v>
      </c>
      <c r="K13" s="105">
        <f t="shared" si="0"/>
        <v>3399925</v>
      </c>
      <c r="L13" s="105">
        <f t="shared" si="0"/>
        <v>3174296</v>
      </c>
      <c r="M13" s="105">
        <f t="shared" si="0"/>
        <v>6024256</v>
      </c>
      <c r="N13" s="105">
        <f t="shared" si="0"/>
        <v>9026433</v>
      </c>
      <c r="O13" s="105">
        <f t="shared" si="0"/>
        <v>11975538</v>
      </c>
      <c r="P13" s="105">
        <f t="shared" si="0"/>
        <v>12017921</v>
      </c>
      <c r="Q13" s="105">
        <f t="shared" si="0"/>
        <v>10230446</v>
      </c>
      <c r="R13" s="105">
        <f t="shared" si="0"/>
        <v>5936055</v>
      </c>
      <c r="S13" s="106"/>
    </row>
    <row r="14" spans="1:19">
      <c r="D14" s="107"/>
    </row>
    <row r="15" spans="1:19">
      <c r="A15" s="97" t="s">
        <v>137</v>
      </c>
      <c r="D15" s="108"/>
    </row>
    <row r="16" spans="1:19">
      <c r="A16" s="109" t="str">
        <f>A11</f>
        <v>Gas Demand Charges</v>
      </c>
      <c r="B16" s="97">
        <f>B11</f>
        <v>1658</v>
      </c>
      <c r="D16" s="103"/>
      <c r="F16" s="106">
        <v>3134662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3095581</v>
      </c>
      <c r="N16" s="106">
        <v>6339803</v>
      </c>
      <c r="O16" s="106">
        <v>9224523</v>
      </c>
      <c r="P16" s="106">
        <v>9804152</v>
      </c>
      <c r="Q16" s="106">
        <v>7805258</v>
      </c>
      <c r="R16" s="106">
        <v>3581682</v>
      </c>
    </row>
    <row r="17" spans="1:18">
      <c r="A17" s="265" t="s">
        <v>336</v>
      </c>
      <c r="D17" s="108"/>
    </row>
    <row r="18" spans="1:18">
      <c r="A18" s="97" t="s">
        <v>138</v>
      </c>
      <c r="B18" s="97">
        <v>1659</v>
      </c>
      <c r="D18" s="103"/>
      <c r="F18" s="106">
        <v>1196213</v>
      </c>
      <c r="G18" s="106">
        <v>806151</v>
      </c>
      <c r="H18" s="106">
        <v>605778</v>
      </c>
      <c r="I18" s="106">
        <v>536404</v>
      </c>
      <c r="J18" s="106">
        <v>531421</v>
      </c>
      <c r="K18" s="106">
        <v>628145</v>
      </c>
      <c r="L18" s="106">
        <v>713828</v>
      </c>
      <c r="M18" s="106">
        <v>820720</v>
      </c>
      <c r="N18" s="106">
        <v>916729</v>
      </c>
      <c r="O18" s="106">
        <v>992295</v>
      </c>
      <c r="P18" s="106">
        <v>1037393</v>
      </c>
      <c r="Q18" s="106">
        <v>1005064</v>
      </c>
      <c r="R18" s="106">
        <v>727139</v>
      </c>
    </row>
    <row r="19" spans="1:18">
      <c r="A19" s="109" t="s">
        <v>139</v>
      </c>
      <c r="D19" s="103"/>
      <c r="E19" s="108"/>
      <c r="F19" s="116">
        <v>13269</v>
      </c>
      <c r="G19" s="116">
        <v>140829</v>
      </c>
      <c r="H19" s="116">
        <v>126621</v>
      </c>
      <c r="I19" s="116">
        <v>112459</v>
      </c>
      <c r="J19" s="116">
        <v>99671</v>
      </c>
      <c r="K19" s="116">
        <v>86883</v>
      </c>
      <c r="L19" s="116">
        <v>74095</v>
      </c>
      <c r="M19" s="116">
        <v>61307</v>
      </c>
      <c r="N19" s="116">
        <v>48519</v>
      </c>
      <c r="O19" s="116">
        <v>35734</v>
      </c>
      <c r="P19" s="116">
        <v>22945</v>
      </c>
      <c r="Q19" s="116">
        <v>28734</v>
      </c>
      <c r="R19" s="116">
        <v>17219</v>
      </c>
    </row>
    <row r="20" spans="1:18">
      <c r="A20" s="109"/>
      <c r="D20" s="103"/>
      <c r="E20" s="108"/>
      <c r="F20" s="110">
        <v>4344144</v>
      </c>
      <c r="G20" s="110">
        <f t="shared" ref="G20:R20" si="1">SUM(G16:G19)</f>
        <v>946980</v>
      </c>
      <c r="H20" s="110">
        <f t="shared" si="1"/>
        <v>732399</v>
      </c>
      <c r="I20" s="110">
        <f t="shared" si="1"/>
        <v>648863</v>
      </c>
      <c r="J20" s="110">
        <f t="shared" si="1"/>
        <v>631092</v>
      </c>
      <c r="K20" s="110">
        <f t="shared" si="1"/>
        <v>715028</v>
      </c>
      <c r="L20" s="110">
        <f t="shared" si="1"/>
        <v>787923</v>
      </c>
      <c r="M20" s="110">
        <f t="shared" si="1"/>
        <v>3977608</v>
      </c>
      <c r="N20" s="110">
        <f t="shared" si="1"/>
        <v>7305051</v>
      </c>
      <c r="O20" s="110">
        <f t="shared" si="1"/>
        <v>10252552</v>
      </c>
      <c r="P20" s="110">
        <f t="shared" si="1"/>
        <v>10864490</v>
      </c>
      <c r="Q20" s="110">
        <f t="shared" si="1"/>
        <v>8839056</v>
      </c>
      <c r="R20" s="110">
        <f t="shared" si="1"/>
        <v>4326040</v>
      </c>
    </row>
    <row r="21" spans="1:18">
      <c r="E21" s="108"/>
    </row>
    <row r="22" spans="1:18" ht="13.5" thickBot="1">
      <c r="A22" s="97" t="s">
        <v>140</v>
      </c>
      <c r="D22" s="111">
        <f>ROUND(AVERAGE(F22:R22),0)</f>
        <v>2238827</v>
      </c>
      <c r="E22" s="108"/>
      <c r="F22" s="112">
        <v>1326936</v>
      </c>
      <c r="G22" s="112">
        <f t="shared" ref="G22:R22" si="2">G13-G20</f>
        <v>3700340</v>
      </c>
      <c r="H22" s="112">
        <f t="shared" si="2"/>
        <v>3346675</v>
      </c>
      <c r="I22" s="112">
        <f t="shared" si="2"/>
        <v>3008834</v>
      </c>
      <c r="J22" s="112">
        <f t="shared" si="2"/>
        <v>3004838</v>
      </c>
      <c r="K22" s="112">
        <f t="shared" si="2"/>
        <v>2684897</v>
      </c>
      <c r="L22" s="112">
        <f t="shared" si="2"/>
        <v>2386373</v>
      </c>
      <c r="M22" s="112">
        <f t="shared" si="2"/>
        <v>2046648</v>
      </c>
      <c r="N22" s="112">
        <f t="shared" si="2"/>
        <v>1721382</v>
      </c>
      <c r="O22" s="112">
        <f t="shared" si="2"/>
        <v>1722986</v>
      </c>
      <c r="P22" s="112">
        <f t="shared" si="2"/>
        <v>1153431</v>
      </c>
      <c r="Q22" s="112">
        <f t="shared" si="2"/>
        <v>1391390</v>
      </c>
      <c r="R22" s="112">
        <f t="shared" si="2"/>
        <v>1610015</v>
      </c>
    </row>
    <row r="23" spans="1:18" ht="13.5" thickTop="1">
      <c r="E23" s="108"/>
    </row>
  </sheetData>
  <conditionalFormatting sqref="G16:R16">
    <cfRule type="cellIs" dxfId="3" priority="4" operator="equal">
      <formula>0</formula>
    </cfRule>
  </conditionalFormatting>
  <conditionalFormatting sqref="G18:R18">
    <cfRule type="cellIs" dxfId="2" priority="3" operator="equal">
      <formula>0</formula>
    </cfRule>
  </conditionalFormatting>
  <conditionalFormatting sqref="F16">
    <cfRule type="cellIs" dxfId="1" priority="2" operator="equal">
      <formula>0</formula>
    </cfRule>
  </conditionalFormatting>
  <conditionalFormatting sqref="F18">
    <cfRule type="cellIs" dxfId="0" priority="1" operator="equal">
      <formula>0</formula>
    </cfRule>
  </conditionalFormatting>
  <printOptions horizontalCentered="1"/>
  <pageMargins left="0.19" right="0.17" top="1" bottom="0.75" header="0.3" footer="0.3"/>
  <pageSetup pageOrder="overThenDown" orientation="landscape" r:id="rId1"/>
  <headerFooter>
    <oddFooter>&amp;C&amp;F - &amp;A
Page &amp;P of &amp;N</oddFooter>
  </headerFooter>
  <colBreaks count="1" manualBreakCount="1">
    <brk id="1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workbookViewId="0"/>
  </sheetViews>
  <sheetFormatPr defaultRowHeight="12.75"/>
  <cols>
    <col min="1" max="1" width="7.85546875" style="117" bestFit="1" customWidth="1"/>
    <col min="2" max="2" width="2.7109375" style="118" customWidth="1"/>
    <col min="3" max="3" width="48" style="118" customWidth="1"/>
    <col min="4" max="4" width="2.7109375" style="118" customWidth="1"/>
    <col min="5" max="5" width="11.7109375" style="119" bestFit="1" customWidth="1"/>
    <col min="6" max="6" width="2.7109375" style="119" customWidth="1"/>
    <col min="7" max="7" width="11" style="119" bestFit="1" customWidth="1"/>
    <col min="8" max="8" width="2.7109375" style="119" customWidth="1"/>
    <col min="9" max="9" width="11.5703125" style="119" bestFit="1" customWidth="1"/>
    <col min="10" max="16384" width="9.140625" style="118"/>
  </cols>
  <sheetData>
    <row r="1" spans="1:9">
      <c r="A1" s="120" t="s">
        <v>0</v>
      </c>
      <c r="B1" s="4"/>
      <c r="C1" s="4"/>
      <c r="D1" s="4"/>
      <c r="E1" s="43"/>
      <c r="F1" s="43"/>
      <c r="G1" s="43"/>
      <c r="H1" s="43"/>
      <c r="I1" s="43"/>
    </row>
    <row r="2" spans="1:9">
      <c r="A2" s="120" t="s">
        <v>60</v>
      </c>
      <c r="B2" s="4"/>
      <c r="C2" s="4"/>
      <c r="D2" s="4"/>
      <c r="E2" s="43"/>
      <c r="F2" s="43"/>
      <c r="G2" s="43"/>
      <c r="H2" s="43"/>
      <c r="I2" s="43"/>
    </row>
    <row r="3" spans="1:9">
      <c r="A3" s="120" t="s">
        <v>181</v>
      </c>
      <c r="B3" s="4"/>
      <c r="C3" s="4"/>
      <c r="D3" s="4"/>
      <c r="E3" s="43"/>
      <c r="F3" s="43"/>
      <c r="G3" s="43"/>
      <c r="H3" s="43"/>
      <c r="I3" s="43"/>
    </row>
    <row r="4" spans="1:9">
      <c r="A4" s="120" t="s">
        <v>192</v>
      </c>
      <c r="B4" s="4"/>
      <c r="C4" s="4"/>
      <c r="D4" s="4"/>
      <c r="E4" s="43"/>
      <c r="F4" s="43"/>
      <c r="G4" s="43"/>
      <c r="H4" s="43"/>
      <c r="I4" s="43"/>
    </row>
    <row r="5" spans="1:9">
      <c r="A5" s="120" t="s">
        <v>374</v>
      </c>
      <c r="B5" s="4"/>
      <c r="C5" s="4"/>
      <c r="D5" s="4"/>
      <c r="E5" s="43"/>
      <c r="F5" s="43"/>
      <c r="G5" s="43"/>
      <c r="H5" s="43"/>
      <c r="I5" s="43"/>
    </row>
    <row r="6" spans="1:9" s="121" customFormat="1">
      <c r="A6" s="117"/>
      <c r="B6" s="118"/>
      <c r="C6" s="118"/>
      <c r="D6" s="118"/>
      <c r="E6" s="119"/>
      <c r="F6" s="119"/>
      <c r="G6" s="119"/>
      <c r="H6" s="119"/>
      <c r="I6" s="119"/>
    </row>
    <row r="7" spans="1:9" s="121" customFormat="1">
      <c r="A7" s="117"/>
      <c r="B7" s="118"/>
      <c r="C7" s="118"/>
      <c r="D7" s="118"/>
      <c r="E7" s="119"/>
      <c r="F7" s="119"/>
      <c r="G7" s="119"/>
      <c r="H7" s="119"/>
      <c r="I7" s="119"/>
    </row>
    <row r="8" spans="1:9">
      <c r="A8" s="122" t="s">
        <v>144</v>
      </c>
      <c r="B8" s="121"/>
      <c r="C8" s="121"/>
      <c r="D8" s="121"/>
      <c r="E8" s="123" t="s">
        <v>2</v>
      </c>
      <c r="F8" s="123"/>
      <c r="G8" s="123" t="s">
        <v>10</v>
      </c>
      <c r="H8" s="123"/>
      <c r="I8" s="123"/>
    </row>
    <row r="9" spans="1:9">
      <c r="A9" s="124" t="s">
        <v>131</v>
      </c>
      <c r="B9" s="121"/>
      <c r="C9" s="125" t="s">
        <v>145</v>
      </c>
      <c r="D9" s="121"/>
      <c r="E9" s="126" t="s">
        <v>5</v>
      </c>
      <c r="F9" s="123"/>
      <c r="G9" s="168" t="s">
        <v>78</v>
      </c>
      <c r="H9" s="123"/>
      <c r="I9" s="269" t="s">
        <v>65</v>
      </c>
    </row>
    <row r="10" spans="1:9">
      <c r="A10" s="119">
        <v>560</v>
      </c>
      <c r="C10" s="127" t="s">
        <v>146</v>
      </c>
      <c r="E10" s="128">
        <f>G10-I10</f>
        <v>3923558</v>
      </c>
      <c r="F10" s="128"/>
      <c r="G10" s="295">
        <v>3935353</v>
      </c>
      <c r="H10" s="295"/>
      <c r="I10" s="295">
        <v>11795</v>
      </c>
    </row>
    <row r="11" spans="1:9">
      <c r="A11" s="117">
        <v>561.1</v>
      </c>
      <c r="C11" s="129" t="s">
        <v>147</v>
      </c>
      <c r="E11" s="130">
        <f t="shared" ref="E11:E22" si="0">G11-I11</f>
        <v>482245</v>
      </c>
      <c r="F11" s="130"/>
      <c r="G11" s="287">
        <v>482245</v>
      </c>
      <c r="H11" s="287"/>
      <c r="I11" s="287"/>
    </row>
    <row r="12" spans="1:9">
      <c r="A12" s="117">
        <v>561.20000000000005</v>
      </c>
      <c r="C12" s="129" t="s">
        <v>148</v>
      </c>
      <c r="E12" s="130">
        <f t="shared" si="0"/>
        <v>875966</v>
      </c>
      <c r="F12" s="130"/>
      <c r="G12" s="287">
        <v>966483</v>
      </c>
      <c r="H12" s="287"/>
      <c r="I12" s="287">
        <v>90517</v>
      </c>
    </row>
    <row r="13" spans="1:9">
      <c r="A13" s="117">
        <v>561.4</v>
      </c>
      <c r="C13" s="129" t="s">
        <v>149</v>
      </c>
      <c r="E13" s="130">
        <f t="shared" si="0"/>
        <v>525385</v>
      </c>
      <c r="F13" s="130"/>
      <c r="G13" s="287">
        <v>525385</v>
      </c>
      <c r="H13" s="287"/>
      <c r="I13" s="287"/>
    </row>
    <row r="14" spans="1:9">
      <c r="A14" s="117">
        <v>561.79999999999995</v>
      </c>
      <c r="C14" s="129" t="s">
        <v>150</v>
      </c>
      <c r="E14" s="130">
        <f t="shared" si="0"/>
        <v>38272</v>
      </c>
      <c r="F14" s="130"/>
      <c r="G14" s="287">
        <v>38272</v>
      </c>
      <c r="H14" s="287"/>
      <c r="I14" s="287"/>
    </row>
    <row r="15" spans="1:9">
      <c r="A15" s="119">
        <v>562</v>
      </c>
      <c r="C15" s="127" t="s">
        <v>151</v>
      </c>
      <c r="E15" s="119">
        <f t="shared" si="0"/>
        <v>684884</v>
      </c>
      <c r="G15" s="290">
        <v>695575</v>
      </c>
      <c r="H15" s="290"/>
      <c r="I15" s="290">
        <v>10691</v>
      </c>
    </row>
    <row r="16" spans="1:9">
      <c r="A16" s="119">
        <v>563</v>
      </c>
      <c r="C16" s="127" t="s">
        <v>152</v>
      </c>
      <c r="E16" s="119">
        <f t="shared" si="0"/>
        <v>315799</v>
      </c>
      <c r="G16" s="290">
        <v>315799</v>
      </c>
      <c r="H16" s="290"/>
      <c r="I16" s="290"/>
    </row>
    <row r="17" spans="1:9">
      <c r="A17" s="119">
        <v>565</v>
      </c>
      <c r="C17" s="127" t="s">
        <v>153</v>
      </c>
      <c r="E17" s="119">
        <f t="shared" si="0"/>
        <v>25069506</v>
      </c>
      <c r="G17" s="290">
        <v>25069506</v>
      </c>
      <c r="H17" s="290"/>
      <c r="I17" s="290"/>
    </row>
    <row r="18" spans="1:9">
      <c r="A18" s="119">
        <v>566</v>
      </c>
      <c r="C18" s="127" t="s">
        <v>154</v>
      </c>
      <c r="E18" s="119">
        <f t="shared" si="0"/>
        <v>43107</v>
      </c>
      <c r="G18" s="290">
        <v>43107</v>
      </c>
      <c r="H18" s="290"/>
      <c r="I18" s="290"/>
    </row>
    <row r="19" spans="1:9">
      <c r="A19" s="119">
        <v>567</v>
      </c>
      <c r="C19" s="127" t="s">
        <v>155</v>
      </c>
      <c r="E19" s="119">
        <f t="shared" si="0"/>
        <v>94729</v>
      </c>
      <c r="G19" s="290">
        <v>94729</v>
      </c>
      <c r="H19" s="290"/>
      <c r="I19" s="290"/>
    </row>
    <row r="20" spans="1:9">
      <c r="A20" s="119">
        <v>568</v>
      </c>
      <c r="C20" s="127" t="s">
        <v>156</v>
      </c>
      <c r="E20" s="119">
        <f t="shared" si="0"/>
        <v>31596</v>
      </c>
      <c r="G20" s="290">
        <v>31596</v>
      </c>
      <c r="H20" s="290"/>
      <c r="I20" s="290"/>
    </row>
    <row r="21" spans="1:9">
      <c r="A21" s="119">
        <v>570</v>
      </c>
      <c r="C21" s="127" t="s">
        <v>157</v>
      </c>
      <c r="E21" s="119">
        <f t="shared" si="0"/>
        <v>819813</v>
      </c>
      <c r="G21" s="290">
        <v>826487</v>
      </c>
      <c r="H21" s="290"/>
      <c r="I21" s="290">
        <v>6674</v>
      </c>
    </row>
    <row r="22" spans="1:9">
      <c r="A22" s="119">
        <v>571</v>
      </c>
      <c r="C22" s="127" t="s">
        <v>158</v>
      </c>
      <c r="E22" s="119">
        <f t="shared" si="0"/>
        <v>992769</v>
      </c>
      <c r="G22" s="290">
        <v>992769</v>
      </c>
      <c r="H22" s="290"/>
      <c r="I22" s="290"/>
    </row>
    <row r="23" spans="1:9" ht="13.5" thickBot="1">
      <c r="E23" s="131">
        <f>SUM(E10:E22)</f>
        <v>33897629</v>
      </c>
      <c r="G23" s="131">
        <f>SUM(G10:G22)</f>
        <v>34017306</v>
      </c>
      <c r="I23" s="131">
        <f>SUM(I10:I22)</f>
        <v>119677</v>
      </c>
    </row>
    <row r="24" spans="1:9" ht="13.5" thickTop="1"/>
    <row r="25" spans="1:9">
      <c r="A25" s="118"/>
      <c r="E25" s="118"/>
      <c r="F25" s="118"/>
      <c r="G25" s="118"/>
      <c r="H25" s="118"/>
      <c r="I25" s="118"/>
    </row>
    <row r="26" spans="1:9">
      <c r="A26" s="345" t="s">
        <v>399</v>
      </c>
      <c r="B26" s="132"/>
      <c r="C26" s="132"/>
      <c r="D26" s="132"/>
      <c r="E26" s="133">
        <v>34017306</v>
      </c>
      <c r="F26" s="132"/>
      <c r="G26" s="134"/>
      <c r="H26" s="118"/>
      <c r="I26" s="118"/>
    </row>
    <row r="27" spans="1:9">
      <c r="A27" s="135" t="s">
        <v>159</v>
      </c>
      <c r="B27" s="136"/>
      <c r="C27" s="136"/>
      <c r="D27" s="136"/>
      <c r="E27" s="297">
        <v>34451012</v>
      </c>
      <c r="F27" s="137"/>
      <c r="G27" s="138"/>
      <c r="H27" s="139"/>
      <c r="I27" s="139"/>
    </row>
    <row r="28" spans="1:9">
      <c r="A28" s="140" t="s">
        <v>160</v>
      </c>
      <c r="B28" s="141"/>
      <c r="C28" s="141"/>
      <c r="D28" s="141"/>
      <c r="E28" s="142">
        <f>(E26-E27)*-1</f>
        <v>433706</v>
      </c>
      <c r="F28" s="143"/>
      <c r="G28" s="144"/>
    </row>
    <row r="31" spans="1:9">
      <c r="A31" s="145" t="s">
        <v>126</v>
      </c>
    </row>
    <row r="32" spans="1:9">
      <c r="A32" s="145" t="s">
        <v>161</v>
      </c>
      <c r="E32" s="123" t="s">
        <v>2</v>
      </c>
    </row>
    <row r="33" spans="1:7">
      <c r="A33" s="117" t="s">
        <v>162</v>
      </c>
      <c r="E33" s="126" t="s">
        <v>5</v>
      </c>
    </row>
    <row r="34" spans="1:7">
      <c r="C34" s="119" t="str">
        <f>C13</f>
        <v>Scheduling, System Control &amp; Dispatch Services</v>
      </c>
      <c r="E34" s="128">
        <f>E13</f>
        <v>525385</v>
      </c>
      <c r="G34" s="118" t="s">
        <v>163</v>
      </c>
    </row>
    <row r="35" spans="1:7">
      <c r="C35" s="118" t="str">
        <f>C14</f>
        <v>Reliability, Planning and Standards Development Services</v>
      </c>
      <c r="E35" s="119">
        <f>E14</f>
        <v>38272</v>
      </c>
      <c r="G35" s="118" t="s">
        <v>164</v>
      </c>
    </row>
    <row r="36" spans="1:7" ht="13.5" thickBot="1">
      <c r="E36" s="131">
        <f>SUM(E34:E35)</f>
        <v>563657</v>
      </c>
    </row>
    <row r="37" spans="1:7" ht="13.5" thickTop="1">
      <c r="E37" s="146"/>
    </row>
    <row r="39" spans="1:7">
      <c r="A39" s="145" t="s">
        <v>165</v>
      </c>
    </row>
    <row r="40" spans="1:7">
      <c r="A40" s="117" t="s">
        <v>166</v>
      </c>
      <c r="E40" s="123" t="s">
        <v>2</v>
      </c>
    </row>
    <row r="41" spans="1:7">
      <c r="A41" s="117" t="s">
        <v>167</v>
      </c>
      <c r="E41" s="126" t="s">
        <v>5</v>
      </c>
    </row>
    <row r="42" spans="1:7">
      <c r="C42" s="118" t="str">
        <f>C11</f>
        <v>Load Dispatch - Reliability</v>
      </c>
      <c r="E42" s="128">
        <f>E11</f>
        <v>482245</v>
      </c>
      <c r="G42" s="118" t="s">
        <v>168</v>
      </c>
    </row>
    <row r="43" spans="1:7">
      <c r="C43" s="118" t="str">
        <f>C12</f>
        <v>Load Dispatch - Monitor &amp; Operate Transmission System</v>
      </c>
      <c r="E43" s="119">
        <f>E12</f>
        <v>875966</v>
      </c>
      <c r="G43" s="118" t="s">
        <v>169</v>
      </c>
    </row>
    <row r="44" spans="1:7">
      <c r="C44" s="118" t="s">
        <v>170</v>
      </c>
      <c r="E44" s="119">
        <v>0</v>
      </c>
      <c r="G44" s="118" t="s">
        <v>171</v>
      </c>
    </row>
    <row r="45" spans="1:7" ht="13.5" thickBot="1">
      <c r="E45" s="131">
        <f>SUM(E42:E44)</f>
        <v>1358211</v>
      </c>
    </row>
    <row r="46" spans="1:7" ht="13.5" thickTop="1"/>
    <row r="48" spans="1:7">
      <c r="A48" s="147" t="s">
        <v>342</v>
      </c>
      <c r="B48" s="132"/>
      <c r="C48" s="132"/>
      <c r="D48" s="132"/>
      <c r="E48" s="148"/>
    </row>
    <row r="49" spans="1:10">
      <c r="A49" s="149"/>
      <c r="B49" s="136"/>
      <c r="C49" s="136" t="s">
        <v>172</v>
      </c>
      <c r="D49" s="136"/>
      <c r="E49" s="150">
        <f>E45</f>
        <v>1358211</v>
      </c>
    </row>
    <row r="50" spans="1:10">
      <c r="A50" s="149"/>
      <c r="B50" s="136"/>
      <c r="C50" s="136" t="s">
        <v>173</v>
      </c>
      <c r="D50" s="136"/>
      <c r="E50" s="151">
        <v>772524</v>
      </c>
    </row>
    <row r="51" spans="1:10">
      <c r="A51" s="149"/>
      <c r="B51" s="136"/>
      <c r="C51" s="136" t="s">
        <v>174</v>
      </c>
      <c r="D51" s="136"/>
      <c r="E51" s="148">
        <f>E49-E50</f>
        <v>585687</v>
      </c>
    </row>
    <row r="52" spans="1:10">
      <c r="A52" s="149"/>
      <c r="B52" s="136"/>
      <c r="C52" s="136"/>
      <c r="D52" s="136"/>
      <c r="E52" s="151"/>
    </row>
    <row r="53" spans="1:10">
      <c r="A53" s="149"/>
      <c r="B53" s="136"/>
      <c r="C53" s="136" t="s">
        <v>175</v>
      </c>
      <c r="D53" s="136"/>
      <c r="E53" s="151"/>
    </row>
    <row r="54" spans="1:10">
      <c r="A54" s="149"/>
      <c r="B54" s="136"/>
      <c r="C54" s="136" t="s">
        <v>176</v>
      </c>
      <c r="D54" s="136"/>
      <c r="E54" s="151"/>
      <c r="J54" s="119"/>
    </row>
    <row r="55" spans="1:10">
      <c r="A55" s="149"/>
      <c r="B55" s="136"/>
      <c r="C55" s="136" t="s">
        <v>177</v>
      </c>
      <c r="D55" s="136"/>
      <c r="E55" s="151"/>
      <c r="H55" s="118"/>
      <c r="I55" s="118"/>
      <c r="J55" s="119"/>
    </row>
    <row r="56" spans="1:10">
      <c r="A56" s="149"/>
      <c r="B56" s="136"/>
      <c r="C56" s="136" t="s">
        <v>178</v>
      </c>
      <c r="D56" s="136"/>
      <c r="E56" s="151">
        <v>194420</v>
      </c>
      <c r="F56" s="118"/>
      <c r="J56" s="119"/>
    </row>
    <row r="57" spans="1:10">
      <c r="A57" s="149"/>
      <c r="B57" s="136"/>
      <c r="C57" s="152" t="s">
        <v>179</v>
      </c>
      <c r="D57" s="136"/>
      <c r="E57" s="148">
        <f>SUM(E54:E56)</f>
        <v>194420</v>
      </c>
      <c r="F57" s="118"/>
      <c r="J57" s="119"/>
    </row>
    <row r="58" spans="1:10">
      <c r="A58" s="149"/>
      <c r="B58" s="136"/>
      <c r="C58" s="152"/>
      <c r="D58" s="136"/>
      <c r="E58" s="151"/>
      <c r="F58" s="118"/>
      <c r="J58" s="119"/>
    </row>
    <row r="59" spans="1:10" ht="13.5" thickBot="1">
      <c r="A59" s="149"/>
      <c r="B59" s="136"/>
      <c r="C59" s="136" t="s">
        <v>180</v>
      </c>
      <c r="D59" s="136"/>
      <c r="E59" s="153">
        <f>E51-E57</f>
        <v>391267</v>
      </c>
      <c r="F59" s="118"/>
      <c r="J59" s="119"/>
    </row>
    <row r="60" spans="1:10" ht="13.5" thickTop="1">
      <c r="A60" s="154"/>
      <c r="B60" s="141"/>
      <c r="C60" s="155"/>
      <c r="D60" s="141"/>
      <c r="E60" s="144"/>
      <c r="F60" s="118"/>
      <c r="J60" s="119"/>
    </row>
    <row r="61" spans="1:10">
      <c r="C61" s="117"/>
      <c r="F61" s="118"/>
      <c r="J61" s="119"/>
    </row>
  </sheetData>
  <printOptions horizontalCentered="1"/>
  <pageMargins left="0.17" right="0.17" top="0.75" bottom="0.75" header="0.3" footer="0.3"/>
  <pageSetup scale="90" orientation="portrait" r:id="rId1"/>
  <headerFooter>
    <oddFooter>&amp;C&amp;F - 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workbookViewId="0"/>
  </sheetViews>
  <sheetFormatPr defaultRowHeight="12.75"/>
  <cols>
    <col min="1" max="1" width="7.85546875" style="170" bestFit="1" customWidth="1"/>
    <col min="2" max="2" width="2.7109375" style="166" customWidth="1"/>
    <col min="3" max="3" width="39.5703125" style="166" customWidth="1"/>
    <col min="4" max="4" width="2.7109375" style="166" customWidth="1"/>
    <col min="5" max="5" width="11.7109375" style="169" bestFit="1" customWidth="1"/>
    <col min="6" max="6" width="2.7109375" style="169" customWidth="1"/>
    <col min="7" max="7" width="11" style="169" bestFit="1" customWidth="1"/>
    <col min="8" max="8" width="2.7109375" style="169" customWidth="1"/>
    <col min="9" max="9" width="11.5703125" style="169" bestFit="1" customWidth="1"/>
    <col min="10" max="16384" width="9.140625" style="166"/>
  </cols>
  <sheetData>
    <row r="1" spans="1:9">
      <c r="A1" s="120" t="s">
        <v>0</v>
      </c>
      <c r="B1" s="4"/>
      <c r="C1" s="4"/>
      <c r="D1" s="4"/>
      <c r="E1" s="43"/>
      <c r="F1" s="43"/>
      <c r="G1" s="43"/>
      <c r="H1" s="43"/>
      <c r="I1" s="43"/>
    </row>
    <row r="2" spans="1:9">
      <c r="A2" s="120" t="s">
        <v>60</v>
      </c>
      <c r="B2" s="4"/>
      <c r="C2" s="4"/>
      <c r="D2" s="4"/>
      <c r="E2" s="43"/>
      <c r="F2" s="43"/>
      <c r="G2" s="43"/>
      <c r="H2" s="43"/>
      <c r="I2" s="43"/>
    </row>
    <row r="3" spans="1:9">
      <c r="A3" s="120" t="s">
        <v>241</v>
      </c>
      <c r="B3" s="4"/>
      <c r="C3" s="4"/>
      <c r="D3" s="4"/>
      <c r="E3" s="43"/>
      <c r="F3" s="43"/>
      <c r="G3" s="43"/>
      <c r="H3" s="43"/>
      <c r="I3" s="43"/>
    </row>
    <row r="4" spans="1:9">
      <c r="A4" s="120" t="str">
        <f>'Transmission O&amp;M'!A5</f>
        <v>Twelve Months Ended December 31, 2016</v>
      </c>
      <c r="B4" s="4"/>
      <c r="C4" s="4"/>
      <c r="D4" s="4"/>
      <c r="E4" s="43"/>
      <c r="F4" s="43"/>
      <c r="G4" s="43"/>
      <c r="H4" s="43"/>
      <c r="I4" s="43"/>
    </row>
    <row r="5" spans="1:9" s="171" customFormat="1">
      <c r="A5" s="170"/>
      <c r="B5" s="166"/>
      <c r="C5" s="166"/>
      <c r="D5" s="166"/>
      <c r="E5" s="169"/>
      <c r="F5" s="169"/>
      <c r="G5" s="169"/>
      <c r="H5" s="169"/>
      <c r="I5" s="169"/>
    </row>
    <row r="6" spans="1:9" s="171" customFormat="1">
      <c r="A6" s="170"/>
      <c r="B6" s="166"/>
      <c r="C6" s="166"/>
      <c r="D6" s="166"/>
      <c r="E6" s="169"/>
      <c r="F6" s="169"/>
      <c r="G6" s="169"/>
      <c r="H6" s="169"/>
      <c r="I6" s="169"/>
    </row>
    <row r="7" spans="1:9">
      <c r="A7" s="172" t="s">
        <v>144</v>
      </c>
      <c r="B7" s="171"/>
      <c r="C7" s="171"/>
      <c r="D7" s="171"/>
      <c r="E7" s="173" t="s">
        <v>2</v>
      </c>
      <c r="F7" s="173"/>
      <c r="G7" s="173" t="s">
        <v>10</v>
      </c>
      <c r="H7" s="173"/>
      <c r="I7" s="173"/>
    </row>
    <row r="8" spans="1:9">
      <c r="A8" s="174" t="s">
        <v>131</v>
      </c>
      <c r="B8" s="171"/>
      <c r="C8" s="175" t="s">
        <v>145</v>
      </c>
      <c r="D8" s="171"/>
      <c r="E8" s="168" t="s">
        <v>5</v>
      </c>
      <c r="F8" s="173"/>
      <c r="G8" s="264" t="s">
        <v>78</v>
      </c>
      <c r="H8" s="173"/>
      <c r="I8" s="264" t="s">
        <v>65</v>
      </c>
    </row>
    <row r="9" spans="1:9">
      <c r="A9" s="169">
        <v>920</v>
      </c>
      <c r="C9" s="176" t="s">
        <v>193</v>
      </c>
      <c r="E9" s="177">
        <f>G9-I9</f>
        <v>6297156</v>
      </c>
      <c r="F9" s="177"/>
      <c r="G9" s="295">
        <v>6917097</v>
      </c>
      <c r="H9" s="295"/>
      <c r="I9" s="295">
        <v>619941</v>
      </c>
    </row>
    <row r="10" spans="1:9">
      <c r="A10" s="169">
        <v>921</v>
      </c>
      <c r="C10" s="176" t="s">
        <v>194</v>
      </c>
      <c r="E10" s="178">
        <f t="shared" ref="E10:E19" si="0">G10-I10</f>
        <v>3366502</v>
      </c>
      <c r="F10" s="178"/>
      <c r="G10" s="287">
        <v>3696945</v>
      </c>
      <c r="H10" s="287"/>
      <c r="I10" s="287">
        <v>330443</v>
      </c>
    </row>
    <row r="11" spans="1:9">
      <c r="A11" s="169">
        <v>923</v>
      </c>
      <c r="C11" s="176" t="s">
        <v>195</v>
      </c>
      <c r="E11" s="178">
        <f t="shared" si="0"/>
        <v>600344</v>
      </c>
      <c r="F11" s="178"/>
      <c r="G11" s="287">
        <v>659030</v>
      </c>
      <c r="H11" s="287"/>
      <c r="I11" s="287">
        <v>58686</v>
      </c>
    </row>
    <row r="12" spans="1:9">
      <c r="A12" s="169">
        <v>924</v>
      </c>
      <c r="C12" s="176" t="s">
        <v>196</v>
      </c>
      <c r="E12" s="178">
        <f t="shared" si="0"/>
        <v>938685</v>
      </c>
      <c r="F12" s="178"/>
      <c r="G12" s="287">
        <v>1074272</v>
      </c>
      <c r="H12" s="287"/>
      <c r="I12" s="287">
        <v>135587</v>
      </c>
    </row>
    <row r="13" spans="1:9">
      <c r="A13" s="169">
        <v>925</v>
      </c>
      <c r="C13" s="176" t="s">
        <v>197</v>
      </c>
      <c r="E13" s="169">
        <f t="shared" si="0"/>
        <v>1505428</v>
      </c>
      <c r="G13" s="290">
        <v>1672345</v>
      </c>
      <c r="H13" s="290"/>
      <c r="I13" s="290">
        <v>166917</v>
      </c>
    </row>
    <row r="14" spans="1:9">
      <c r="A14" s="169">
        <v>926</v>
      </c>
      <c r="C14" s="176" t="s">
        <v>198</v>
      </c>
      <c r="E14" s="169">
        <f t="shared" si="0"/>
        <v>7031940</v>
      </c>
      <c r="G14" s="290">
        <v>7554178</v>
      </c>
      <c r="H14" s="290"/>
      <c r="I14" s="290">
        <v>522238</v>
      </c>
    </row>
    <row r="15" spans="1:9">
      <c r="A15" s="169">
        <v>928</v>
      </c>
      <c r="C15" s="176" t="s">
        <v>199</v>
      </c>
      <c r="E15" s="169">
        <f t="shared" si="0"/>
        <v>680911</v>
      </c>
      <c r="G15" s="290">
        <v>720658</v>
      </c>
      <c r="H15" s="290"/>
      <c r="I15" s="290">
        <v>39747</v>
      </c>
    </row>
    <row r="16" spans="1:9">
      <c r="A16" s="170">
        <v>930.1</v>
      </c>
      <c r="C16" s="176" t="s">
        <v>200</v>
      </c>
      <c r="E16" s="178">
        <f t="shared" si="0"/>
        <v>78408</v>
      </c>
      <c r="F16" s="178"/>
      <c r="G16" s="287">
        <v>81269</v>
      </c>
      <c r="H16" s="287"/>
      <c r="I16" s="287">
        <v>2861</v>
      </c>
    </row>
    <row r="17" spans="1:9">
      <c r="A17" s="170">
        <v>930.2</v>
      </c>
      <c r="C17" s="176" t="s">
        <v>201</v>
      </c>
      <c r="E17" s="178">
        <f t="shared" si="0"/>
        <v>787069</v>
      </c>
      <c r="F17" s="178"/>
      <c r="G17" s="287">
        <v>859084</v>
      </c>
      <c r="H17" s="287"/>
      <c r="I17" s="287">
        <v>72015</v>
      </c>
    </row>
    <row r="18" spans="1:9">
      <c r="A18" s="169">
        <v>931</v>
      </c>
      <c r="C18" s="176" t="s">
        <v>155</v>
      </c>
      <c r="E18" s="169">
        <f t="shared" si="0"/>
        <v>943336</v>
      </c>
      <c r="G18" s="290">
        <v>1035860</v>
      </c>
      <c r="H18" s="290"/>
      <c r="I18" s="290">
        <v>92524</v>
      </c>
    </row>
    <row r="19" spans="1:9">
      <c r="A19" s="169">
        <v>935</v>
      </c>
      <c r="C19" s="127" t="s">
        <v>158</v>
      </c>
      <c r="E19" s="169">
        <f t="shared" si="0"/>
        <v>559410</v>
      </c>
      <c r="G19" s="290">
        <v>602495</v>
      </c>
      <c r="H19" s="290"/>
      <c r="I19" s="290">
        <v>43085</v>
      </c>
    </row>
    <row r="20" spans="1:9" ht="13.5" thickBot="1">
      <c r="E20" s="179">
        <f>SUM(E9:E19)</f>
        <v>22789189</v>
      </c>
      <c r="G20" s="179">
        <f>SUM(G9:G19)</f>
        <v>24873233</v>
      </c>
      <c r="I20" s="179">
        <f>SUM(I9:I19)</f>
        <v>2084044</v>
      </c>
    </row>
    <row r="21" spans="1:9" ht="13.5" thickTop="1"/>
  </sheetData>
  <printOptions horizontalCentered="1"/>
  <pageMargins left="0.17" right="0.17" top="1" bottom="0.75" header="0.3" footer="0.3"/>
  <pageSetup orientation="portrait" r:id="rId1"/>
  <headerFooter>
    <oddFooter>&amp;C&amp;F - &amp;A
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showGridLines="0" workbookViewId="0"/>
  </sheetViews>
  <sheetFormatPr defaultRowHeight="12.75"/>
  <cols>
    <col min="1" max="1" width="2.7109375" style="166" customWidth="1"/>
    <col min="2" max="2" width="36.85546875" style="166" bestFit="1" customWidth="1"/>
    <col min="3" max="3" width="2.7109375" style="166" customWidth="1"/>
    <col min="4" max="4" width="11.28515625" style="166" bestFit="1" customWidth="1"/>
    <col min="5" max="16384" width="9.140625" style="166"/>
  </cols>
  <sheetData>
    <row r="1" spans="1:4">
      <c r="A1" s="4" t="s">
        <v>0</v>
      </c>
      <c r="B1" s="4"/>
      <c r="C1" s="4"/>
      <c r="D1" s="4"/>
    </row>
    <row r="2" spans="1:4">
      <c r="A2" s="4" t="s">
        <v>60</v>
      </c>
      <c r="B2" s="4"/>
      <c r="C2" s="4"/>
      <c r="D2" s="4"/>
    </row>
    <row r="3" spans="1:4">
      <c r="A3" s="4" t="s">
        <v>202</v>
      </c>
      <c r="B3" s="4"/>
      <c r="C3" s="4"/>
      <c r="D3" s="4"/>
    </row>
    <row r="4" spans="1:4">
      <c r="A4" s="4" t="str">
        <f>'A&amp;G'!A4</f>
        <v>Twelve Months Ended December 31, 2016</v>
      </c>
      <c r="B4" s="4"/>
      <c r="C4" s="4"/>
      <c r="D4" s="4"/>
    </row>
    <row r="5" spans="1:4">
      <c r="A5" s="4"/>
      <c r="B5" s="4"/>
      <c r="C5" s="4"/>
      <c r="D5" s="4"/>
    </row>
    <row r="6" spans="1:4">
      <c r="A6" s="4"/>
      <c r="B6" s="4"/>
      <c r="C6" s="4"/>
      <c r="D6" s="4"/>
    </row>
    <row r="7" spans="1:4">
      <c r="D7" s="180" t="s">
        <v>2</v>
      </c>
    </row>
    <row r="8" spans="1:4">
      <c r="D8" s="175" t="s">
        <v>5</v>
      </c>
    </row>
    <row r="9" spans="1:4">
      <c r="A9" s="166" t="s">
        <v>203</v>
      </c>
      <c r="D9" s="180"/>
    </row>
    <row r="10" spans="1:4">
      <c r="A10" s="166" t="s">
        <v>204</v>
      </c>
      <c r="D10" s="180"/>
    </row>
    <row r="11" spans="1:4">
      <c r="B11" s="166" t="s">
        <v>63</v>
      </c>
      <c r="D11" s="346">
        <v>147639</v>
      </c>
    </row>
    <row r="12" spans="1:4">
      <c r="B12" s="166" t="s">
        <v>205</v>
      </c>
      <c r="D12" s="178">
        <v>381882</v>
      </c>
    </row>
    <row r="13" spans="1:4">
      <c r="B13" s="166" t="s">
        <v>206</v>
      </c>
      <c r="D13" s="178">
        <v>39351</v>
      </c>
    </row>
    <row r="14" spans="1:4">
      <c r="D14" s="347">
        <f>SUM(D11:D13)</f>
        <v>568872</v>
      </c>
    </row>
    <row r="16" spans="1:4">
      <c r="A16" s="183"/>
      <c r="B16" s="183" t="s">
        <v>207</v>
      </c>
      <c r="C16" s="183"/>
    </row>
    <row r="17" spans="1:4">
      <c r="B17" s="317" t="s">
        <v>358</v>
      </c>
      <c r="D17" s="169">
        <v>433566</v>
      </c>
    </row>
    <row r="19" spans="1:4">
      <c r="A19" s="166" t="s">
        <v>208</v>
      </c>
      <c r="D19" s="181">
        <f>D14-D17</f>
        <v>135306</v>
      </c>
    </row>
    <row r="22" spans="1:4">
      <c r="A22" s="166" t="s">
        <v>209</v>
      </c>
      <c r="D22" s="169"/>
    </row>
    <row r="23" spans="1:4">
      <c r="B23" s="260" t="s">
        <v>339</v>
      </c>
      <c r="D23" s="178">
        <v>81269</v>
      </c>
    </row>
    <row r="24" spans="1:4">
      <c r="B24" s="166" t="s">
        <v>210</v>
      </c>
      <c r="D24" s="178">
        <v>2861</v>
      </c>
    </row>
    <row r="25" spans="1:4">
      <c r="D25" s="181">
        <f>D23-D24</f>
        <v>78408</v>
      </c>
    </row>
    <row r="26" spans="1:4">
      <c r="D26" s="169"/>
    </row>
    <row r="27" spans="1:4" ht="13.5" thickBot="1">
      <c r="A27" s="317" t="s">
        <v>357</v>
      </c>
      <c r="D27" s="184">
        <f>D19+D25</f>
        <v>213714</v>
      </c>
    </row>
    <row r="28" spans="1:4" ht="13.5" thickTop="1">
      <c r="D28" s="169"/>
    </row>
    <row r="30" spans="1:4">
      <c r="A30" s="317" t="s">
        <v>359</v>
      </c>
      <c r="D30" s="169"/>
    </row>
    <row r="31" spans="1:4" ht="13.5" thickBot="1">
      <c r="B31" s="317" t="s">
        <v>360</v>
      </c>
      <c r="D31" s="318">
        <v>8342</v>
      </c>
    </row>
    <row r="32" spans="1:4" ht="13.5" thickTop="1"/>
    <row r="33" spans="1:4">
      <c r="A33" s="166" t="s">
        <v>211</v>
      </c>
      <c r="D33" s="169"/>
    </row>
    <row r="34" spans="1:4">
      <c r="A34" s="186" t="s">
        <v>212</v>
      </c>
      <c r="B34" s="266" t="s">
        <v>337</v>
      </c>
      <c r="C34" s="186"/>
      <c r="D34" s="186"/>
    </row>
    <row r="35" spans="1:4">
      <c r="A35" s="186"/>
      <c r="B35" s="266" t="s">
        <v>338</v>
      </c>
      <c r="C35" s="186"/>
      <c r="D35" s="186"/>
    </row>
    <row r="36" spans="1:4">
      <c r="B36" s="260" t="s">
        <v>340</v>
      </c>
      <c r="D36" s="361">
        <v>216206</v>
      </c>
    </row>
    <row r="37" spans="1:4">
      <c r="A37" s="331"/>
      <c r="B37" s="331" t="s">
        <v>349</v>
      </c>
      <c r="C37" s="331"/>
      <c r="D37" s="287">
        <v>97269</v>
      </c>
    </row>
    <row r="38" spans="1:4">
      <c r="A38" s="331"/>
      <c r="B38" s="334" t="s">
        <v>400</v>
      </c>
      <c r="C38" s="334"/>
      <c r="D38" s="287">
        <v>120091</v>
      </c>
    </row>
    <row r="39" spans="1:4">
      <c r="D39" s="362">
        <f>SUM(D36:D38)</f>
        <v>433566</v>
      </c>
    </row>
    <row r="40" spans="1:4">
      <c r="B40" s="317" t="s">
        <v>419</v>
      </c>
      <c r="D40" s="182"/>
    </row>
    <row r="41" spans="1:4" ht="13.5" thickBot="1">
      <c r="D41" s="360">
        <f>D39-D40</f>
        <v>433566</v>
      </c>
    </row>
    <row r="42" spans="1:4" ht="13.5" thickTop="1">
      <c r="B42" s="260"/>
      <c r="D42" s="178"/>
    </row>
    <row r="43" spans="1:4">
      <c r="A43" s="267" t="s">
        <v>341</v>
      </c>
      <c r="B43" s="332" t="s">
        <v>394</v>
      </c>
    </row>
    <row r="44" spans="1:4">
      <c r="B44" s="317" t="s">
        <v>395</v>
      </c>
    </row>
    <row r="45" spans="1:4">
      <c r="A45" s="331" t="s">
        <v>213</v>
      </c>
      <c r="B45" s="331" t="s">
        <v>214</v>
      </c>
    </row>
    <row r="46" spans="1:4">
      <c r="A46" s="331"/>
      <c r="B46" s="331" t="s">
        <v>215</v>
      </c>
    </row>
    <row r="47" spans="1:4">
      <c r="A47" s="331" t="s">
        <v>401</v>
      </c>
      <c r="B47" s="331" t="s">
        <v>214</v>
      </c>
      <c r="C47" s="331"/>
      <c r="D47" s="290"/>
    </row>
    <row r="48" spans="1:4">
      <c r="A48" s="331"/>
      <c r="B48" s="331" t="s">
        <v>350</v>
      </c>
      <c r="C48" s="335"/>
      <c r="D48" s="335"/>
    </row>
    <row r="52" spans="4:4">
      <c r="D52" s="169"/>
    </row>
  </sheetData>
  <printOptions horizontalCentered="1"/>
  <pageMargins left="0.17" right="0.17" top="1" bottom="0.75" header="0.3" footer="0.3"/>
  <pageSetup orientation="portrait" r:id="rId1"/>
  <headerFooter>
    <oddFooter>&amp;C&amp;F - &amp;A
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/>
  </sheetViews>
  <sheetFormatPr defaultRowHeight="12.75"/>
  <cols>
    <col min="1" max="3" width="2.7109375" style="166" customWidth="1"/>
    <col min="4" max="4" width="20.7109375" style="166" customWidth="1"/>
    <col min="5" max="5" width="2.7109375" style="166" customWidth="1"/>
    <col min="6" max="6" width="11.7109375" style="166" bestFit="1" customWidth="1"/>
    <col min="7" max="7" width="2.7109375" style="166" customWidth="1"/>
    <col min="8" max="8" width="10.7109375" style="169" bestFit="1" customWidth="1"/>
    <col min="9" max="9" width="2.7109375" style="166" customWidth="1"/>
    <col min="10" max="10" width="9.140625" style="166"/>
    <col min="11" max="11" width="2.7109375" style="166" customWidth="1"/>
    <col min="12" max="12" width="10.7109375" style="166" bestFit="1" customWidth="1"/>
    <col min="13" max="16384" width="9.140625" style="166"/>
  </cols>
  <sheetData>
    <row r="1" spans="1:13">
      <c r="A1" s="4" t="s">
        <v>0</v>
      </c>
      <c r="B1" s="4"/>
      <c r="C1" s="4"/>
      <c r="D1" s="4"/>
      <c r="E1" s="4"/>
      <c r="F1" s="4"/>
      <c r="G1" s="4"/>
      <c r="H1" s="43"/>
      <c r="I1" s="4"/>
      <c r="J1" s="4"/>
      <c r="K1" s="4"/>
      <c r="L1" s="4"/>
    </row>
    <row r="2" spans="1:13">
      <c r="A2" s="4" t="s">
        <v>60</v>
      </c>
      <c r="B2" s="4"/>
      <c r="C2" s="4"/>
      <c r="D2" s="4"/>
      <c r="E2" s="4"/>
      <c r="F2" s="4"/>
      <c r="G2" s="4"/>
      <c r="H2" s="43"/>
      <c r="I2" s="4"/>
      <c r="J2" s="4"/>
      <c r="K2" s="4"/>
      <c r="L2" s="4"/>
    </row>
    <row r="3" spans="1:13">
      <c r="A3" s="4" t="s">
        <v>242</v>
      </c>
      <c r="B3" s="4"/>
      <c r="C3" s="4"/>
      <c r="D3" s="4"/>
      <c r="E3" s="4"/>
      <c r="F3" s="4"/>
      <c r="G3" s="4"/>
      <c r="H3" s="43"/>
      <c r="I3" s="4"/>
      <c r="J3" s="4"/>
      <c r="K3" s="4"/>
      <c r="L3" s="4"/>
    </row>
    <row r="4" spans="1:13">
      <c r="A4" s="4" t="str">
        <f>'Reg Com &amp; NonSafety Ad Exp'!A4</f>
        <v>Twelve Months Ended December 31, 2016</v>
      </c>
      <c r="B4" s="4"/>
      <c r="C4" s="4"/>
      <c r="D4" s="4"/>
      <c r="E4" s="4"/>
      <c r="F4" s="4"/>
      <c r="G4" s="4"/>
      <c r="H4" s="43"/>
      <c r="I4" s="4"/>
      <c r="J4" s="4"/>
      <c r="K4" s="4"/>
      <c r="L4" s="4"/>
    </row>
    <row r="5" spans="1:13">
      <c r="M5" s="171"/>
    </row>
    <row r="6" spans="1:13">
      <c r="M6" s="171"/>
    </row>
    <row r="7" spans="1:13">
      <c r="F7" s="180" t="s">
        <v>216</v>
      </c>
      <c r="H7" s="187" t="s">
        <v>10</v>
      </c>
      <c r="I7" s="171"/>
      <c r="J7" s="180"/>
      <c r="K7" s="171"/>
      <c r="L7" s="180" t="s">
        <v>2</v>
      </c>
    </row>
    <row r="8" spans="1:13">
      <c r="F8" s="175" t="s">
        <v>36</v>
      </c>
      <c r="H8" s="168" t="s">
        <v>78</v>
      </c>
      <c r="I8" s="171"/>
      <c r="J8" s="175" t="s">
        <v>65</v>
      </c>
      <c r="K8" s="171"/>
      <c r="L8" s="175" t="s">
        <v>5</v>
      </c>
    </row>
    <row r="9" spans="1:13">
      <c r="A9" s="24" t="s">
        <v>217</v>
      </c>
      <c r="H9" s="166"/>
    </row>
    <row r="10" spans="1:13">
      <c r="A10" s="24"/>
      <c r="B10" s="166" t="s">
        <v>7</v>
      </c>
      <c r="F10" s="166" t="s">
        <v>218</v>
      </c>
      <c r="H10" s="177">
        <v>5061568</v>
      </c>
      <c r="I10" s="273"/>
      <c r="J10" s="169">
        <v>61498</v>
      </c>
      <c r="L10" s="169">
        <f>H10-J10</f>
        <v>5000070</v>
      </c>
    </row>
    <row r="11" spans="1:13">
      <c r="A11" s="24"/>
      <c r="H11" s="177"/>
      <c r="J11" s="169"/>
      <c r="L11" s="169"/>
    </row>
    <row r="12" spans="1:13">
      <c r="A12" s="24"/>
      <c r="B12" s="166" t="s">
        <v>24</v>
      </c>
      <c r="F12" s="166" t="s">
        <v>219</v>
      </c>
      <c r="H12" s="169">
        <v>444047</v>
      </c>
      <c r="I12" s="169"/>
      <c r="J12" s="169">
        <v>37596</v>
      </c>
      <c r="K12" s="169"/>
      <c r="L12" s="169">
        <f t="shared" ref="L12:L13" si="0">H12-J12</f>
        <v>406451</v>
      </c>
    </row>
    <row r="13" spans="1:13">
      <c r="A13" s="24"/>
      <c r="F13" s="166" t="s">
        <v>220</v>
      </c>
      <c r="H13" s="169">
        <v>322079</v>
      </c>
      <c r="I13" s="169"/>
      <c r="J13" s="169">
        <v>23449</v>
      </c>
      <c r="K13" s="169"/>
      <c r="L13" s="169">
        <f t="shared" si="0"/>
        <v>298630</v>
      </c>
    </row>
    <row r="14" spans="1:13">
      <c r="A14" s="24"/>
      <c r="H14" s="181">
        <f>SUM(H12:H13)</f>
        <v>766126</v>
      </c>
      <c r="I14" s="169"/>
      <c r="J14" s="181">
        <f>SUM(J12:J13)</f>
        <v>61045</v>
      </c>
      <c r="K14" s="169"/>
      <c r="L14" s="181">
        <f>SUM(L12:L13)</f>
        <v>705081</v>
      </c>
    </row>
    <row r="15" spans="1:13">
      <c r="A15" s="24"/>
      <c r="I15" s="169"/>
      <c r="J15" s="169"/>
      <c r="K15" s="169"/>
      <c r="L15" s="169"/>
    </row>
    <row r="16" spans="1:13">
      <c r="A16" s="24"/>
      <c r="B16" s="166" t="s">
        <v>25</v>
      </c>
    </row>
    <row r="17" spans="1:12">
      <c r="A17" s="24"/>
      <c r="C17" s="166" t="s">
        <v>72</v>
      </c>
      <c r="F17" s="166" t="s">
        <v>221</v>
      </c>
      <c r="H17" s="169">
        <v>1614324</v>
      </c>
      <c r="I17" s="169"/>
      <c r="J17" s="169">
        <v>104191</v>
      </c>
      <c r="K17" s="169"/>
      <c r="L17" s="169">
        <f>H17-J17</f>
        <v>1510133</v>
      </c>
    </row>
    <row r="19" spans="1:12">
      <c r="A19" s="24" t="s">
        <v>222</v>
      </c>
      <c r="I19" s="169"/>
      <c r="J19" s="169"/>
      <c r="K19" s="169"/>
      <c r="L19" s="169"/>
    </row>
    <row r="20" spans="1:12">
      <c r="A20" s="24"/>
      <c r="B20" s="166" t="s">
        <v>223</v>
      </c>
      <c r="I20" s="169"/>
      <c r="J20" s="169"/>
      <c r="K20" s="169"/>
      <c r="L20" s="169"/>
    </row>
    <row r="21" spans="1:12">
      <c r="C21" s="166" t="s">
        <v>224</v>
      </c>
      <c r="I21" s="169"/>
      <c r="J21" s="169"/>
      <c r="K21" s="169"/>
      <c r="L21" s="169"/>
    </row>
    <row r="22" spans="1:12">
      <c r="D22" s="166" t="s">
        <v>225</v>
      </c>
      <c r="F22" s="166" t="s">
        <v>226</v>
      </c>
      <c r="H22" s="346">
        <v>70956</v>
      </c>
      <c r="I22" s="169"/>
      <c r="J22" s="178"/>
      <c r="K22" s="169"/>
      <c r="L22" s="169"/>
    </row>
    <row r="23" spans="1:12">
      <c r="D23" s="166" t="s">
        <v>227</v>
      </c>
      <c r="F23" s="166" t="s">
        <v>226</v>
      </c>
      <c r="H23" s="188">
        <v>2488591</v>
      </c>
      <c r="I23" s="169"/>
      <c r="J23" s="188"/>
      <c r="K23" s="169"/>
      <c r="L23" s="185"/>
    </row>
    <row r="24" spans="1:12">
      <c r="H24" s="169">
        <f>SUM(H22:H23)</f>
        <v>2559547</v>
      </c>
      <c r="I24" s="169"/>
      <c r="J24" s="169">
        <v>157910</v>
      </c>
      <c r="K24" s="169"/>
      <c r="L24" s="169">
        <f>H24-J24</f>
        <v>2401637</v>
      </c>
    </row>
    <row r="25" spans="1:12">
      <c r="C25" s="166" t="s">
        <v>228</v>
      </c>
      <c r="F25" s="166" t="s">
        <v>226</v>
      </c>
      <c r="H25" s="169">
        <v>5108</v>
      </c>
      <c r="I25" s="169"/>
      <c r="J25" s="178">
        <v>419</v>
      </c>
      <c r="K25" s="169"/>
      <c r="L25" s="169">
        <f t="shared" ref="L25" si="1">H25-J25</f>
        <v>4689</v>
      </c>
    </row>
    <row r="26" spans="1:12">
      <c r="B26" s="166" t="s">
        <v>229</v>
      </c>
      <c r="I26" s="169"/>
      <c r="J26" s="169"/>
      <c r="K26" s="169"/>
      <c r="L26" s="169"/>
    </row>
    <row r="27" spans="1:12">
      <c r="C27" s="166" t="s">
        <v>230</v>
      </c>
      <c r="F27" s="166" t="s">
        <v>226</v>
      </c>
      <c r="H27" s="178">
        <f>8186523+12000</f>
        <v>8198523</v>
      </c>
      <c r="I27" s="178"/>
      <c r="J27" s="178">
        <v>216088</v>
      </c>
      <c r="K27" s="169"/>
      <c r="L27" s="169">
        <f t="shared" ref="L27:L35" si="2">H27-J27</f>
        <v>7982435</v>
      </c>
    </row>
    <row r="28" spans="1:12">
      <c r="C28" s="166" t="s">
        <v>231</v>
      </c>
      <c r="F28" s="166" t="s">
        <v>226</v>
      </c>
      <c r="H28" s="178">
        <v>317247</v>
      </c>
      <c r="I28" s="178"/>
      <c r="J28" s="178">
        <v>55469</v>
      </c>
      <c r="K28" s="169"/>
      <c r="L28" s="169">
        <f t="shared" si="2"/>
        <v>261778</v>
      </c>
    </row>
    <row r="29" spans="1:12">
      <c r="C29" s="166" t="s">
        <v>232</v>
      </c>
      <c r="I29" s="169"/>
      <c r="J29" s="169"/>
      <c r="K29" s="169"/>
      <c r="L29" s="169"/>
    </row>
    <row r="30" spans="1:12">
      <c r="D30" s="166" t="s">
        <v>233</v>
      </c>
      <c r="I30" s="169"/>
      <c r="J30" s="169"/>
      <c r="K30" s="169"/>
      <c r="L30" s="169"/>
    </row>
    <row r="31" spans="1:12">
      <c r="D31" s="166" t="s">
        <v>234</v>
      </c>
      <c r="F31" s="166" t="s">
        <v>226</v>
      </c>
      <c r="H31" s="178">
        <v>120985</v>
      </c>
      <c r="I31" s="178"/>
      <c r="J31" s="178"/>
      <c r="K31" s="178"/>
      <c r="L31" s="178"/>
    </row>
    <row r="32" spans="1:12">
      <c r="D32" s="166" t="s">
        <v>235</v>
      </c>
      <c r="F32" s="166" t="s">
        <v>226</v>
      </c>
      <c r="H32" s="188">
        <v>76017</v>
      </c>
      <c r="I32" s="178"/>
      <c r="J32" s="188"/>
      <c r="K32" s="178"/>
      <c r="L32" s="188"/>
    </row>
    <row r="33" spans="1:12">
      <c r="H33" s="178">
        <f>SUM(H31:H32)</f>
        <v>197002</v>
      </c>
      <c r="I33" s="178"/>
      <c r="J33" s="178">
        <v>0</v>
      </c>
      <c r="K33" s="178"/>
      <c r="L33" s="178">
        <f>H33-J33</f>
        <v>197002</v>
      </c>
    </row>
    <row r="34" spans="1:12">
      <c r="D34" s="166" t="s">
        <v>236</v>
      </c>
      <c r="F34" s="166" t="s">
        <v>226</v>
      </c>
      <c r="H34" s="178">
        <v>918382</v>
      </c>
      <c r="I34" s="178"/>
      <c r="J34" s="178">
        <v>0</v>
      </c>
      <c r="K34" s="169"/>
      <c r="L34" s="169">
        <f t="shared" si="2"/>
        <v>918382</v>
      </c>
    </row>
    <row r="35" spans="1:12">
      <c r="D35" s="317" t="s">
        <v>402</v>
      </c>
      <c r="F35" s="166" t="s">
        <v>226</v>
      </c>
      <c r="H35" s="169">
        <v>274337</v>
      </c>
      <c r="J35" s="166">
        <v>0</v>
      </c>
      <c r="L35" s="169">
        <f t="shared" si="2"/>
        <v>274337</v>
      </c>
    </row>
    <row r="36" spans="1:12">
      <c r="D36" s="166" t="s">
        <v>237</v>
      </c>
      <c r="F36" s="166" t="s">
        <v>226</v>
      </c>
      <c r="H36" s="178">
        <v>1523</v>
      </c>
      <c r="I36" s="178"/>
      <c r="J36" s="178">
        <v>133</v>
      </c>
      <c r="K36" s="169"/>
      <c r="L36" s="169">
        <f>H36-J36</f>
        <v>1390</v>
      </c>
    </row>
    <row r="37" spans="1:12">
      <c r="H37" s="181">
        <f>SUM(H33:H36)</f>
        <v>1391244</v>
      </c>
      <c r="I37" s="169"/>
      <c r="J37" s="181">
        <f>SUM(J33:J36)</f>
        <v>133</v>
      </c>
      <c r="K37" s="169"/>
      <c r="L37" s="181">
        <f>SUM(L33:L36)</f>
        <v>1391111</v>
      </c>
    </row>
    <row r="38" spans="1:12">
      <c r="C38" s="166" t="s">
        <v>238</v>
      </c>
      <c r="H38" s="166"/>
    </row>
    <row r="39" spans="1:12">
      <c r="D39" s="166" t="s">
        <v>239</v>
      </c>
      <c r="F39" s="166" t="s">
        <v>226</v>
      </c>
      <c r="H39" s="178">
        <v>275899</v>
      </c>
      <c r="I39" s="178"/>
      <c r="J39" s="178">
        <v>178439</v>
      </c>
      <c r="K39" s="169"/>
      <c r="L39" s="169">
        <f>H39-J39</f>
        <v>97460</v>
      </c>
    </row>
    <row r="40" spans="1:12" ht="13.5" thickBot="1">
      <c r="A40" s="166" t="s">
        <v>240</v>
      </c>
      <c r="H40" s="179">
        <f>H24+H25+H27+H28+H39+H37</f>
        <v>12747568</v>
      </c>
      <c r="J40" s="179">
        <f>J24+J25+J27+J28+J39+J37</f>
        <v>608458</v>
      </c>
      <c r="L40" s="179">
        <f>L24+L25+L27+L28+L39+L37</f>
        <v>12139110</v>
      </c>
    </row>
    <row r="41" spans="1:12" ht="13.5" thickTop="1"/>
  </sheetData>
  <printOptions horizontalCentered="1"/>
  <pageMargins left="0.17" right="0.17" top="1" bottom="0.75" header="0.3" footer="0.3"/>
  <pageSetup orientation="portrait" r:id="rId1"/>
  <headerFooter>
    <oddFooter>&amp;C&amp;F - &amp;A
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showGridLines="0" workbookViewId="0"/>
  </sheetViews>
  <sheetFormatPr defaultRowHeight="12.75"/>
  <cols>
    <col min="1" max="1" width="43.7109375" style="189" customWidth="1"/>
    <col min="2" max="2" width="9.7109375" style="189" bestFit="1" customWidth="1"/>
    <col min="3" max="3" width="14.42578125" style="189" bestFit="1" customWidth="1"/>
    <col min="4" max="16384" width="9.140625" style="189"/>
  </cols>
  <sheetData>
    <row r="1" spans="1:3">
      <c r="A1" s="4" t="s">
        <v>0</v>
      </c>
      <c r="B1" s="4"/>
      <c r="C1" s="4"/>
    </row>
    <row r="2" spans="1:3">
      <c r="A2" s="4" t="s">
        <v>60</v>
      </c>
      <c r="B2" s="4"/>
      <c r="C2" s="4"/>
    </row>
    <row r="3" spans="1:3">
      <c r="A3" s="4" t="s">
        <v>243</v>
      </c>
      <c r="B3" s="4"/>
      <c r="C3" s="4"/>
    </row>
    <row r="4" spans="1:3">
      <c r="A4" s="4" t="str">
        <f>'Other O&amp;M Expenses'!A4</f>
        <v>Twelve Months Ended December 31, 2016</v>
      </c>
      <c r="B4" s="4"/>
      <c r="C4" s="4"/>
    </row>
    <row r="5" spans="1:3">
      <c r="A5" s="4"/>
      <c r="B5" s="4"/>
      <c r="C5" s="4"/>
    </row>
    <row r="7" spans="1:3">
      <c r="A7" s="190" t="s">
        <v>353</v>
      </c>
      <c r="B7" s="127"/>
      <c r="C7" s="191">
        <v>2016</v>
      </c>
    </row>
    <row r="9" spans="1:3">
      <c r="A9" s="300" t="s">
        <v>244</v>
      </c>
      <c r="B9" s="127"/>
      <c r="C9" s="127"/>
    </row>
    <row r="10" spans="1:3">
      <c r="A10" s="192" t="s">
        <v>245</v>
      </c>
      <c r="B10" s="127"/>
      <c r="C10" s="193">
        <v>907977.19</v>
      </c>
    </row>
    <row r="12" spans="1:3">
      <c r="A12" s="301" t="s">
        <v>246</v>
      </c>
      <c r="B12" s="127"/>
      <c r="C12" s="127"/>
    </row>
    <row r="13" spans="1:3">
      <c r="A13" s="192" t="s">
        <v>245</v>
      </c>
      <c r="B13" s="127"/>
      <c r="C13" s="194">
        <v>2268065.14</v>
      </c>
    </row>
    <row r="15" spans="1:3">
      <c r="A15" s="301" t="s">
        <v>247</v>
      </c>
      <c r="B15" s="127"/>
      <c r="C15" s="127"/>
    </row>
    <row r="16" spans="1:3">
      <c r="A16" s="192" t="s">
        <v>245</v>
      </c>
      <c r="B16" s="127"/>
      <c r="C16" s="194">
        <v>101988.58</v>
      </c>
    </row>
    <row r="17" spans="1:3">
      <c r="A17" s="127"/>
      <c r="B17" s="127"/>
      <c r="C17" s="195"/>
    </row>
    <row r="18" spans="1:3">
      <c r="A18" s="301" t="s">
        <v>248</v>
      </c>
      <c r="B18" s="127"/>
      <c r="C18" s="195"/>
    </row>
    <row r="19" spans="1:3">
      <c r="A19" s="192" t="s">
        <v>245</v>
      </c>
      <c r="B19" s="127"/>
      <c r="C19" s="194">
        <v>424864.59</v>
      </c>
    </row>
    <row r="20" spans="1:3">
      <c r="A20" s="127"/>
      <c r="B20" s="127"/>
      <c r="C20" s="195"/>
    </row>
    <row r="21" spans="1:3">
      <c r="A21" s="301" t="s">
        <v>249</v>
      </c>
      <c r="B21" s="127"/>
      <c r="C21" s="195"/>
    </row>
    <row r="22" spans="1:3">
      <c r="A22" s="192" t="s">
        <v>250</v>
      </c>
      <c r="B22" s="127"/>
      <c r="C22" s="195">
        <v>2122.09</v>
      </c>
    </row>
    <row r="23" spans="1:3">
      <c r="A23" s="192" t="s">
        <v>251</v>
      </c>
      <c r="B23" s="127"/>
      <c r="C23" s="195">
        <v>3284.29</v>
      </c>
    </row>
    <row r="24" spans="1:3">
      <c r="A24" s="192" t="s">
        <v>252</v>
      </c>
      <c r="B24" s="127"/>
      <c r="C24" s="196">
        <v>6874.08</v>
      </c>
    </row>
    <row r="25" spans="1:3" ht="13.5" thickBot="1">
      <c r="A25" s="192" t="s">
        <v>240</v>
      </c>
      <c r="B25" s="127"/>
      <c r="C25" s="197">
        <f>SUM(C22:C24)</f>
        <v>12280.46</v>
      </c>
    </row>
    <row r="26" spans="1:3" ht="13.5" thickTop="1">
      <c r="A26" s="127"/>
      <c r="B26" s="127"/>
      <c r="C26" s="127"/>
    </row>
    <row r="27" spans="1:3">
      <c r="A27" s="301" t="s">
        <v>253</v>
      </c>
      <c r="B27" s="127"/>
      <c r="C27" s="127"/>
    </row>
    <row r="28" spans="1:3">
      <c r="A28" s="192" t="s">
        <v>251</v>
      </c>
      <c r="B28" s="127"/>
      <c r="C28" s="195">
        <v>9512.84</v>
      </c>
    </row>
    <row r="29" spans="1:3">
      <c r="A29" s="192" t="s">
        <v>252</v>
      </c>
      <c r="B29" s="127"/>
      <c r="C29" s="195">
        <v>247</v>
      </c>
    </row>
    <row r="30" spans="1:3" ht="13.5" thickBot="1">
      <c r="A30" s="192" t="s">
        <v>240</v>
      </c>
      <c r="B30" s="127"/>
      <c r="C30" s="197">
        <f>SUM(C28:C29)</f>
        <v>9759.84</v>
      </c>
    </row>
    <row r="31" spans="1:3" ht="13.5" thickTop="1">
      <c r="A31" s="127"/>
      <c r="B31" s="127"/>
      <c r="C31" s="195"/>
    </row>
    <row r="32" spans="1:3">
      <c r="A32" s="301" t="s">
        <v>254</v>
      </c>
      <c r="B32" s="127"/>
      <c r="C32" s="195"/>
    </row>
    <row r="33" spans="1:3">
      <c r="A33" s="192" t="s">
        <v>255</v>
      </c>
      <c r="B33" s="127"/>
      <c r="C33" s="195">
        <v>138</v>
      </c>
    </row>
    <row r="34" spans="1:3">
      <c r="A34" s="192" t="s">
        <v>251</v>
      </c>
      <c r="B34" s="127"/>
      <c r="C34" s="195">
        <v>4258.8599999999997</v>
      </c>
    </row>
    <row r="35" spans="1:3">
      <c r="A35" s="192" t="s">
        <v>252</v>
      </c>
      <c r="B35" s="127"/>
      <c r="C35" s="195">
        <v>2591.44</v>
      </c>
    </row>
    <row r="36" spans="1:3" ht="13.5" thickBot="1">
      <c r="A36" s="192" t="s">
        <v>240</v>
      </c>
      <c r="B36" s="127"/>
      <c r="C36" s="197">
        <f>SUM(C33:C35)</f>
        <v>6988.2999999999993</v>
      </c>
    </row>
    <row r="37" spans="1:3" ht="13.5" thickTop="1">
      <c r="A37" s="127"/>
      <c r="B37" s="127"/>
      <c r="C37" s="195"/>
    </row>
    <row r="38" spans="1:3">
      <c r="A38" s="301" t="s">
        <v>256</v>
      </c>
      <c r="B38" s="127"/>
      <c r="C38" s="195"/>
    </row>
    <row r="39" spans="1:3">
      <c r="A39" s="192" t="s">
        <v>245</v>
      </c>
      <c r="B39" s="127"/>
      <c r="C39" s="194">
        <v>3290014</v>
      </c>
    </row>
    <row r="40" spans="1:3">
      <c r="A40" s="129" t="s">
        <v>257</v>
      </c>
      <c r="B40" s="127"/>
      <c r="C40" s="248">
        <v>1618.18</v>
      </c>
    </row>
    <row r="41" spans="1:3" ht="13.5" thickBot="1">
      <c r="A41" s="129"/>
      <c r="B41" s="127"/>
      <c r="C41" s="198">
        <f>SUM(C39:C40)</f>
        <v>3291632.18</v>
      </c>
    </row>
    <row r="42" spans="1:3" ht="13.5" thickTop="1">
      <c r="A42" s="127"/>
      <c r="B42" s="127"/>
      <c r="C42" s="194"/>
    </row>
    <row r="43" spans="1:3">
      <c r="A43" s="301" t="s">
        <v>258</v>
      </c>
      <c r="B43" s="127"/>
      <c r="C43" s="194"/>
    </row>
    <row r="44" spans="1:3">
      <c r="A44" s="192" t="s">
        <v>245</v>
      </c>
      <c r="B44" s="127"/>
      <c r="C44" s="194">
        <v>2053197.93</v>
      </c>
    </row>
    <row r="45" spans="1:3">
      <c r="A45" s="129" t="s">
        <v>257</v>
      </c>
      <c r="B45" s="127"/>
      <c r="C45" s="194">
        <v>4675.4399999999996</v>
      </c>
    </row>
    <row r="46" spans="1:3">
      <c r="A46" s="129" t="s">
        <v>259</v>
      </c>
      <c r="C46" s="199">
        <v>1052.6300000000001</v>
      </c>
    </row>
    <row r="47" spans="1:3" ht="13.5" thickBot="1">
      <c r="A47" s="129"/>
      <c r="B47" s="127"/>
      <c r="C47" s="198">
        <f>SUM(C44:C46)</f>
        <v>2058925.9999999998</v>
      </c>
    </row>
    <row r="48" spans="1:3" ht="13.5" thickTop="1">
      <c r="A48" s="127"/>
      <c r="B48" s="127"/>
      <c r="C48" s="194"/>
    </row>
    <row r="49" spans="1:3">
      <c r="A49" s="301" t="s">
        <v>260</v>
      </c>
      <c r="B49" s="127"/>
      <c r="C49" s="194"/>
    </row>
    <row r="50" spans="1:3">
      <c r="A50" s="192" t="s">
        <v>261</v>
      </c>
      <c r="B50" s="127"/>
      <c r="C50" s="194">
        <v>212858.98</v>
      </c>
    </row>
    <row r="51" spans="1:3">
      <c r="A51" s="192" t="s">
        <v>251</v>
      </c>
      <c r="B51" s="127"/>
      <c r="C51" s="194">
        <v>235953.37</v>
      </c>
    </row>
    <row r="52" spans="1:3">
      <c r="A52" s="192" t="s">
        <v>252</v>
      </c>
      <c r="B52" s="127"/>
      <c r="C52" s="194">
        <v>163705.36000000002</v>
      </c>
    </row>
    <row r="53" spans="1:3">
      <c r="A53" s="192" t="s">
        <v>255</v>
      </c>
      <c r="B53" s="127"/>
      <c r="C53" s="194">
        <v>574.9</v>
      </c>
    </row>
    <row r="54" spans="1:3" ht="13.5" thickBot="1">
      <c r="A54" s="127"/>
      <c r="B54" s="127"/>
      <c r="C54" s="198">
        <f>SUM(C50:C53)</f>
        <v>613092.61</v>
      </c>
    </row>
    <row r="55" spans="1:3" ht="13.5" thickTop="1">
      <c r="A55" s="127"/>
      <c r="B55" s="127"/>
      <c r="C55" s="195"/>
    </row>
    <row r="56" spans="1:3">
      <c r="A56" s="302" t="s">
        <v>351</v>
      </c>
      <c r="B56" s="127"/>
      <c r="C56" s="195"/>
    </row>
    <row r="57" spans="1:3">
      <c r="A57" s="299" t="s">
        <v>251</v>
      </c>
      <c r="C57" s="199">
        <v>87037.93</v>
      </c>
    </row>
    <row r="58" spans="1:3">
      <c r="A58" s="299" t="s">
        <v>352</v>
      </c>
      <c r="C58" s="199">
        <v>27880.32</v>
      </c>
    </row>
    <row r="59" spans="1:3" ht="13.5" thickBot="1">
      <c r="C59" s="202">
        <f>SUM(C57:C58)</f>
        <v>114918.25</v>
      </c>
    </row>
    <row r="60" spans="1:3" ht="13.5" thickTop="1"/>
    <row r="61" spans="1:3">
      <c r="A61" s="301" t="s">
        <v>407</v>
      </c>
      <c r="B61" s="127"/>
      <c r="C61" s="194"/>
    </row>
    <row r="62" spans="1:3">
      <c r="A62" s="192" t="s">
        <v>408</v>
      </c>
      <c r="B62" s="127"/>
      <c r="C62" s="194">
        <v>7244272.9000000004</v>
      </c>
    </row>
    <row r="63" spans="1:3">
      <c r="A63" s="129" t="s">
        <v>409</v>
      </c>
      <c r="B63" s="127"/>
      <c r="C63" s="194">
        <v>424706.38</v>
      </c>
    </row>
    <row r="64" spans="1:3">
      <c r="A64" s="129" t="s">
        <v>410</v>
      </c>
      <c r="C64" s="199">
        <v>222970.86</v>
      </c>
    </row>
    <row r="65" spans="1:3" ht="13.5" thickBot="1">
      <c r="A65" s="129"/>
      <c r="B65" s="127"/>
      <c r="C65" s="198">
        <f>SUM(C62:C64)</f>
        <v>7891950.1400000006</v>
      </c>
    </row>
    <row r="66" spans="1:3" ht="13.5" thickTop="1"/>
    <row r="67" spans="1:3" ht="13.5" thickBot="1">
      <c r="A67" s="129" t="s">
        <v>10</v>
      </c>
      <c r="B67" s="127"/>
      <c r="C67" s="200">
        <f>C10+C13+C16+C19+C25+C30+C36+C41+C47+C54+C59+C65</f>
        <v>17702443.280000001</v>
      </c>
    </row>
    <row r="68" spans="1:3" ht="13.5" thickTop="1">
      <c r="A68" s="127"/>
      <c r="B68" s="127"/>
      <c r="C68" s="127"/>
    </row>
  </sheetData>
  <printOptions horizontalCentered="1"/>
  <pageMargins left="0.17" right="0.17" top="0.76" bottom="0.17" header="0.3" footer="0.17"/>
  <pageSetup scale="95" orientation="portrait" r:id="rId1"/>
  <headerFooter>
    <oddFooter>&amp;C&amp;F - &amp;A
Page &amp;P of &amp;N</oddFooter>
  </headerFooter>
  <rowBreaks count="1" manualBreakCount="1">
    <brk id="55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workbookViewId="0"/>
  </sheetViews>
  <sheetFormatPr defaultRowHeight="12.75"/>
  <cols>
    <col min="1" max="1" width="2.7109375" style="189" customWidth="1"/>
    <col min="2" max="2" width="17.7109375" style="189" bestFit="1" customWidth="1"/>
    <col min="3" max="3" width="2.7109375" style="189" customWidth="1"/>
    <col min="4" max="4" width="13.28515625" style="189" bestFit="1" customWidth="1"/>
    <col min="5" max="5" width="2.7109375" style="189" customWidth="1"/>
    <col min="6" max="6" width="12" style="189" bestFit="1" customWidth="1"/>
    <col min="7" max="7" width="2.7109375" style="189" customWidth="1"/>
    <col min="8" max="8" width="10.7109375" style="189" bestFit="1" customWidth="1"/>
    <col min="9" max="9" width="2.7109375" style="189" customWidth="1"/>
    <col min="10" max="11" width="10.7109375" style="189" bestFit="1" customWidth="1"/>
    <col min="12" max="12" width="9.7109375" style="189" bestFit="1" customWidth="1"/>
    <col min="13" max="16384" width="9.140625" style="189"/>
  </cols>
  <sheetData>
    <row r="1" spans="1:12">
      <c r="A1" s="4" t="s">
        <v>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2">
      <c r="A2" s="4" t="s">
        <v>60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2">
      <c r="A3" s="4" t="s">
        <v>330</v>
      </c>
      <c r="B3" s="4"/>
      <c r="C3" s="4"/>
      <c r="D3" s="215"/>
      <c r="E3" s="215"/>
      <c r="F3" s="215"/>
      <c r="G3" s="215"/>
      <c r="H3" s="215"/>
      <c r="I3" s="215"/>
      <c r="J3" s="215"/>
    </row>
    <row r="4" spans="1:12">
      <c r="A4" s="4" t="str">
        <f>'Acct 456.1'!A4</f>
        <v>Twelve Months Ended December 31, 2016</v>
      </c>
      <c r="B4" s="4"/>
      <c r="C4" s="4"/>
      <c r="D4" s="215"/>
      <c r="E4" s="215"/>
      <c r="F4" s="215"/>
      <c r="G4" s="215"/>
      <c r="H4" s="215"/>
      <c r="I4" s="215"/>
      <c r="J4" s="215"/>
    </row>
    <row r="5" spans="1:12">
      <c r="K5" s="203"/>
      <c r="L5" s="203"/>
    </row>
    <row r="6" spans="1:12">
      <c r="K6" s="203"/>
      <c r="L6" s="203"/>
    </row>
    <row r="7" spans="1:12">
      <c r="D7" s="204" t="s">
        <v>33</v>
      </c>
      <c r="F7" s="203"/>
      <c r="G7" s="203"/>
      <c r="H7" s="203"/>
      <c r="I7" s="203"/>
      <c r="J7" s="205" t="s">
        <v>2</v>
      </c>
      <c r="K7" s="203"/>
      <c r="L7" s="203"/>
    </row>
    <row r="8" spans="1:12">
      <c r="D8" s="207" t="s">
        <v>276</v>
      </c>
      <c r="F8" s="208" t="s">
        <v>277</v>
      </c>
      <c r="G8" s="203"/>
      <c r="H8" s="208" t="s">
        <v>65</v>
      </c>
      <c r="I8" s="203"/>
      <c r="J8" s="208" t="s">
        <v>5</v>
      </c>
      <c r="K8" s="203"/>
      <c r="L8" s="203"/>
    </row>
    <row r="9" spans="1:12">
      <c r="A9" s="189" t="s">
        <v>6</v>
      </c>
      <c r="D9" s="189" t="s">
        <v>278</v>
      </c>
      <c r="F9" s="311">
        <v>9876607</v>
      </c>
      <c r="G9" s="210"/>
      <c r="H9" s="210">
        <v>70139</v>
      </c>
      <c r="I9" s="210"/>
      <c r="J9" s="210">
        <f>F9-H9</f>
        <v>9806468</v>
      </c>
      <c r="K9" s="203"/>
      <c r="L9" s="203"/>
    </row>
    <row r="10" spans="1:12">
      <c r="A10" s="189" t="s">
        <v>7</v>
      </c>
      <c r="D10" s="189" t="s">
        <v>279</v>
      </c>
      <c r="F10" s="312">
        <v>3874600</v>
      </c>
      <c r="G10" s="203"/>
      <c r="H10" s="203">
        <v>115717</v>
      </c>
      <c r="I10" s="203"/>
      <c r="J10" s="203">
        <f t="shared" ref="J10:J15" si="0">F10-H10</f>
        <v>3758883</v>
      </c>
      <c r="K10" s="203"/>
      <c r="L10" s="203"/>
    </row>
    <row r="11" spans="1:12">
      <c r="A11" s="189" t="s">
        <v>8</v>
      </c>
      <c r="D11" s="189" t="s">
        <v>280</v>
      </c>
      <c r="F11" s="312">
        <v>9291020</v>
      </c>
      <c r="G11" s="203"/>
      <c r="H11" s="203">
        <v>973726</v>
      </c>
      <c r="I11" s="203"/>
      <c r="J11" s="203">
        <f t="shared" si="0"/>
        <v>8317294</v>
      </c>
      <c r="K11" s="203"/>
      <c r="L11" s="203"/>
    </row>
    <row r="12" spans="1:12">
      <c r="A12" s="189" t="s">
        <v>232</v>
      </c>
      <c r="F12" s="312"/>
      <c r="G12" s="203"/>
      <c r="H12" s="203"/>
      <c r="I12" s="203"/>
      <c r="J12" s="203"/>
      <c r="K12" s="203"/>
      <c r="L12" s="203"/>
    </row>
    <row r="13" spans="1:12">
      <c r="B13" s="189" t="s">
        <v>281</v>
      </c>
      <c r="D13" s="189" t="s">
        <v>282</v>
      </c>
      <c r="F13" s="312">
        <v>2495413</v>
      </c>
      <c r="G13" s="203"/>
      <c r="H13" s="203">
        <v>269911</v>
      </c>
      <c r="I13" s="203"/>
      <c r="J13" s="203">
        <f t="shared" si="0"/>
        <v>2225502</v>
      </c>
      <c r="K13" s="203"/>
      <c r="L13" s="203"/>
    </row>
    <row r="14" spans="1:12">
      <c r="B14" s="189" t="s">
        <v>283</v>
      </c>
      <c r="D14" s="189" t="s">
        <v>284</v>
      </c>
      <c r="F14" s="312">
        <v>93585</v>
      </c>
      <c r="G14" s="203"/>
      <c r="H14" s="203">
        <v>4187</v>
      </c>
      <c r="I14" s="203"/>
      <c r="J14" s="203">
        <f t="shared" si="0"/>
        <v>89398</v>
      </c>
      <c r="K14" s="203"/>
      <c r="L14" s="203"/>
    </row>
    <row r="15" spans="1:12">
      <c r="B15" s="189" t="s">
        <v>285</v>
      </c>
      <c r="D15" s="189" t="s">
        <v>286</v>
      </c>
      <c r="F15" s="312">
        <v>71205</v>
      </c>
      <c r="G15" s="203"/>
      <c r="H15" s="203">
        <v>3232</v>
      </c>
      <c r="I15" s="203"/>
      <c r="J15" s="203">
        <f t="shared" si="0"/>
        <v>67973</v>
      </c>
      <c r="K15" s="203"/>
      <c r="L15" s="203"/>
    </row>
    <row r="16" spans="1:12" ht="13.5" thickBot="1">
      <c r="F16" s="216">
        <f>SUM(F9:F15)</f>
        <v>25702430</v>
      </c>
      <c r="G16" s="203"/>
      <c r="H16" s="216">
        <f>SUM(H9:H15)</f>
        <v>1436912</v>
      </c>
      <c r="I16" s="203"/>
      <c r="J16" s="216">
        <f>SUM(J9:J15)</f>
        <v>24265518</v>
      </c>
      <c r="K16" s="203"/>
      <c r="L16" s="203"/>
    </row>
    <row r="17" spans="6:12" ht="13.5" thickTop="1">
      <c r="F17" s="203"/>
      <c r="G17" s="203"/>
      <c r="H17" s="203"/>
      <c r="I17" s="203"/>
      <c r="J17" s="203"/>
      <c r="K17" s="203"/>
      <c r="L17" s="203"/>
    </row>
  </sheetData>
  <printOptions horizontalCentered="1"/>
  <pageMargins left="0.17" right="0.17" top="1" bottom="0.75" header="0.3" footer="0.3"/>
  <pageSetup orientation="portrait" r:id="rId1"/>
  <headerFooter>
    <oddFooter>&amp;C&amp;F - &amp;A
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/>
  </sheetViews>
  <sheetFormatPr defaultRowHeight="12.75"/>
  <cols>
    <col min="1" max="1" width="2.7109375" style="189" customWidth="1"/>
    <col min="2" max="2" width="12.7109375" style="189" customWidth="1"/>
    <col min="3" max="3" width="2.7109375" style="189" customWidth="1"/>
    <col min="4" max="4" width="12.28515625" style="189" bestFit="1" customWidth="1"/>
    <col min="5" max="5" width="2.7109375" style="189" customWidth="1"/>
    <col min="6" max="6" width="14.42578125" style="189" bestFit="1" customWidth="1"/>
    <col min="7" max="7" width="2.7109375" style="189" customWidth="1"/>
    <col min="8" max="8" width="12.7109375" style="189" bestFit="1" customWidth="1"/>
    <col min="9" max="9" width="2.7109375" style="189" customWidth="1"/>
    <col min="10" max="10" width="14.42578125" style="189" bestFit="1" customWidth="1"/>
    <col min="11" max="16384" width="9.140625" style="189"/>
  </cols>
  <sheetData>
    <row r="1" spans="1:10">
      <c r="A1" s="4" t="s">
        <v>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>
      <c r="A2" s="4" t="s">
        <v>60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>
      <c r="A3" s="4" t="s">
        <v>331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0">
      <c r="A4" s="4" t="str">
        <f>'Wages &amp; Salary'!A4</f>
        <v>Twelve Months Ended December 31, 2016</v>
      </c>
      <c r="B4" s="215"/>
      <c r="C4" s="215"/>
      <c r="D4" s="215"/>
      <c r="E4" s="215"/>
      <c r="F4" s="215"/>
      <c r="G4" s="215"/>
      <c r="H4" s="215"/>
      <c r="I4" s="215"/>
      <c r="J4" s="215"/>
    </row>
    <row r="5" spans="1:10">
      <c r="A5" s="98"/>
    </row>
    <row r="7" spans="1:10">
      <c r="D7" s="204" t="s">
        <v>32</v>
      </c>
      <c r="F7" s="204" t="s">
        <v>33</v>
      </c>
      <c r="H7" s="204"/>
      <c r="J7" s="204" t="s">
        <v>2</v>
      </c>
    </row>
    <row r="8" spans="1:10">
      <c r="D8" s="207" t="s">
        <v>36</v>
      </c>
      <c r="F8" s="207" t="s">
        <v>29</v>
      </c>
      <c r="H8" s="207" t="s">
        <v>65</v>
      </c>
      <c r="J8" s="207" t="s">
        <v>5</v>
      </c>
    </row>
    <row r="9" spans="1:10">
      <c r="A9" s="189" t="s">
        <v>287</v>
      </c>
    </row>
    <row r="10" spans="1:10">
      <c r="B10" s="189" t="s">
        <v>72</v>
      </c>
      <c r="D10" s="189" t="s">
        <v>288</v>
      </c>
      <c r="F10" s="210">
        <v>1300936832</v>
      </c>
      <c r="G10" s="210"/>
      <c r="H10" s="286">
        <v>126025328</v>
      </c>
      <c r="I10" s="210"/>
      <c r="J10" s="210">
        <f>F10-H10</f>
        <v>1174911504</v>
      </c>
    </row>
    <row r="11" spans="1:10">
      <c r="B11" s="189" t="s">
        <v>98</v>
      </c>
      <c r="D11" s="189" t="s">
        <v>289</v>
      </c>
      <c r="F11" s="203">
        <v>528808631</v>
      </c>
      <c r="G11" s="203"/>
      <c r="H11" s="287">
        <v>29920073</v>
      </c>
      <c r="I11" s="203"/>
      <c r="J11" s="203">
        <f>F11-H11</f>
        <v>498888558</v>
      </c>
    </row>
    <row r="12" spans="1:10" ht="13.5" thickBot="1">
      <c r="F12" s="216">
        <f>SUM(F10:F11)</f>
        <v>1829745463</v>
      </c>
      <c r="G12" s="203"/>
      <c r="H12" s="216">
        <f>SUM(H10:H11)</f>
        <v>155945401</v>
      </c>
      <c r="I12" s="203"/>
      <c r="J12" s="216">
        <f>SUM(J10:J11)</f>
        <v>1673800062</v>
      </c>
    </row>
    <row r="13" spans="1:10" ht="13.5" thickTop="1">
      <c r="F13" s="203"/>
      <c r="G13" s="203"/>
      <c r="H13" s="203"/>
      <c r="I13" s="203"/>
      <c r="J13" s="203"/>
    </row>
    <row r="14" spans="1:10">
      <c r="F14" s="203"/>
      <c r="G14" s="203"/>
      <c r="H14" s="203"/>
      <c r="I14" s="203"/>
      <c r="J14" s="203"/>
    </row>
    <row r="15" spans="1:10">
      <c r="F15" s="203"/>
      <c r="G15" s="203"/>
      <c r="H15" s="203"/>
      <c r="I15" s="203"/>
      <c r="J15" s="203"/>
    </row>
    <row r="16" spans="1:10">
      <c r="F16" s="203"/>
      <c r="G16" s="203"/>
      <c r="H16" s="203"/>
      <c r="I16" s="203"/>
      <c r="J16" s="203"/>
    </row>
    <row r="17" spans="6:10">
      <c r="F17" s="203"/>
      <c r="G17" s="203"/>
      <c r="H17" s="203"/>
      <c r="I17" s="203"/>
      <c r="J17" s="203"/>
    </row>
    <row r="18" spans="6:10">
      <c r="F18" s="203"/>
      <c r="G18" s="203"/>
      <c r="H18" s="203"/>
      <c r="I18" s="203"/>
      <c r="J18" s="203"/>
    </row>
    <row r="19" spans="6:10">
      <c r="F19" s="203"/>
      <c r="G19" s="203"/>
      <c r="H19" s="203"/>
      <c r="I19" s="203"/>
      <c r="J19" s="203"/>
    </row>
    <row r="20" spans="6:10">
      <c r="F20" s="203"/>
      <c r="G20" s="203"/>
      <c r="H20" s="203"/>
      <c r="I20" s="203"/>
      <c r="J20" s="203"/>
    </row>
    <row r="21" spans="6:10">
      <c r="F21" s="203"/>
      <c r="G21" s="203"/>
      <c r="H21" s="203"/>
      <c r="I21" s="203"/>
      <c r="J21" s="203"/>
    </row>
    <row r="22" spans="6:10">
      <c r="F22" s="203"/>
      <c r="G22" s="203"/>
      <c r="H22" s="203"/>
      <c r="I22" s="203"/>
      <c r="J22" s="203"/>
    </row>
  </sheetData>
  <printOptions horizontalCentered="1"/>
  <pageMargins left="0.17" right="0.17" top="1" bottom="0.75" header="0.3" footer="0.3"/>
  <pageSetup orientation="portrait" r:id="rId1"/>
  <headerFooter>
    <oddFooter>&amp;C&amp;F -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/>
  </sheetViews>
  <sheetFormatPr defaultRowHeight="12.75"/>
  <cols>
    <col min="1" max="2" width="2.7109375" style="317" customWidth="1"/>
    <col min="3" max="3" width="55.7109375" style="317" customWidth="1"/>
    <col min="4" max="4" width="9.140625" style="317"/>
    <col min="5" max="5" width="12.28515625" style="320" customWidth="1"/>
    <col min="6" max="16384" width="9.140625" style="317"/>
  </cols>
  <sheetData>
    <row r="1" spans="1:5">
      <c r="A1" s="4" t="s">
        <v>0</v>
      </c>
      <c r="B1" s="449"/>
      <c r="C1" s="449"/>
      <c r="D1" s="449"/>
      <c r="E1" s="680"/>
    </row>
    <row r="2" spans="1:5">
      <c r="A2" s="4" t="s">
        <v>900</v>
      </c>
      <c r="B2" s="449"/>
      <c r="C2" s="449"/>
      <c r="D2" s="449"/>
      <c r="E2" s="680"/>
    </row>
    <row r="3" spans="1:5">
      <c r="A3" s="4" t="s">
        <v>374</v>
      </c>
      <c r="B3" s="449"/>
      <c r="C3" s="449"/>
      <c r="D3" s="449"/>
      <c r="E3" s="680"/>
    </row>
    <row r="6" spans="1:5">
      <c r="A6" s="317" t="s">
        <v>901</v>
      </c>
    </row>
    <row r="7" spans="1:5">
      <c r="B7" s="317" t="s">
        <v>538</v>
      </c>
      <c r="E7" s="682">
        <f>'MDU Attachment O 2016 Actuals'!J28</f>
        <v>15359443.337350043</v>
      </c>
    </row>
    <row r="8" spans="1:5">
      <c r="B8" s="317" t="s">
        <v>902</v>
      </c>
      <c r="E8" s="683">
        <v>16923212</v>
      </c>
    </row>
    <row r="9" spans="1:5">
      <c r="B9" s="317" t="s">
        <v>903</v>
      </c>
      <c r="C9" s="687"/>
      <c r="E9" s="684">
        <f>E7-E8</f>
        <v>-1563768.6626499575</v>
      </c>
    </row>
    <row r="10" spans="1:5">
      <c r="E10" s="683"/>
    </row>
    <row r="11" spans="1:5">
      <c r="A11" s="317" t="s">
        <v>904</v>
      </c>
      <c r="E11" s="683"/>
    </row>
    <row r="12" spans="1:5">
      <c r="B12" s="317" t="s">
        <v>888</v>
      </c>
      <c r="E12" s="683">
        <v>607426</v>
      </c>
    </row>
    <row r="13" spans="1:5">
      <c r="B13" s="317" t="s">
        <v>890</v>
      </c>
      <c r="E13" s="683">
        <v>540717</v>
      </c>
    </row>
    <row r="14" spans="1:5">
      <c r="C14" s="317" t="s">
        <v>905</v>
      </c>
      <c r="E14" s="684">
        <f>E13-E12</f>
        <v>-66709</v>
      </c>
    </row>
    <row r="15" spans="1:5">
      <c r="B15" s="317" t="s">
        <v>892</v>
      </c>
      <c r="E15" s="685">
        <v>31.297999999999998</v>
      </c>
    </row>
    <row r="16" spans="1:5">
      <c r="C16" s="687" t="s">
        <v>906</v>
      </c>
      <c r="E16" s="684">
        <f>ROUND(E14*E15,0)</f>
        <v>-2087858</v>
      </c>
    </row>
    <row r="17" spans="1:5">
      <c r="E17" s="683"/>
    </row>
    <row r="18" spans="1:5">
      <c r="A18" s="317" t="s">
        <v>10</v>
      </c>
      <c r="E18" s="683"/>
    </row>
    <row r="19" spans="1:5">
      <c r="B19" s="317" t="s">
        <v>907</v>
      </c>
      <c r="E19" s="683">
        <f>E9</f>
        <v>-1563768.6626499575</v>
      </c>
    </row>
    <row r="20" spans="1:5">
      <c r="B20" s="317" t="s">
        <v>908</v>
      </c>
      <c r="E20" s="683">
        <f>E16</f>
        <v>-2087858</v>
      </c>
    </row>
    <row r="21" spans="1:5">
      <c r="C21" s="317" t="s">
        <v>909</v>
      </c>
      <c r="E21" s="684">
        <f>SUM(E19:E20)</f>
        <v>-3651626.6626499575</v>
      </c>
    </row>
    <row r="22" spans="1:5">
      <c r="E22" s="683"/>
    </row>
    <row r="23" spans="1:5">
      <c r="A23" s="317" t="s">
        <v>910</v>
      </c>
      <c r="E23" s="683"/>
    </row>
    <row r="24" spans="1:5">
      <c r="B24" s="317" t="s">
        <v>911</v>
      </c>
      <c r="E24" s="686">
        <v>2.7469999999999999E-3</v>
      </c>
    </row>
    <row r="25" spans="1:5">
      <c r="B25" s="317" t="s">
        <v>912</v>
      </c>
      <c r="E25" s="320">
        <f>ROUND(E21*E24*24,0)</f>
        <v>-240744</v>
      </c>
    </row>
    <row r="27" spans="1:5" ht="13.5" thickBot="1">
      <c r="A27" s="317" t="s">
        <v>913</v>
      </c>
      <c r="E27" s="681">
        <f>ROUND(E21+E25,0)</f>
        <v>-3892371</v>
      </c>
    </row>
    <row r="28" spans="1:5" ht="13.5" thickTop="1"/>
    <row r="30" spans="1:5">
      <c r="A30" s="317" t="s">
        <v>914</v>
      </c>
      <c r="B30" s="332"/>
      <c r="C30" s="332"/>
      <c r="D30" s="332"/>
      <c r="E30" s="333"/>
    </row>
    <row r="31" spans="1:5">
      <c r="A31" s="317" t="s">
        <v>915</v>
      </c>
    </row>
  </sheetData>
  <printOptions horizontalCentered="1"/>
  <pageMargins left="0.17" right="0.2" top="1" bottom="0.75" header="0.3" footer="0.3"/>
  <pageSetup orientation="portrait" r:id="rId1"/>
  <headerFooter>
    <oddFooter>&amp;C&amp;F - &amp;A
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GridLines="0" workbookViewId="0"/>
  </sheetViews>
  <sheetFormatPr defaultRowHeight="12.75"/>
  <cols>
    <col min="1" max="1" width="14.140625" style="189" bestFit="1" customWidth="1"/>
    <col min="2" max="2" width="1.42578125" style="189" customWidth="1"/>
    <col min="3" max="3" width="14.42578125" style="189" bestFit="1" customWidth="1"/>
    <col min="4" max="4" width="1.28515625" style="189" customWidth="1"/>
    <col min="5" max="5" width="11.7109375" style="189" bestFit="1" customWidth="1"/>
    <col min="6" max="6" width="1" style="189" customWidth="1"/>
    <col min="7" max="7" width="14.42578125" style="189" bestFit="1" customWidth="1"/>
    <col min="8" max="8" width="1" style="189" customWidth="1"/>
    <col min="9" max="9" width="14.42578125" style="189" bestFit="1" customWidth="1"/>
    <col min="10" max="10" width="1" style="189" customWidth="1"/>
    <col min="11" max="11" width="13.5703125" style="189" bestFit="1" customWidth="1"/>
    <col min="12" max="12" width="1.28515625" style="189" customWidth="1"/>
    <col min="13" max="13" width="11.7109375" style="189" bestFit="1" customWidth="1"/>
    <col min="14" max="14" width="13.42578125" style="189" bestFit="1" customWidth="1"/>
    <col min="15" max="16" width="16.5703125" style="189" bestFit="1" customWidth="1"/>
    <col min="17" max="18" width="13.42578125" style="189" bestFit="1" customWidth="1"/>
    <col min="19" max="19" width="10.7109375" style="189" bestFit="1" customWidth="1"/>
    <col min="20" max="20" width="13.42578125" style="189" bestFit="1" customWidth="1"/>
    <col min="21" max="16384" width="9.140625" style="189"/>
  </cols>
  <sheetData>
    <row r="1" spans="1:20" s="24" customForma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  <c r="O1" s="250"/>
      <c r="P1" s="250"/>
      <c r="Q1" s="250"/>
      <c r="R1" s="250"/>
      <c r="S1" s="250"/>
      <c r="T1" s="250"/>
    </row>
    <row r="2" spans="1:20" s="24" customFormat="1">
      <c r="A2" s="249" t="s">
        <v>313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20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O3" s="233"/>
    </row>
    <row r="4" spans="1:20">
      <c r="O4" s="235"/>
      <c r="P4" s="236"/>
    </row>
    <row r="5" spans="1:20">
      <c r="A5" s="233"/>
      <c r="B5" s="233"/>
      <c r="C5" s="234" t="s">
        <v>314</v>
      </c>
      <c r="D5" s="234"/>
      <c r="E5" s="234" t="s">
        <v>315</v>
      </c>
      <c r="F5" s="234"/>
      <c r="G5" s="234" t="s">
        <v>316</v>
      </c>
      <c r="H5" s="234"/>
      <c r="I5" s="234" t="s">
        <v>131</v>
      </c>
      <c r="J5" s="234"/>
      <c r="K5" s="234" t="s">
        <v>314</v>
      </c>
      <c r="L5" s="234"/>
      <c r="M5" s="234" t="s">
        <v>315</v>
      </c>
      <c r="O5" s="238"/>
      <c r="P5" s="236"/>
    </row>
    <row r="6" spans="1:20">
      <c r="A6" s="233"/>
      <c r="B6" s="233"/>
      <c r="C6" s="336" t="s">
        <v>515</v>
      </c>
      <c r="D6" s="234"/>
      <c r="E6" s="237" t="s">
        <v>317</v>
      </c>
      <c r="F6" s="234"/>
      <c r="G6" s="237" t="s">
        <v>318</v>
      </c>
      <c r="H6" s="234"/>
      <c r="I6" s="237">
        <v>123.1</v>
      </c>
      <c r="J6" s="234"/>
      <c r="K6" s="336" t="s">
        <v>514</v>
      </c>
      <c r="L6" s="234"/>
      <c r="M6" s="237" t="s">
        <v>319</v>
      </c>
      <c r="O6" s="238"/>
      <c r="P6" s="236"/>
    </row>
    <row r="7" spans="1:20">
      <c r="A7" s="324" t="s">
        <v>347</v>
      </c>
      <c r="B7" s="233"/>
      <c r="C7" s="313">
        <v>2563365.75</v>
      </c>
      <c r="D7" s="239"/>
      <c r="E7" s="313">
        <v>57083.33</v>
      </c>
      <c r="F7" s="239"/>
      <c r="G7" s="239">
        <v>2381505154.9300003</v>
      </c>
      <c r="H7" s="239"/>
      <c r="I7" s="239">
        <v>1722350773.8299999</v>
      </c>
      <c r="J7" s="239"/>
      <c r="K7" s="239">
        <v>625264519.01999998</v>
      </c>
      <c r="L7" s="239"/>
      <c r="M7" s="239">
        <v>15000000</v>
      </c>
      <c r="O7" s="238"/>
      <c r="P7" s="236"/>
    </row>
    <row r="8" spans="1:20">
      <c r="A8" s="324" t="s">
        <v>376</v>
      </c>
      <c r="B8" s="233"/>
      <c r="C8" s="314">
        <v>2580967.75</v>
      </c>
      <c r="D8" s="240"/>
      <c r="E8" s="314">
        <v>57084.009999999995</v>
      </c>
      <c r="F8" s="240"/>
      <c r="G8" s="240">
        <v>2389795469.6400003</v>
      </c>
      <c r="H8" s="240"/>
      <c r="I8" s="240">
        <v>1723072704.1500001</v>
      </c>
      <c r="J8" s="240"/>
      <c r="K8" s="240">
        <v>631763789.32999992</v>
      </c>
      <c r="L8" s="240"/>
      <c r="M8" s="240">
        <v>15000000</v>
      </c>
      <c r="O8" s="238"/>
      <c r="P8" s="236"/>
    </row>
    <row r="9" spans="1:20">
      <c r="A9" s="241" t="s">
        <v>11</v>
      </c>
      <c r="B9" s="233"/>
      <c r="C9" s="314">
        <v>2572016.9000000004</v>
      </c>
      <c r="D9" s="240"/>
      <c r="E9" s="314">
        <v>57083.33</v>
      </c>
      <c r="F9" s="240"/>
      <c r="G9" s="240">
        <v>2360027885.2100005</v>
      </c>
      <c r="H9" s="240"/>
      <c r="I9" s="240">
        <v>1695463697.46</v>
      </c>
      <c r="J9" s="240"/>
      <c r="K9" s="240">
        <v>632263049.59000003</v>
      </c>
      <c r="L9" s="240"/>
      <c r="M9" s="240">
        <v>15000000</v>
      </c>
      <c r="O9" s="238"/>
      <c r="P9" s="236"/>
    </row>
    <row r="10" spans="1:20">
      <c r="A10" s="241" t="s">
        <v>12</v>
      </c>
      <c r="B10" s="233"/>
      <c r="C10" s="314">
        <v>2578646.6100000003</v>
      </c>
      <c r="D10" s="240"/>
      <c r="E10" s="314">
        <v>57083.33</v>
      </c>
      <c r="F10" s="240"/>
      <c r="G10" s="240">
        <v>2367380960.5</v>
      </c>
      <c r="H10" s="240"/>
      <c r="I10" s="240">
        <v>1697535998.5799999</v>
      </c>
      <c r="J10" s="240"/>
      <c r="K10" s="240">
        <v>632262157.09000003</v>
      </c>
      <c r="L10" s="240"/>
      <c r="M10" s="240">
        <v>15000000</v>
      </c>
      <c r="O10" s="235"/>
      <c r="P10" s="236"/>
    </row>
    <row r="11" spans="1:20">
      <c r="A11" s="241" t="s">
        <v>13</v>
      </c>
      <c r="B11" s="233"/>
      <c r="C11" s="314">
        <v>2578174.5500000003</v>
      </c>
      <c r="D11" s="240"/>
      <c r="E11" s="314">
        <v>57084.009999999995</v>
      </c>
      <c r="F11" s="240"/>
      <c r="G11" s="240">
        <v>2335856706.5100007</v>
      </c>
      <c r="H11" s="240"/>
      <c r="I11" s="240">
        <v>1699631187.1600001</v>
      </c>
      <c r="J11" s="240"/>
      <c r="K11" s="240">
        <v>628261409.04999995</v>
      </c>
      <c r="L11" s="240"/>
      <c r="M11" s="240">
        <v>15000000</v>
      </c>
      <c r="O11" s="238"/>
      <c r="P11" s="236"/>
    </row>
    <row r="12" spans="1:20">
      <c r="A12" s="241" t="s">
        <v>14</v>
      </c>
      <c r="B12" s="233"/>
      <c r="C12" s="314">
        <v>2577697.7800000003</v>
      </c>
      <c r="D12" s="240"/>
      <c r="E12" s="314">
        <v>57083.33</v>
      </c>
      <c r="F12" s="240"/>
      <c r="G12" s="240">
        <v>2349992715.5100002</v>
      </c>
      <c r="H12" s="240"/>
      <c r="I12" s="240">
        <v>1682651266.03</v>
      </c>
      <c r="J12" s="240"/>
      <c r="K12" s="240">
        <v>636260582.98000002</v>
      </c>
      <c r="L12" s="240"/>
      <c r="M12" s="240">
        <v>15000000</v>
      </c>
      <c r="O12" s="238"/>
      <c r="P12" s="236"/>
    </row>
    <row r="13" spans="1:20">
      <c r="A13" s="241" t="s">
        <v>15</v>
      </c>
      <c r="B13" s="233"/>
      <c r="C13" s="314">
        <v>2584021.29</v>
      </c>
      <c r="D13" s="240"/>
      <c r="E13" s="314">
        <v>57083.33</v>
      </c>
      <c r="F13" s="240"/>
      <c r="G13" s="240">
        <v>2222610425.5000005</v>
      </c>
      <c r="H13" s="240"/>
      <c r="I13" s="240">
        <v>1551138744.22</v>
      </c>
      <c r="J13" s="240"/>
      <c r="K13" s="240">
        <v>646759826.94000006</v>
      </c>
      <c r="L13" s="240"/>
      <c r="M13" s="240">
        <v>15000000</v>
      </c>
      <c r="O13" s="238"/>
      <c r="P13" s="236"/>
    </row>
    <row r="14" spans="1:20">
      <c r="A14" s="241" t="s">
        <v>16</v>
      </c>
      <c r="B14" s="233"/>
      <c r="C14" s="314">
        <v>2599765.7000000002</v>
      </c>
      <c r="D14" s="240"/>
      <c r="E14" s="314">
        <v>57084.009999999995</v>
      </c>
      <c r="F14" s="240"/>
      <c r="G14" s="240">
        <v>2250065669.5700006</v>
      </c>
      <c r="H14" s="240"/>
      <c r="I14" s="240">
        <v>1572904879.8299999</v>
      </c>
      <c r="J14" s="240"/>
      <c r="K14" s="240">
        <v>659758993.09000003</v>
      </c>
      <c r="L14" s="240"/>
      <c r="M14" s="240">
        <v>15000000</v>
      </c>
      <c r="O14" s="238"/>
      <c r="P14" s="236"/>
    </row>
    <row r="15" spans="1:20">
      <c r="A15" s="241" t="s">
        <v>17</v>
      </c>
      <c r="B15" s="233"/>
      <c r="C15" s="314">
        <v>2601787.5</v>
      </c>
      <c r="D15" s="240"/>
      <c r="E15" s="314">
        <v>57083.33</v>
      </c>
      <c r="F15" s="240"/>
      <c r="G15" s="240">
        <v>2244022266.1900005</v>
      </c>
      <c r="H15" s="240"/>
      <c r="I15" s="240">
        <v>1570700149.3399999</v>
      </c>
      <c r="J15" s="240"/>
      <c r="K15" s="240">
        <v>663758228.97000003</v>
      </c>
      <c r="L15" s="240"/>
      <c r="M15" s="240">
        <v>15000000</v>
      </c>
      <c r="O15" s="238"/>
      <c r="P15" s="236"/>
    </row>
    <row r="16" spans="1:20">
      <c r="A16" s="241" t="s">
        <v>18</v>
      </c>
      <c r="B16" s="233"/>
      <c r="C16" s="314">
        <v>2596324.3800000004</v>
      </c>
      <c r="D16" s="240"/>
      <c r="E16" s="314">
        <v>57083.33</v>
      </c>
      <c r="F16" s="240"/>
      <c r="G16" s="240">
        <v>2270060605.5200005</v>
      </c>
      <c r="H16" s="240"/>
      <c r="I16" s="240">
        <v>1594344237.3699999</v>
      </c>
      <c r="J16" s="240"/>
      <c r="K16" s="240">
        <v>677257460.97000003</v>
      </c>
      <c r="L16" s="240"/>
      <c r="M16" s="240">
        <v>15000000</v>
      </c>
      <c r="O16" s="195"/>
      <c r="P16" s="236"/>
    </row>
    <row r="17" spans="1:13">
      <c r="A17" s="241" t="s">
        <v>19</v>
      </c>
      <c r="B17" s="233"/>
      <c r="C17" s="314">
        <v>2376709.92</v>
      </c>
      <c r="D17" s="240"/>
      <c r="E17" s="314">
        <v>57083.990000000005</v>
      </c>
      <c r="F17" s="240"/>
      <c r="G17" s="240">
        <v>2294831794.7400002</v>
      </c>
      <c r="H17" s="240"/>
      <c r="I17" s="240">
        <v>1615482743.6500001</v>
      </c>
      <c r="J17" s="240"/>
      <c r="K17" s="240">
        <v>685756615.48000002</v>
      </c>
      <c r="L17" s="240"/>
      <c r="M17" s="240">
        <v>15000000</v>
      </c>
    </row>
    <row r="18" spans="1:13">
      <c r="A18" s="241" t="s">
        <v>20</v>
      </c>
      <c r="B18" s="233"/>
      <c r="C18" s="314">
        <v>2413834.9499999997</v>
      </c>
      <c r="D18" s="240"/>
      <c r="E18" s="314">
        <v>57083.34</v>
      </c>
      <c r="F18" s="240"/>
      <c r="G18" s="240">
        <v>2276874010.5300007</v>
      </c>
      <c r="H18" s="240"/>
      <c r="I18" s="240">
        <v>1600396906.45</v>
      </c>
      <c r="J18" s="240"/>
      <c r="K18" s="240">
        <v>681255839.27999997</v>
      </c>
      <c r="L18" s="240"/>
      <c r="M18" s="240">
        <v>15000000</v>
      </c>
    </row>
    <row r="19" spans="1:13">
      <c r="A19" s="241" t="s">
        <v>21</v>
      </c>
      <c r="B19" s="233"/>
      <c r="C19" s="315">
        <v>2499999.73</v>
      </c>
      <c r="D19" s="242"/>
      <c r="E19" s="315">
        <v>57083.33</v>
      </c>
      <c r="F19" s="240"/>
      <c r="G19" s="240">
        <v>2301244326.6000004</v>
      </c>
      <c r="H19" s="240"/>
      <c r="I19" s="240">
        <v>1603873801.5899999</v>
      </c>
      <c r="J19" s="240"/>
      <c r="K19" s="240">
        <v>681754985.81999993</v>
      </c>
      <c r="L19" s="240"/>
      <c r="M19" s="240">
        <v>15000000</v>
      </c>
    </row>
    <row r="20" spans="1:13" ht="13.5" thickBot="1">
      <c r="A20" s="337" t="s">
        <v>396</v>
      </c>
      <c r="B20" s="233"/>
      <c r="C20" s="316">
        <f>SUM(C8:C19)</f>
        <v>30559947.059999995</v>
      </c>
      <c r="D20" s="239"/>
      <c r="E20" s="316">
        <f>SUM(E8:E19)</f>
        <v>685002.67</v>
      </c>
      <c r="F20" s="233"/>
      <c r="G20" s="233"/>
      <c r="H20" s="233"/>
      <c r="I20" s="233"/>
      <c r="J20" s="233"/>
      <c r="K20" s="233"/>
      <c r="L20" s="233"/>
      <c r="M20" s="233"/>
    </row>
    <row r="21" spans="1:13" ht="13.5" thickTop="1">
      <c r="A21" s="244"/>
      <c r="B21" s="233"/>
      <c r="C21" s="233"/>
      <c r="D21" s="233"/>
      <c r="E21" s="313"/>
      <c r="F21" s="233"/>
      <c r="G21" s="233"/>
      <c r="H21" s="233"/>
      <c r="I21" s="233"/>
      <c r="J21" s="233"/>
      <c r="K21" s="233"/>
      <c r="L21" s="233"/>
      <c r="M21" s="233"/>
    </row>
    <row r="22" spans="1:13" ht="13.5" thickBot="1">
      <c r="A22" s="244" t="s">
        <v>320</v>
      </c>
      <c r="B22" s="233"/>
      <c r="C22" s="233"/>
      <c r="D22" s="233"/>
      <c r="E22" s="233"/>
      <c r="F22" s="233"/>
      <c r="G22" s="243">
        <f>AVERAGE(G7:G19)</f>
        <v>2311097537.7653852</v>
      </c>
      <c r="H22" s="239"/>
      <c r="I22" s="243">
        <f>AVERAGE(I7:I19)</f>
        <v>1640734391.5123079</v>
      </c>
      <c r="J22" s="239"/>
      <c r="K22" s="243">
        <f>AVERAGE(K7:K19)</f>
        <v>652490573.66230762</v>
      </c>
      <c r="L22" s="239"/>
      <c r="M22" s="243">
        <f>AVERAGE(M7:M19)</f>
        <v>15000000</v>
      </c>
    </row>
    <row r="23" spans="1:13" ht="13.5" thickTop="1"/>
  </sheetData>
  <printOptions horizontalCentered="1"/>
  <pageMargins left="0.17" right="0.17" top="1" bottom="0.75" header="0.3" footer="0.3"/>
  <pageSetup orientation="portrait" r:id="rId1"/>
  <headerFooter>
    <oddFooter>&amp;C&amp;F - &amp;A
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/>
  </sheetViews>
  <sheetFormatPr defaultRowHeight="12.75"/>
  <cols>
    <col min="1" max="1" width="9" style="189" customWidth="1"/>
    <col min="2" max="2" width="2.7109375" style="189" customWidth="1"/>
    <col min="3" max="3" width="16.42578125" style="189" customWidth="1"/>
    <col min="4" max="4" width="9.140625" style="189"/>
    <col min="5" max="5" width="14" style="199" bestFit="1" customWidth="1"/>
    <col min="6" max="16384" width="9.140625" style="189"/>
  </cols>
  <sheetData>
    <row r="1" spans="1:5">
      <c r="A1" s="4" t="s">
        <v>0</v>
      </c>
      <c r="B1" s="4"/>
      <c r="C1" s="4"/>
      <c r="D1" s="4"/>
      <c r="E1" s="245"/>
    </row>
    <row r="2" spans="1:5">
      <c r="A2" s="4" t="s">
        <v>60</v>
      </c>
      <c r="B2" s="4"/>
      <c r="C2" s="4"/>
      <c r="D2" s="4"/>
      <c r="E2" s="245"/>
    </row>
    <row r="3" spans="1:5">
      <c r="A3" s="4" t="s">
        <v>329</v>
      </c>
      <c r="B3" s="4"/>
      <c r="C3" s="4"/>
      <c r="D3" s="4"/>
      <c r="E3" s="245"/>
    </row>
    <row r="4" spans="1:5">
      <c r="A4" s="4" t="s">
        <v>373</v>
      </c>
      <c r="B4" s="4"/>
      <c r="C4" s="4"/>
      <c r="D4" s="4"/>
      <c r="E4" s="245"/>
    </row>
    <row r="7" spans="1:5">
      <c r="A7" s="246">
        <v>4540.0079999999998</v>
      </c>
      <c r="B7" s="189" t="s">
        <v>321</v>
      </c>
    </row>
    <row r="8" spans="1:5">
      <c r="C8" s="189" t="s">
        <v>322</v>
      </c>
      <c r="E8" s="201">
        <f>E10-E9</f>
        <v>-20859.809999999998</v>
      </c>
    </row>
    <row r="9" spans="1:5">
      <c r="C9" s="189" t="s">
        <v>65</v>
      </c>
      <c r="E9" s="199">
        <v>-7984.83</v>
      </c>
    </row>
    <row r="10" spans="1:5" ht="13.5" thickBot="1">
      <c r="E10" s="202">
        <v>-28844.639999999999</v>
      </c>
    </row>
    <row r="11" spans="1:5" ht="13.5" thickTop="1"/>
  </sheetData>
  <printOptions horizontalCentered="1"/>
  <pageMargins left="0.17" right="0.17" top="1" bottom="0.75" header="0.3" footer="0.3"/>
  <pageSetup orientation="portrait" r:id="rId1"/>
  <headerFooter>
    <oddFooter>&amp;C&amp;F - &amp;A
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workbookViewId="0"/>
  </sheetViews>
  <sheetFormatPr defaultRowHeight="12.75"/>
  <cols>
    <col min="1" max="1" width="2.7109375" style="189" customWidth="1"/>
    <col min="2" max="2" width="6.85546875" style="189" bestFit="1" customWidth="1"/>
    <col min="3" max="3" width="8" style="189" bestFit="1" customWidth="1"/>
    <col min="4" max="5" width="2.7109375" style="189" customWidth="1"/>
    <col min="6" max="6" width="68.85546875" style="189" customWidth="1"/>
    <col min="7" max="7" width="2.7109375" style="189" customWidth="1"/>
    <col min="8" max="8" width="11.7109375" style="189" bestFit="1" customWidth="1"/>
    <col min="9" max="9" width="2.7109375" style="189" customWidth="1"/>
    <col min="10" max="10" width="11.7109375" style="203" bestFit="1" customWidth="1"/>
    <col min="11" max="11" width="2.7109375" style="203" customWidth="1"/>
    <col min="12" max="12" width="10.7109375" style="203" bestFit="1" customWidth="1"/>
    <col min="13" max="17" width="9.140625" style="203"/>
    <col min="18" max="16384" width="9.140625" style="189"/>
  </cols>
  <sheetData>
    <row r="1" spans="1:10" s="203" customFormat="1">
      <c r="A1" s="4" t="s">
        <v>0</v>
      </c>
      <c r="B1" s="4"/>
      <c r="C1" s="4"/>
      <c r="D1" s="4"/>
      <c r="E1" s="4"/>
      <c r="F1" s="4"/>
      <c r="G1" s="4"/>
      <c r="H1" s="4"/>
      <c r="I1" s="4"/>
      <c r="J1" s="43"/>
    </row>
    <row r="2" spans="1:10" s="203" customFormat="1">
      <c r="A2" s="4" t="s">
        <v>60</v>
      </c>
      <c r="B2" s="4"/>
      <c r="C2" s="4"/>
      <c r="D2" s="4"/>
      <c r="E2" s="4"/>
      <c r="F2" s="4"/>
      <c r="G2" s="4"/>
      <c r="H2" s="4"/>
      <c r="I2" s="4"/>
      <c r="J2" s="43"/>
    </row>
    <row r="3" spans="1:10" s="203" customFormat="1">
      <c r="A3" s="4" t="s">
        <v>323</v>
      </c>
      <c r="B3" s="4"/>
      <c r="C3" s="4"/>
      <c r="D3" s="4"/>
      <c r="E3" s="4"/>
      <c r="F3" s="4"/>
      <c r="G3" s="4"/>
      <c r="H3" s="4"/>
      <c r="I3" s="4"/>
      <c r="J3" s="43"/>
    </row>
    <row r="4" spans="1:10" s="203" customFormat="1">
      <c r="A4" s="4" t="str">
        <f>'Other O&amp;M Expenses'!A4</f>
        <v>Twelve Months Ended December 31, 2016</v>
      </c>
      <c r="B4" s="4"/>
      <c r="C4" s="4"/>
      <c r="D4" s="4"/>
      <c r="E4" s="4"/>
      <c r="F4" s="4"/>
      <c r="G4" s="4"/>
      <c r="H4" s="4"/>
      <c r="I4" s="4"/>
      <c r="J4" s="43"/>
    </row>
    <row r="5" spans="1:10" s="203" customFormat="1">
      <c r="A5" s="4"/>
      <c r="B5" s="4"/>
      <c r="C5" s="4"/>
      <c r="D5" s="4"/>
      <c r="E5" s="4"/>
      <c r="F5" s="4"/>
      <c r="G5" s="4"/>
      <c r="H5" s="4"/>
      <c r="I5" s="4"/>
      <c r="J5" s="43"/>
    </row>
    <row r="7" spans="1:10" s="203" customFormat="1">
      <c r="A7" s="189"/>
      <c r="B7" s="189"/>
      <c r="C7" s="189"/>
      <c r="D7" s="189"/>
      <c r="E7" s="189"/>
      <c r="F7" s="189"/>
      <c r="G7" s="189"/>
      <c r="H7" s="204" t="s">
        <v>216</v>
      </c>
      <c r="I7" s="189"/>
      <c r="J7" s="205" t="s">
        <v>10</v>
      </c>
    </row>
    <row r="8" spans="1:10" s="203" customFormat="1">
      <c r="A8" s="206" t="s">
        <v>262</v>
      </c>
      <c r="B8" s="206"/>
      <c r="C8" s="206"/>
      <c r="D8" s="206"/>
      <c r="E8" s="206"/>
      <c r="F8" s="206"/>
      <c r="G8" s="189"/>
      <c r="H8" s="207" t="s">
        <v>36</v>
      </c>
      <c r="I8" s="189"/>
      <c r="J8" s="208" t="s">
        <v>263</v>
      </c>
    </row>
    <row r="9" spans="1:10" s="203" customFormat="1">
      <c r="A9" s="189"/>
      <c r="B9" s="189"/>
      <c r="C9" s="189"/>
      <c r="D9" s="189"/>
      <c r="E9" s="189"/>
      <c r="F9" s="189"/>
      <c r="G9" s="189"/>
      <c r="H9" s="189"/>
      <c r="I9" s="189"/>
      <c r="J9" s="189"/>
    </row>
    <row r="10" spans="1:10" s="203" customFormat="1">
      <c r="A10" s="189"/>
      <c r="B10" s="189"/>
      <c r="D10" s="189" t="s">
        <v>264</v>
      </c>
      <c r="E10" s="189" t="s">
        <v>265</v>
      </c>
      <c r="F10" s="189"/>
      <c r="G10" s="189"/>
      <c r="H10" s="209" t="s">
        <v>266</v>
      </c>
      <c r="I10" s="189"/>
    </row>
    <row r="11" spans="1:10" s="203" customFormat="1">
      <c r="A11" s="189"/>
      <c r="B11" s="189"/>
      <c r="C11" s="189"/>
      <c r="D11" s="189"/>
      <c r="E11" s="189"/>
      <c r="F11" s="317" t="s">
        <v>411</v>
      </c>
      <c r="G11" s="189"/>
      <c r="H11" s="189"/>
      <c r="I11" s="189"/>
      <c r="J11" s="210">
        <v>24932</v>
      </c>
    </row>
    <row r="12" spans="1:10" s="203" customFormat="1">
      <c r="A12" s="189"/>
      <c r="B12" s="189"/>
      <c r="C12" s="189"/>
      <c r="D12" s="189"/>
      <c r="E12" s="189"/>
      <c r="F12" s="317" t="s">
        <v>405</v>
      </c>
      <c r="G12" s="189"/>
      <c r="H12" s="189"/>
      <c r="I12" s="189"/>
      <c r="J12" s="203">
        <v>4791554</v>
      </c>
    </row>
    <row r="13" spans="1:10" s="203" customFormat="1">
      <c r="A13" s="189"/>
      <c r="B13" s="189"/>
      <c r="C13" s="189"/>
      <c r="D13" s="189"/>
      <c r="E13" s="189"/>
      <c r="F13" s="189" t="s">
        <v>267</v>
      </c>
      <c r="G13" s="189"/>
      <c r="H13" s="189"/>
      <c r="I13" s="189"/>
      <c r="J13" s="203">
        <v>6807</v>
      </c>
    </row>
    <row r="14" spans="1:10" s="203" customFormat="1">
      <c r="A14" s="189"/>
      <c r="B14" s="189"/>
      <c r="C14" s="189"/>
      <c r="D14" s="189"/>
      <c r="E14" s="189"/>
      <c r="F14" s="317" t="s">
        <v>404</v>
      </c>
      <c r="G14" s="189"/>
      <c r="H14" s="189"/>
      <c r="I14" s="189"/>
      <c r="J14" s="203">
        <v>729401</v>
      </c>
    </row>
    <row r="15" spans="1:10" s="203" customFormat="1">
      <c r="A15" s="189"/>
      <c r="B15" s="189"/>
      <c r="C15" s="189"/>
      <c r="D15" s="189"/>
      <c r="E15" s="189"/>
      <c r="F15" s="189"/>
      <c r="G15" s="189"/>
      <c r="H15" s="189"/>
      <c r="I15" s="189"/>
      <c r="J15" s="211">
        <f>SUM(J11:J14)</f>
        <v>5552694</v>
      </c>
    </row>
    <row r="16" spans="1:10" s="203" customFormat="1">
      <c r="A16" s="189"/>
      <c r="B16" s="189"/>
      <c r="C16" s="189"/>
      <c r="D16" s="189"/>
      <c r="E16" s="189"/>
      <c r="F16" s="189" t="s">
        <v>207</v>
      </c>
      <c r="G16" s="189"/>
      <c r="H16" s="189"/>
      <c r="I16" s="189"/>
      <c r="J16" s="189"/>
    </row>
    <row r="17" spans="1:10" s="203" customFormat="1">
      <c r="A17" s="189"/>
      <c r="B17" s="189"/>
      <c r="C17" s="189"/>
      <c r="D17" s="189"/>
      <c r="E17" s="189"/>
      <c r="F17" s="189" t="s">
        <v>268</v>
      </c>
      <c r="G17" s="189"/>
      <c r="H17" s="189"/>
      <c r="I17" s="189"/>
      <c r="J17" s="203">
        <f>J13</f>
        <v>6807</v>
      </c>
    </row>
    <row r="19" spans="1:10" s="203" customFormat="1">
      <c r="F19" s="320" t="s">
        <v>412</v>
      </c>
    </row>
    <row r="20" spans="1:10" s="203" customFormat="1">
      <c r="F20" s="317" t="s">
        <v>416</v>
      </c>
      <c r="J20" s="203">
        <v>243998</v>
      </c>
    </row>
    <row r="21" spans="1:10" s="203" customFormat="1">
      <c r="F21" s="317" t="s">
        <v>417</v>
      </c>
      <c r="J21" s="203">
        <v>12618929</v>
      </c>
    </row>
    <row r="22" spans="1:10" s="203" customFormat="1">
      <c r="F22" s="317" t="s">
        <v>477</v>
      </c>
      <c r="J22" s="312">
        <v>1472917.2048972382</v>
      </c>
    </row>
    <row r="23" spans="1:10" s="203" customFormat="1">
      <c r="F23" s="317" t="s">
        <v>478</v>
      </c>
      <c r="J23" s="312">
        <v>3609841.6484405706</v>
      </c>
    </row>
    <row r="24" spans="1:10">
      <c r="A24" s="203"/>
      <c r="B24" s="203"/>
      <c r="C24" s="203"/>
      <c r="D24" s="203"/>
      <c r="E24" s="203"/>
      <c r="F24" s="203"/>
      <c r="G24" s="203"/>
      <c r="H24" s="203"/>
      <c r="I24" s="203"/>
      <c r="J24" s="211">
        <f>SUM(J20:J23)</f>
        <v>17945685.853337809</v>
      </c>
    </row>
    <row r="25" spans="1:10" s="203" customFormat="1"/>
    <row r="26" spans="1:10" ht="13.5" thickBot="1">
      <c r="B26" s="247" t="s">
        <v>328</v>
      </c>
      <c r="C26" s="247" t="s">
        <v>324</v>
      </c>
      <c r="E26" s="189" t="s">
        <v>269</v>
      </c>
      <c r="J26" s="212">
        <f>J15-J17+J24</f>
        <v>23491572.853337809</v>
      </c>
    </row>
    <row r="27" spans="1:10" s="203" customFormat="1" ht="13.5" thickTop="1">
      <c r="A27" s="189"/>
      <c r="B27" s="189"/>
      <c r="C27" s="189"/>
      <c r="D27" s="189"/>
      <c r="E27" s="189"/>
      <c r="F27" s="189"/>
      <c r="G27" s="189"/>
      <c r="H27" s="189"/>
      <c r="I27" s="189"/>
      <c r="J27" s="213"/>
    </row>
    <row r="28" spans="1:10" s="203" customFormat="1">
      <c r="A28" s="189"/>
      <c r="B28" s="247" t="s">
        <v>328</v>
      </c>
      <c r="C28" s="247" t="s">
        <v>325</v>
      </c>
      <c r="D28" s="189" t="s">
        <v>270</v>
      </c>
      <c r="E28" s="189" t="s">
        <v>271</v>
      </c>
      <c r="F28" s="189"/>
      <c r="G28" s="189"/>
      <c r="H28" s="209" t="s">
        <v>266</v>
      </c>
      <c r="I28" s="189"/>
      <c r="J28" s="203">
        <f>'MISO Revenues - 456.1'!B18</f>
        <v>5091666</v>
      </c>
    </row>
    <row r="29" spans="1:10">
      <c r="J29" s="213"/>
    </row>
    <row r="30" spans="1:10">
      <c r="B30" s="247" t="s">
        <v>328</v>
      </c>
      <c r="C30" s="247" t="s">
        <v>326</v>
      </c>
      <c r="D30" s="189" t="s">
        <v>272</v>
      </c>
      <c r="E30" s="317" t="s">
        <v>413</v>
      </c>
      <c r="J30" s="270">
        <f>J22</f>
        <v>1472917.2048972382</v>
      </c>
    </row>
    <row r="32" spans="1:10">
      <c r="B32" s="247" t="s">
        <v>328</v>
      </c>
      <c r="C32" s="247" t="s">
        <v>327</v>
      </c>
      <c r="D32" s="189" t="s">
        <v>273</v>
      </c>
      <c r="E32" s="317" t="s">
        <v>414</v>
      </c>
      <c r="J32" s="270">
        <f>J23</f>
        <v>3609841.6484405706</v>
      </c>
    </row>
    <row r="34" spans="1:10" ht="13.5" thickBot="1">
      <c r="A34" s="189" t="s">
        <v>274</v>
      </c>
      <c r="J34" s="214">
        <f>J26-J28-J30-J32</f>
        <v>13317148</v>
      </c>
    </row>
    <row r="35" spans="1:10" ht="13.5" thickTop="1"/>
    <row r="36" spans="1:10">
      <c r="A36" s="189" t="s">
        <v>275</v>
      </c>
    </row>
    <row r="37" spans="1:10">
      <c r="A37" s="317" t="s">
        <v>415</v>
      </c>
      <c r="B37" s="317" t="s">
        <v>418</v>
      </c>
    </row>
    <row r="38" spans="1:10">
      <c r="A38" s="317" t="s">
        <v>479</v>
      </c>
    </row>
  </sheetData>
  <printOptions horizontalCentered="1"/>
  <pageMargins left="0.17" right="0.17" top="1" bottom="0.31" header="0.3" footer="0.3"/>
  <pageSetup orientation="landscape" r:id="rId1"/>
  <headerFooter>
    <oddFooter>&amp;C&amp;F - &amp;A
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/>
  </sheetViews>
  <sheetFormatPr defaultRowHeight="12.75"/>
  <cols>
    <col min="1" max="1" width="24" style="317" customWidth="1"/>
    <col min="2" max="2" width="20.7109375" style="320" customWidth="1"/>
    <col min="3" max="3" width="3" style="317" customWidth="1"/>
    <col min="4" max="4" width="12" style="317" bestFit="1" customWidth="1"/>
    <col min="5" max="16384" width="9.140625" style="317"/>
  </cols>
  <sheetData>
    <row r="1" spans="1:4">
      <c r="A1" s="4" t="s">
        <v>0</v>
      </c>
      <c r="B1" s="43"/>
      <c r="C1" s="43"/>
      <c r="D1" s="43"/>
    </row>
    <row r="2" spans="1:4">
      <c r="A2" s="4" t="s">
        <v>364</v>
      </c>
      <c r="B2" s="43"/>
      <c r="C2" s="43"/>
      <c r="D2" s="43"/>
    </row>
    <row r="3" spans="1:4">
      <c r="A3" s="4" t="s">
        <v>365</v>
      </c>
      <c r="B3" s="43"/>
      <c r="C3" s="43"/>
      <c r="D3" s="43"/>
    </row>
    <row r="4" spans="1:4">
      <c r="A4" s="4" t="s">
        <v>406</v>
      </c>
      <c r="B4" s="43"/>
      <c r="C4" s="43"/>
      <c r="D4" s="43"/>
    </row>
    <row r="5" spans="1:4">
      <c r="A5" s="4">
        <v>2016</v>
      </c>
      <c r="B5" s="43"/>
      <c r="C5" s="43"/>
      <c r="D5" s="43"/>
    </row>
    <row r="8" spans="1:4">
      <c r="A8" s="317" t="s">
        <v>366</v>
      </c>
      <c r="B8" s="319">
        <v>194420</v>
      </c>
    </row>
    <row r="9" spans="1:4">
      <c r="A9" s="317" t="s">
        <v>367</v>
      </c>
      <c r="B9" s="320">
        <v>165715</v>
      </c>
    </row>
    <row r="10" spans="1:4">
      <c r="A10" s="317" t="s">
        <v>368</v>
      </c>
      <c r="B10" s="320">
        <v>411875</v>
      </c>
      <c r="D10" s="319">
        <f>SUM(B8:B13)</f>
        <v>4791556</v>
      </c>
    </row>
    <row r="11" spans="1:4">
      <c r="A11" s="317" t="s">
        <v>369</v>
      </c>
      <c r="B11" s="320">
        <v>17416</v>
      </c>
    </row>
    <row r="12" spans="1:4">
      <c r="A12" s="332" t="s">
        <v>403</v>
      </c>
      <c r="B12" s="333">
        <f>3682156+212220</f>
        <v>3894376</v>
      </c>
    </row>
    <row r="13" spans="1:4">
      <c r="A13" s="317" t="s">
        <v>370</v>
      </c>
      <c r="B13" s="320">
        <v>107754</v>
      </c>
    </row>
    <row r="14" spans="1:4">
      <c r="A14" s="317" t="s">
        <v>371</v>
      </c>
      <c r="B14" s="333">
        <v>729401</v>
      </c>
    </row>
    <row r="15" spans="1:4" ht="13.5" thickBot="1">
      <c r="A15" s="317" t="s">
        <v>516</v>
      </c>
      <c r="B15" s="321">
        <f>SUM(B8:B14)</f>
        <v>5520957</v>
      </c>
    </row>
    <row r="16" spans="1:4" ht="13.5" thickTop="1"/>
    <row r="17" spans="1:2">
      <c r="A17" s="317" t="s">
        <v>481</v>
      </c>
      <c r="B17" s="320">
        <f>B10+B11</f>
        <v>429291</v>
      </c>
    </row>
    <row r="18" spans="1:2">
      <c r="A18" s="317" t="s">
        <v>482</v>
      </c>
      <c r="B18" s="320">
        <f>B8+B9+B13+B14+B12</f>
        <v>5091666</v>
      </c>
    </row>
    <row r="19" spans="1:2" ht="13.5" thickBot="1">
      <c r="B19" s="321">
        <f>SUM(B17:B18)</f>
        <v>5520957</v>
      </c>
    </row>
    <row r="20" spans="1:2" ht="13.5" thickTop="1"/>
  </sheetData>
  <printOptions horizontalCentered="1"/>
  <pageMargins left="0.17" right="0.17" top="1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showGridLines="0" zoomScale="90" zoomScaleNormal="90" zoomScaleSheetLayoutView="70" workbookViewId="0"/>
  </sheetViews>
  <sheetFormatPr defaultRowHeight="15"/>
  <cols>
    <col min="1" max="1" width="26.140625" style="227" customWidth="1"/>
    <col min="2" max="2" width="17.140625" style="227" customWidth="1"/>
    <col min="3" max="7" width="16" style="227" customWidth="1"/>
    <col min="8" max="8" width="10.7109375" style="227" bestFit="1" customWidth="1"/>
    <col min="9" max="9" width="18.5703125" style="227" bestFit="1" customWidth="1"/>
    <col min="10" max="10" width="12.85546875" style="227" bestFit="1" customWidth="1"/>
    <col min="11" max="11" width="2" style="227" customWidth="1"/>
    <col min="12" max="12" width="14.140625" style="227" bestFit="1" customWidth="1"/>
    <col min="13" max="13" width="12.85546875" style="227" bestFit="1" customWidth="1"/>
    <col min="14" max="14" width="1.5703125" style="227" customWidth="1"/>
    <col min="15" max="15" width="16.85546875" style="227" bestFit="1" customWidth="1"/>
    <col min="16" max="16" width="15.42578125" style="227" bestFit="1" customWidth="1"/>
    <col min="17" max="17" width="9.140625" style="227"/>
    <col min="18" max="18" width="14.140625" style="227" bestFit="1" customWidth="1"/>
    <col min="19" max="19" width="12.85546875" style="227" bestFit="1" customWidth="1"/>
    <col min="20" max="16384" width="9.140625" style="227"/>
  </cols>
  <sheetData>
    <row r="1" spans="1:24" ht="15.75">
      <c r="B1" s="217" t="s">
        <v>0</v>
      </c>
      <c r="C1" s="217"/>
      <c r="D1" s="217"/>
      <c r="E1" s="217"/>
      <c r="F1" s="218"/>
      <c r="G1" s="218"/>
      <c r="H1" s="219"/>
      <c r="I1" s="219"/>
      <c r="J1" s="219"/>
    </row>
    <row r="2" spans="1:24" ht="15.75">
      <c r="B2" s="217" t="s">
        <v>290</v>
      </c>
      <c r="C2" s="217"/>
      <c r="D2" s="217"/>
      <c r="E2" s="217"/>
      <c r="F2" s="218"/>
      <c r="G2" s="218"/>
      <c r="H2" s="219"/>
      <c r="I2" s="219"/>
      <c r="J2" s="219"/>
    </row>
    <row r="3" spans="1:24" ht="15.75">
      <c r="B3" s="251" t="s">
        <v>379</v>
      </c>
      <c r="C3" s="217"/>
      <c r="D3" s="217"/>
      <c r="E3" s="217"/>
      <c r="F3" s="218"/>
      <c r="G3" s="218"/>
      <c r="H3" s="219"/>
      <c r="I3" s="219"/>
      <c r="J3" s="219"/>
    </row>
    <row r="4" spans="1:24" ht="15.75">
      <c r="B4" s="217" t="s">
        <v>291</v>
      </c>
      <c r="C4" s="217"/>
      <c r="D4" s="217"/>
      <c r="E4" s="217"/>
      <c r="F4" s="218"/>
      <c r="G4" s="218"/>
      <c r="H4" s="219"/>
      <c r="I4" s="219"/>
      <c r="J4" s="219"/>
    </row>
    <row r="5" spans="1:24" ht="15.75">
      <c r="B5" s="217" t="s">
        <v>292</v>
      </c>
      <c r="C5" s="217"/>
      <c r="D5" s="217"/>
      <c r="E5" s="217"/>
      <c r="F5" s="218"/>
      <c r="G5" s="218"/>
      <c r="H5" s="219"/>
      <c r="I5" s="219"/>
      <c r="J5" s="219"/>
    </row>
    <row r="6" spans="1:24" ht="15.75">
      <c r="A6" s="220"/>
      <c r="B6" s="220"/>
      <c r="C6" s="220"/>
      <c r="D6" s="220"/>
      <c r="E6" s="220"/>
      <c r="F6" s="220"/>
      <c r="G6" s="220"/>
      <c r="H6" s="219"/>
      <c r="I6" s="219"/>
      <c r="J6" s="219"/>
    </row>
    <row r="7" spans="1:24" ht="15.75">
      <c r="A7" s="219"/>
      <c r="B7" s="219"/>
      <c r="C7" s="219"/>
      <c r="D7" s="219"/>
      <c r="E7" s="219"/>
      <c r="F7" s="219"/>
      <c r="G7" s="219"/>
      <c r="H7" s="219"/>
      <c r="I7" s="219"/>
      <c r="J7" s="219"/>
    </row>
    <row r="8" spans="1:24"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</row>
    <row r="9" spans="1:24">
      <c r="A9" s="227" t="s">
        <v>293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</row>
    <row r="10" spans="1:24">
      <c r="F10" s="252"/>
      <c r="G10" s="252"/>
      <c r="H10" s="252"/>
      <c r="I10" s="252"/>
      <c r="J10" s="252"/>
      <c r="K10" s="252"/>
      <c r="L10" s="253"/>
      <c r="M10" s="252"/>
      <c r="N10" s="252"/>
      <c r="O10" s="253"/>
      <c r="P10" s="252"/>
      <c r="Q10" s="252"/>
      <c r="R10" s="253"/>
      <c r="S10" s="252"/>
      <c r="T10" s="252"/>
      <c r="U10" s="252"/>
      <c r="V10" s="252"/>
      <c r="W10" s="252"/>
      <c r="X10" s="252"/>
    </row>
    <row r="11" spans="1:24">
      <c r="A11" s="227" t="s">
        <v>294</v>
      </c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</row>
    <row r="12" spans="1:24" ht="15.75">
      <c r="C12" s="298">
        <v>2016</v>
      </c>
      <c r="F12" s="221"/>
      <c r="G12" s="252"/>
      <c r="H12" s="252"/>
      <c r="I12" s="221"/>
      <c r="J12" s="252"/>
      <c r="K12" s="252"/>
      <c r="L12" s="254"/>
      <c r="M12" s="254"/>
      <c r="N12" s="254"/>
      <c r="O12" s="254"/>
      <c r="P12" s="254"/>
      <c r="Q12" s="252"/>
      <c r="R12" s="254"/>
      <c r="S12" s="254"/>
      <c r="T12" s="252"/>
      <c r="U12" s="252"/>
      <c r="V12" s="252"/>
      <c r="W12" s="252"/>
      <c r="X12" s="252"/>
    </row>
    <row r="13" spans="1:24">
      <c r="B13" s="227" t="s">
        <v>295</v>
      </c>
      <c r="C13" s="227" t="s">
        <v>296</v>
      </c>
      <c r="F13" s="252"/>
      <c r="G13" s="252"/>
      <c r="H13" s="252"/>
      <c r="I13" s="252"/>
      <c r="J13" s="252"/>
      <c r="K13" s="252"/>
      <c r="L13" s="254"/>
      <c r="M13" s="254"/>
      <c r="N13" s="254"/>
      <c r="O13" s="254"/>
      <c r="P13" s="254"/>
      <c r="Q13" s="252"/>
      <c r="R13" s="254"/>
      <c r="S13" s="254"/>
      <c r="T13" s="252"/>
      <c r="U13" s="252"/>
      <c r="V13" s="252"/>
      <c r="W13" s="252"/>
      <c r="X13" s="252"/>
    </row>
    <row r="14" spans="1:24">
      <c r="A14" s="227" t="s">
        <v>206</v>
      </c>
      <c r="B14" s="255">
        <v>0</v>
      </c>
      <c r="C14" s="256">
        <v>5.0907849999999998E-2</v>
      </c>
      <c r="D14" s="257">
        <f>$B14*C14</f>
        <v>0</v>
      </c>
      <c r="E14" s="255"/>
      <c r="F14" s="254"/>
      <c r="G14" s="254"/>
      <c r="H14" s="254"/>
      <c r="I14" s="254"/>
      <c r="J14" s="254"/>
      <c r="K14" s="252"/>
      <c r="L14" s="254"/>
      <c r="M14" s="254"/>
      <c r="N14" s="254"/>
      <c r="O14" s="254"/>
      <c r="P14" s="254"/>
      <c r="Q14" s="252"/>
      <c r="R14" s="254"/>
      <c r="S14" s="254"/>
      <c r="T14" s="252"/>
      <c r="U14" s="252"/>
      <c r="V14" s="252"/>
      <c r="W14" s="252"/>
      <c r="X14" s="252"/>
    </row>
    <row r="15" spans="1:24">
      <c r="A15" s="227" t="s">
        <v>205</v>
      </c>
      <c r="B15" s="255">
        <v>4.3099999999999999E-2</v>
      </c>
      <c r="C15" s="256">
        <v>0.71870734999999997</v>
      </c>
      <c r="D15" s="257">
        <f>$B15*C15</f>
        <v>3.0976286784999998E-2</v>
      </c>
      <c r="E15" s="255"/>
      <c r="F15" s="254"/>
      <c r="G15" s="254"/>
      <c r="H15" s="254"/>
      <c r="I15" s="254"/>
      <c r="J15" s="254"/>
      <c r="K15" s="252"/>
      <c r="L15" s="254"/>
      <c r="M15" s="254"/>
      <c r="N15" s="254"/>
      <c r="O15" s="254"/>
      <c r="P15" s="254"/>
      <c r="Q15" s="252"/>
      <c r="R15" s="252"/>
      <c r="S15" s="254"/>
      <c r="T15" s="252"/>
      <c r="U15" s="252"/>
      <c r="V15" s="252"/>
      <c r="W15" s="252"/>
      <c r="X15" s="252"/>
    </row>
    <row r="16" spans="1:24">
      <c r="A16" s="227" t="s">
        <v>63</v>
      </c>
      <c r="B16" s="255">
        <v>6.7500000000000004E-2</v>
      </c>
      <c r="C16" s="256">
        <v>0.2303848</v>
      </c>
      <c r="D16" s="258">
        <f>$B16*C16</f>
        <v>1.5550974E-2</v>
      </c>
      <c r="E16" s="255"/>
      <c r="F16" s="254"/>
      <c r="G16" s="254"/>
      <c r="H16" s="254"/>
      <c r="I16" s="254"/>
      <c r="J16" s="254"/>
      <c r="K16" s="252"/>
      <c r="L16" s="257"/>
      <c r="M16" s="257"/>
    </row>
    <row r="17" spans="1:19">
      <c r="C17" s="257"/>
      <c r="D17" s="257">
        <f>SUM(D14:D16)</f>
        <v>4.6527260784999996E-2</v>
      </c>
      <c r="F17" s="254"/>
      <c r="G17" s="254"/>
      <c r="H17" s="254"/>
      <c r="I17" s="254"/>
      <c r="J17" s="254"/>
      <c r="K17" s="252"/>
      <c r="L17" s="257"/>
      <c r="M17" s="257"/>
    </row>
    <row r="18" spans="1:19">
      <c r="I18" s="257"/>
      <c r="J18" s="257"/>
      <c r="K18" s="257"/>
    </row>
    <row r="19" spans="1:19">
      <c r="I19" s="257"/>
      <c r="J19" s="257"/>
      <c r="K19" s="257"/>
    </row>
    <row r="20" spans="1:19" ht="20.25">
      <c r="L20" s="222"/>
      <c r="M20" s="223"/>
      <c r="N20" s="223"/>
      <c r="O20" s="223"/>
      <c r="Q20" s="224"/>
      <c r="R20" s="225"/>
      <c r="S20" s="226"/>
    </row>
    <row r="21" spans="1:19" ht="20.25">
      <c r="L21" s="222"/>
      <c r="M21" s="223"/>
      <c r="N21" s="223"/>
      <c r="O21" s="223"/>
      <c r="Q21" s="224"/>
      <c r="R21" s="225"/>
      <c r="S21" s="226"/>
    </row>
    <row r="22" spans="1:19" ht="20.25">
      <c r="A22" s="228" t="s">
        <v>297</v>
      </c>
      <c r="B22" s="222" t="s">
        <v>298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223"/>
      <c r="O22" s="223"/>
      <c r="Q22" s="224"/>
      <c r="R22" s="225"/>
      <c r="S22" s="226"/>
    </row>
    <row r="23" spans="1:19" ht="20.25">
      <c r="A23" s="228"/>
      <c r="B23" s="222" t="s">
        <v>299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3"/>
      <c r="N23" s="223"/>
      <c r="O23" s="223"/>
      <c r="Q23" s="224"/>
      <c r="R23" s="225"/>
      <c r="S23" s="226"/>
    </row>
    <row r="24" spans="1:19" ht="20.25">
      <c r="A24" s="228"/>
      <c r="B24" s="222" t="s">
        <v>300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3"/>
      <c r="N24" s="223"/>
      <c r="O24" s="223"/>
      <c r="Q24" s="224"/>
      <c r="R24" s="225"/>
      <c r="S24" s="226"/>
    </row>
    <row r="25" spans="1:19" ht="20.25">
      <c r="A25" s="228"/>
      <c r="B25" s="222" t="s">
        <v>301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3"/>
      <c r="N25" s="223"/>
      <c r="O25" s="223"/>
      <c r="Q25" s="224"/>
      <c r="R25" s="225"/>
      <c r="S25" s="226"/>
    </row>
    <row r="26" spans="1:19" ht="20.25">
      <c r="A26" s="228"/>
      <c r="B26" s="222" t="s">
        <v>302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3"/>
      <c r="N26" s="223"/>
      <c r="O26" s="223"/>
      <c r="Q26" s="224"/>
      <c r="R26" s="225"/>
      <c r="S26" s="226"/>
    </row>
    <row r="27" spans="1:19" ht="20.25">
      <c r="A27" s="228"/>
      <c r="B27" s="222" t="s">
        <v>303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3"/>
      <c r="N27" s="223"/>
      <c r="O27" s="223"/>
      <c r="Q27" s="224"/>
      <c r="R27" s="225"/>
      <c r="S27" s="259" t="s">
        <v>304</v>
      </c>
    </row>
    <row r="28" spans="1:19" ht="20.25">
      <c r="A28" s="228"/>
      <c r="F28" s="229" t="s">
        <v>305</v>
      </c>
      <c r="G28" s="222" t="s">
        <v>306</v>
      </c>
      <c r="H28" s="230">
        <v>0.35</v>
      </c>
      <c r="I28" s="222"/>
      <c r="J28" s="222"/>
      <c r="K28" s="222"/>
      <c r="L28" s="222"/>
      <c r="M28" s="223"/>
      <c r="N28" s="223"/>
      <c r="O28" s="223"/>
      <c r="Q28" s="224"/>
      <c r="R28" s="225"/>
      <c r="S28" s="226"/>
    </row>
    <row r="29" spans="1:19" ht="18">
      <c r="A29" s="228"/>
      <c r="F29" s="222"/>
      <c r="G29" s="222" t="s">
        <v>307</v>
      </c>
      <c r="H29" s="230">
        <f>ROUND(D17,4)</f>
        <v>4.65E-2</v>
      </c>
      <c r="I29" s="222" t="s">
        <v>308</v>
      </c>
      <c r="J29" s="222"/>
      <c r="K29" s="222"/>
    </row>
    <row r="30" spans="1:19" ht="18">
      <c r="A30" s="228"/>
      <c r="F30" s="222"/>
      <c r="G30" s="222" t="s">
        <v>309</v>
      </c>
      <c r="H30" s="230">
        <v>0</v>
      </c>
      <c r="I30" s="222" t="s">
        <v>310</v>
      </c>
      <c r="J30" s="222"/>
      <c r="K30" s="222"/>
    </row>
  </sheetData>
  <pageMargins left="0.17" right="0.17" top="1.25" bottom="0.75" header="0.3" footer="0.3"/>
  <pageSetup scale="63" orientation="landscape" r:id="rId1"/>
  <headerFooter>
    <oddFooter>&amp;C&amp;F -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3"/>
  <sheetViews>
    <sheetView showGridLines="0" workbookViewId="0"/>
  </sheetViews>
  <sheetFormatPr defaultRowHeight="12.75" customHeight="1"/>
  <cols>
    <col min="1" max="1" width="25.140625" style="317" bestFit="1" customWidth="1"/>
    <col min="2" max="2" width="2.7109375" style="317" customWidth="1"/>
    <col min="3" max="3" width="15" style="317" bestFit="1" customWidth="1"/>
    <col min="4" max="4" width="2.7109375" style="317" customWidth="1"/>
    <col min="5" max="5" width="15" style="317" bestFit="1" customWidth="1"/>
    <col min="6" max="6" width="2.7109375" style="317" customWidth="1"/>
    <col min="7" max="7" width="10.85546875" style="451" bestFit="1" customWidth="1"/>
    <col min="8" max="8" width="2.7109375" style="317" customWidth="1"/>
    <col min="9" max="9" width="49.28515625" style="317" bestFit="1" customWidth="1"/>
    <col min="10" max="10" width="2.7109375" style="317" customWidth="1"/>
    <col min="11" max="16384" width="9.140625" style="317"/>
  </cols>
  <sheetData>
    <row r="1" spans="1:9" ht="12.75" customHeight="1">
      <c r="A1" s="4" t="s">
        <v>0</v>
      </c>
      <c r="B1" s="449"/>
      <c r="C1" s="449"/>
      <c r="D1" s="449"/>
      <c r="E1" s="449"/>
      <c r="F1" s="449"/>
      <c r="G1" s="450"/>
      <c r="H1" s="449"/>
      <c r="I1" s="449"/>
    </row>
    <row r="2" spans="1:9" ht="12.75" customHeight="1">
      <c r="A2" s="4" t="s">
        <v>60</v>
      </c>
      <c r="B2" s="449"/>
      <c r="C2" s="449"/>
      <c r="D2" s="449"/>
      <c r="E2" s="449"/>
      <c r="F2" s="449"/>
      <c r="G2" s="450"/>
      <c r="H2" s="449"/>
      <c r="I2" s="449"/>
    </row>
    <row r="3" spans="1:9" ht="12.75" customHeight="1">
      <c r="A3" s="4" t="s">
        <v>483</v>
      </c>
      <c r="B3" s="449"/>
      <c r="C3" s="449"/>
      <c r="D3" s="449"/>
      <c r="E3" s="449"/>
      <c r="F3" s="449"/>
      <c r="G3" s="450"/>
      <c r="H3" s="449"/>
      <c r="I3" s="449"/>
    </row>
    <row r="4" spans="1:9" ht="12.75" customHeight="1">
      <c r="A4" s="4" t="s">
        <v>484</v>
      </c>
      <c r="B4" s="449"/>
      <c r="C4" s="449"/>
      <c r="D4" s="449"/>
      <c r="E4" s="449"/>
      <c r="F4" s="449"/>
      <c r="G4" s="450"/>
      <c r="H4" s="449"/>
      <c r="I4" s="449"/>
    </row>
    <row r="5" spans="1:9" ht="12.75" customHeight="1">
      <c r="A5" s="4"/>
      <c r="B5" s="449"/>
      <c r="C5" s="449"/>
      <c r="D5" s="449"/>
      <c r="E5" s="449"/>
      <c r="F5" s="449"/>
      <c r="G5" s="450"/>
      <c r="H5" s="449"/>
      <c r="I5" s="449"/>
    </row>
    <row r="6" spans="1:9" ht="12.75" customHeight="1">
      <c r="A6" s="98"/>
    </row>
    <row r="7" spans="1:9" s="353" customFormat="1" ht="12.75" customHeight="1">
      <c r="C7" s="353">
        <v>2015</v>
      </c>
      <c r="E7" s="353">
        <v>2016</v>
      </c>
      <c r="G7" s="452"/>
    </row>
    <row r="8" spans="1:9" s="353" customFormat="1" ht="12.75" customHeight="1">
      <c r="A8" s="342" t="s">
        <v>502</v>
      </c>
      <c r="C8" s="342" t="s">
        <v>486</v>
      </c>
      <c r="E8" s="342" t="s">
        <v>486</v>
      </c>
      <c r="G8" s="453" t="s">
        <v>487</v>
      </c>
      <c r="I8" s="342" t="s">
        <v>507</v>
      </c>
    </row>
    <row r="9" spans="1:9" ht="12.75" customHeight="1">
      <c r="A9" s="448" t="s">
        <v>485</v>
      </c>
      <c r="C9" s="320">
        <v>2634510</v>
      </c>
      <c r="D9" s="320"/>
      <c r="E9" s="320">
        <v>12446257</v>
      </c>
      <c r="G9" s="451">
        <f>ROUND((E9-C9)/C9,5)</f>
        <v>3.7243200000000001</v>
      </c>
      <c r="I9" s="317" t="s">
        <v>488</v>
      </c>
    </row>
    <row r="10" spans="1:9" ht="12.75" customHeight="1">
      <c r="C10" s="320"/>
      <c r="D10" s="320"/>
      <c r="E10" s="320"/>
      <c r="I10" s="317" t="s">
        <v>489</v>
      </c>
    </row>
    <row r="11" spans="1:9" ht="12.75" customHeight="1">
      <c r="C11" s="320"/>
      <c r="D11" s="320"/>
      <c r="E11" s="320"/>
      <c r="I11" s="317" t="s">
        <v>490</v>
      </c>
    </row>
    <row r="12" spans="1:9" ht="12.75" customHeight="1">
      <c r="C12" s="320"/>
      <c r="D12" s="320"/>
      <c r="E12" s="320"/>
      <c r="I12" s="317" t="s">
        <v>491</v>
      </c>
    </row>
    <row r="13" spans="1:9" ht="12.75" customHeight="1">
      <c r="C13" s="320"/>
      <c r="D13" s="320"/>
      <c r="E13" s="320"/>
      <c r="I13" s="317" t="s">
        <v>492</v>
      </c>
    </row>
    <row r="14" spans="1:9" ht="12.75" customHeight="1">
      <c r="C14" s="320"/>
      <c r="D14" s="320"/>
      <c r="E14" s="320"/>
    </row>
    <row r="15" spans="1:9" ht="12.75" customHeight="1">
      <c r="A15" s="317" t="s">
        <v>493</v>
      </c>
      <c r="C15" s="320">
        <v>1266786337</v>
      </c>
      <c r="D15" s="320"/>
      <c r="E15" s="320">
        <v>1675831822</v>
      </c>
      <c r="G15" s="451">
        <f>ROUND((E15-C15)/C15,5)</f>
        <v>0.32290000000000002</v>
      </c>
      <c r="I15" s="317" t="s">
        <v>494</v>
      </c>
    </row>
    <row r="16" spans="1:9" ht="12.75" customHeight="1">
      <c r="C16" s="320"/>
      <c r="D16" s="320"/>
      <c r="E16" s="320"/>
      <c r="I16" s="317" t="s">
        <v>495</v>
      </c>
    </row>
    <row r="17" spans="1:9" ht="12.75" customHeight="1">
      <c r="C17" s="320"/>
      <c r="D17" s="320"/>
      <c r="E17" s="320"/>
    </row>
    <row r="18" spans="1:9" ht="12.75" customHeight="1">
      <c r="A18" s="317" t="s">
        <v>496</v>
      </c>
      <c r="C18" s="320">
        <v>8134708</v>
      </c>
      <c r="D18" s="320"/>
      <c r="E18" s="320">
        <v>30130637</v>
      </c>
      <c r="G18" s="451">
        <f>ROUND((E18-C18)/C18,5)</f>
        <v>2.7039599999999999</v>
      </c>
      <c r="I18" s="317" t="s">
        <v>497</v>
      </c>
    </row>
    <row r="19" spans="1:9" ht="12.75" customHeight="1">
      <c r="C19" s="320"/>
      <c r="D19" s="320"/>
      <c r="E19" s="320"/>
      <c r="I19" s="317" t="s">
        <v>498</v>
      </c>
    </row>
    <row r="20" spans="1:9" ht="12.75" customHeight="1">
      <c r="C20" s="320"/>
      <c r="D20" s="320"/>
      <c r="E20" s="320"/>
      <c r="I20" s="317" t="s">
        <v>499</v>
      </c>
    </row>
    <row r="21" spans="1:9" ht="12.75" customHeight="1">
      <c r="C21" s="320"/>
      <c r="D21" s="320"/>
      <c r="E21" s="320"/>
    </row>
    <row r="22" spans="1:9" ht="12.75" customHeight="1">
      <c r="A22" s="317" t="s">
        <v>126</v>
      </c>
      <c r="C22" s="320">
        <v>13156539</v>
      </c>
      <c r="D22" s="320"/>
      <c r="E22" s="320">
        <v>33897629</v>
      </c>
      <c r="G22" s="451">
        <f>ROUND((E22-C22)/C22,5)</f>
        <v>1.5764899999999999</v>
      </c>
      <c r="I22" s="317" t="s">
        <v>488</v>
      </c>
    </row>
    <row r="23" spans="1:9" ht="12.75" customHeight="1">
      <c r="C23" s="320"/>
      <c r="D23" s="320"/>
      <c r="E23" s="320"/>
      <c r="I23" s="317" t="s">
        <v>500</v>
      </c>
    </row>
    <row r="24" spans="1:9" ht="12.75" customHeight="1">
      <c r="C24" s="320"/>
      <c r="D24" s="320"/>
      <c r="E24" s="320"/>
      <c r="I24" s="317" t="s">
        <v>501</v>
      </c>
    </row>
    <row r="25" spans="1:9" ht="12.75" customHeight="1">
      <c r="C25" s="320"/>
      <c r="D25" s="320"/>
      <c r="E25" s="320"/>
    </row>
    <row r="26" spans="1:9" ht="12.75" customHeight="1">
      <c r="A26" s="317" t="s">
        <v>503</v>
      </c>
      <c r="C26" s="320">
        <v>19812600</v>
      </c>
      <c r="D26" s="320"/>
      <c r="E26" s="320">
        <v>30982127</v>
      </c>
      <c r="G26" s="451">
        <f>ROUND((E26-C26)/C26,5)</f>
        <v>0.56376000000000004</v>
      </c>
      <c r="I26" s="317" t="s">
        <v>504</v>
      </c>
    </row>
    <row r="27" spans="1:9" ht="12.75" customHeight="1">
      <c r="C27" s="320"/>
      <c r="D27" s="320"/>
      <c r="E27" s="320"/>
      <c r="I27" s="317" t="s">
        <v>505</v>
      </c>
    </row>
    <row r="28" spans="1:9" ht="12.75" customHeight="1">
      <c r="C28" s="320"/>
      <c r="D28" s="320"/>
      <c r="E28" s="320"/>
      <c r="I28" s="317" t="s">
        <v>506</v>
      </c>
    </row>
    <row r="29" spans="1:9" ht="12.75" customHeight="1">
      <c r="C29" s="320"/>
      <c r="D29" s="320"/>
      <c r="E29" s="320"/>
    </row>
    <row r="30" spans="1:9" ht="12.75" customHeight="1">
      <c r="A30" s="317" t="s">
        <v>191</v>
      </c>
      <c r="C30" s="320">
        <v>254840</v>
      </c>
      <c r="D30" s="320"/>
      <c r="E30" s="320">
        <v>84884</v>
      </c>
      <c r="G30" s="451">
        <f>ROUND((E30-C30)/C30,5)</f>
        <v>-0.66691</v>
      </c>
      <c r="I30" s="317" t="s">
        <v>508</v>
      </c>
    </row>
    <row r="31" spans="1:9" ht="12.75" customHeight="1">
      <c r="C31" s="320"/>
      <c r="D31" s="320"/>
      <c r="E31" s="320"/>
      <c r="I31" s="317" t="s">
        <v>509</v>
      </c>
    </row>
    <row r="32" spans="1:9" ht="12.75" customHeight="1">
      <c r="A32" s="317" t="s">
        <v>510</v>
      </c>
      <c r="C32" s="320"/>
      <c r="D32" s="320"/>
      <c r="E32" s="320"/>
    </row>
    <row r="33" spans="1:9" ht="12.75" customHeight="1">
      <c r="A33" s="317" t="s">
        <v>511</v>
      </c>
      <c r="C33" s="333">
        <v>9484849</v>
      </c>
      <c r="D33" s="320"/>
      <c r="E33" s="320">
        <v>17702443</v>
      </c>
      <c r="G33" s="451">
        <f>ROUND((E33-C33)/C33,5)</f>
        <v>0.86638999999999999</v>
      </c>
      <c r="I33" s="332" t="s">
        <v>512</v>
      </c>
    </row>
    <row r="34" spans="1:9" ht="12.75" customHeight="1">
      <c r="C34" s="320"/>
      <c r="D34" s="320"/>
      <c r="E34" s="320"/>
      <c r="I34" s="454">
        <v>7891950</v>
      </c>
    </row>
    <row r="35" spans="1:9" ht="12.75" customHeight="1">
      <c r="C35" s="320"/>
      <c r="D35" s="320"/>
      <c r="E35" s="320"/>
    </row>
    <row r="36" spans="1:9" ht="12.75" customHeight="1">
      <c r="C36" s="320"/>
      <c r="D36" s="320"/>
      <c r="E36" s="320"/>
    </row>
    <row r="37" spans="1:9" ht="12.75" customHeight="1">
      <c r="C37" s="320"/>
      <c r="D37" s="320"/>
      <c r="E37" s="320"/>
    </row>
    <row r="38" spans="1:9" ht="12.75" customHeight="1">
      <c r="C38" s="320"/>
      <c r="D38" s="320"/>
      <c r="E38" s="320"/>
    </row>
    <row r="39" spans="1:9" ht="12.75" customHeight="1">
      <c r="C39" s="320"/>
      <c r="D39" s="320"/>
      <c r="E39" s="320"/>
    </row>
    <row r="40" spans="1:9" ht="12.75" customHeight="1">
      <c r="C40" s="320"/>
      <c r="D40" s="320"/>
      <c r="E40" s="320"/>
    </row>
    <row r="41" spans="1:9" ht="12.75" customHeight="1">
      <c r="C41" s="320"/>
      <c r="D41" s="320"/>
      <c r="E41" s="320"/>
    </row>
    <row r="42" spans="1:9" ht="12.75" customHeight="1">
      <c r="C42" s="320"/>
      <c r="D42" s="320"/>
      <c r="E42" s="320"/>
    </row>
    <row r="43" spans="1:9" ht="12.75" customHeight="1">
      <c r="C43" s="320"/>
      <c r="D43" s="320"/>
      <c r="E43" s="320"/>
    </row>
    <row r="44" spans="1:9" ht="12.75" customHeight="1">
      <c r="C44" s="320"/>
      <c r="D44" s="320"/>
      <c r="E44" s="320"/>
    </row>
    <row r="45" spans="1:9" ht="12.75" customHeight="1">
      <c r="C45" s="320"/>
      <c r="D45" s="320"/>
      <c r="E45" s="320"/>
    </row>
    <row r="46" spans="1:9" ht="12.75" customHeight="1">
      <c r="C46" s="320"/>
      <c r="D46" s="320"/>
      <c r="E46" s="320"/>
    </row>
    <row r="47" spans="1:9" ht="12.75" customHeight="1">
      <c r="C47" s="320"/>
      <c r="D47" s="320"/>
      <c r="E47" s="320"/>
    </row>
    <row r="48" spans="1:9" ht="12.75" customHeight="1">
      <c r="C48" s="320"/>
      <c r="D48" s="320"/>
      <c r="E48" s="320"/>
    </row>
    <row r="49" spans="3:5" ht="12.75" customHeight="1">
      <c r="C49" s="320"/>
      <c r="D49" s="320"/>
      <c r="E49" s="320"/>
    </row>
    <row r="50" spans="3:5" ht="12.75" customHeight="1">
      <c r="C50" s="320"/>
      <c r="D50" s="320"/>
      <c r="E50" s="320"/>
    </row>
    <row r="51" spans="3:5" ht="12.75" customHeight="1">
      <c r="C51" s="320"/>
      <c r="D51" s="320"/>
      <c r="E51" s="320"/>
    </row>
    <row r="52" spans="3:5" ht="12.75" customHeight="1">
      <c r="C52" s="320"/>
      <c r="D52" s="320"/>
      <c r="E52" s="320"/>
    </row>
    <row r="53" spans="3:5" ht="12.75" customHeight="1">
      <c r="C53" s="320"/>
      <c r="D53" s="320"/>
      <c r="E53" s="320"/>
    </row>
    <row r="54" spans="3:5" ht="12.75" customHeight="1">
      <c r="C54" s="320"/>
      <c r="D54" s="320"/>
      <c r="E54" s="320"/>
    </row>
    <row r="55" spans="3:5" ht="12.75" customHeight="1">
      <c r="C55" s="320"/>
      <c r="D55" s="320"/>
      <c r="E55" s="320"/>
    </row>
    <row r="56" spans="3:5" ht="12.75" customHeight="1">
      <c r="C56" s="320"/>
      <c r="D56" s="320"/>
      <c r="E56" s="320"/>
    </row>
    <row r="57" spans="3:5" ht="12.75" customHeight="1">
      <c r="C57" s="320"/>
      <c r="D57" s="320"/>
      <c r="E57" s="320"/>
    </row>
    <row r="58" spans="3:5" ht="12.75" customHeight="1">
      <c r="C58" s="320"/>
      <c r="D58" s="320"/>
      <c r="E58" s="320"/>
    </row>
    <row r="59" spans="3:5" ht="12.75" customHeight="1">
      <c r="C59" s="320"/>
      <c r="D59" s="320"/>
      <c r="E59" s="320"/>
    </row>
    <row r="60" spans="3:5" ht="12.75" customHeight="1">
      <c r="C60" s="320"/>
      <c r="D60" s="320"/>
      <c r="E60" s="320"/>
    </row>
    <row r="61" spans="3:5" ht="12.75" customHeight="1">
      <c r="C61" s="320"/>
      <c r="D61" s="320"/>
      <c r="E61" s="320"/>
    </row>
    <row r="62" spans="3:5" ht="12.75" customHeight="1">
      <c r="C62" s="320"/>
      <c r="D62" s="320"/>
      <c r="E62" s="320"/>
    </row>
    <row r="63" spans="3:5" ht="12.75" customHeight="1">
      <c r="C63" s="320"/>
      <c r="D63" s="320"/>
      <c r="E63" s="320"/>
    </row>
    <row r="64" spans="3:5" ht="12.75" customHeight="1">
      <c r="C64" s="320"/>
      <c r="D64" s="320"/>
      <c r="E64" s="320"/>
    </row>
    <row r="65" spans="3:5" ht="12.75" customHeight="1">
      <c r="C65" s="320"/>
      <c r="D65" s="320"/>
      <c r="E65" s="320"/>
    </row>
    <row r="66" spans="3:5" ht="12.75" customHeight="1">
      <c r="C66" s="320"/>
      <c r="D66" s="320"/>
      <c r="E66" s="320"/>
    </row>
    <row r="67" spans="3:5" ht="12.75" customHeight="1">
      <c r="C67" s="320"/>
      <c r="D67" s="320"/>
      <c r="E67" s="320"/>
    </row>
    <row r="68" spans="3:5" ht="12.75" customHeight="1">
      <c r="C68" s="320"/>
      <c r="D68" s="320"/>
      <c r="E68" s="320"/>
    </row>
    <row r="69" spans="3:5" ht="12.75" customHeight="1">
      <c r="C69" s="320"/>
      <c r="D69" s="320"/>
      <c r="E69" s="320"/>
    </row>
    <row r="70" spans="3:5" ht="12.75" customHeight="1">
      <c r="C70" s="320"/>
      <c r="D70" s="320"/>
      <c r="E70" s="320"/>
    </row>
    <row r="71" spans="3:5" ht="12.75" customHeight="1">
      <c r="C71" s="320"/>
      <c r="D71" s="320"/>
      <c r="E71" s="320"/>
    </row>
    <row r="72" spans="3:5" ht="12.75" customHeight="1">
      <c r="C72" s="320"/>
      <c r="D72" s="320"/>
      <c r="E72" s="320"/>
    </row>
    <row r="73" spans="3:5" ht="12.75" customHeight="1">
      <c r="C73" s="320"/>
      <c r="D73" s="320"/>
      <c r="E73" s="320"/>
    </row>
    <row r="74" spans="3:5" ht="12.75" customHeight="1">
      <c r="C74" s="320"/>
      <c r="D74" s="320"/>
      <c r="E74" s="320"/>
    </row>
    <row r="75" spans="3:5" ht="12.75" customHeight="1">
      <c r="C75" s="320"/>
      <c r="D75" s="320"/>
      <c r="E75" s="320"/>
    </row>
    <row r="76" spans="3:5" ht="12.75" customHeight="1">
      <c r="C76" s="320"/>
      <c r="D76" s="320"/>
      <c r="E76" s="320"/>
    </row>
    <row r="77" spans="3:5" ht="12.75" customHeight="1">
      <c r="C77" s="320"/>
      <c r="D77" s="320"/>
      <c r="E77" s="320"/>
    </row>
    <row r="78" spans="3:5" ht="12.75" customHeight="1">
      <c r="C78" s="320"/>
      <c r="D78" s="320"/>
      <c r="E78" s="320"/>
    </row>
    <row r="79" spans="3:5" ht="12.75" customHeight="1">
      <c r="C79" s="320"/>
      <c r="D79" s="320"/>
      <c r="E79" s="320"/>
    </row>
    <row r="80" spans="3:5" ht="12.75" customHeight="1">
      <c r="C80" s="320"/>
      <c r="D80" s="320"/>
      <c r="E80" s="320"/>
    </row>
    <row r="81" spans="3:5" ht="12.75" customHeight="1">
      <c r="C81" s="320"/>
      <c r="D81" s="320"/>
      <c r="E81" s="320"/>
    </row>
    <row r="82" spans="3:5" ht="12.75" customHeight="1">
      <c r="C82" s="320"/>
      <c r="D82" s="320"/>
      <c r="E82" s="320"/>
    </row>
    <row r="83" spans="3:5" ht="12.75" customHeight="1">
      <c r="C83" s="320"/>
      <c r="D83" s="320"/>
      <c r="E83" s="320"/>
    </row>
    <row r="84" spans="3:5" ht="12.75" customHeight="1">
      <c r="C84" s="320"/>
      <c r="D84" s="320"/>
      <c r="E84" s="320"/>
    </row>
    <row r="85" spans="3:5" ht="12.75" customHeight="1">
      <c r="C85" s="320"/>
      <c r="D85" s="320"/>
      <c r="E85" s="320"/>
    </row>
    <row r="86" spans="3:5" ht="12.75" customHeight="1">
      <c r="C86" s="320"/>
      <c r="D86" s="320"/>
      <c r="E86" s="320"/>
    </row>
    <row r="87" spans="3:5" ht="12.75" customHeight="1">
      <c r="C87" s="320"/>
      <c r="D87" s="320"/>
      <c r="E87" s="320"/>
    </row>
    <row r="88" spans="3:5" ht="12.75" customHeight="1">
      <c r="C88" s="320"/>
      <c r="D88" s="320"/>
      <c r="E88" s="320"/>
    </row>
    <row r="89" spans="3:5" ht="12.75" customHeight="1">
      <c r="C89" s="320"/>
      <c r="D89" s="320"/>
      <c r="E89" s="320"/>
    </row>
    <row r="90" spans="3:5" ht="12.75" customHeight="1">
      <c r="C90" s="320"/>
      <c r="D90" s="320"/>
      <c r="E90" s="320"/>
    </row>
    <row r="91" spans="3:5" ht="12.75" customHeight="1">
      <c r="C91" s="320"/>
      <c r="D91" s="320"/>
      <c r="E91" s="320"/>
    </row>
    <row r="92" spans="3:5" ht="12.75" customHeight="1">
      <c r="C92" s="320"/>
      <c r="D92" s="320"/>
      <c r="E92" s="320"/>
    </row>
    <row r="93" spans="3:5" ht="12.75" customHeight="1">
      <c r="C93" s="320"/>
      <c r="D93" s="320"/>
      <c r="E93" s="320"/>
    </row>
    <row r="94" spans="3:5" ht="12.75" customHeight="1">
      <c r="C94" s="320"/>
      <c r="D94" s="320"/>
      <c r="E94" s="320"/>
    </row>
    <row r="95" spans="3:5" ht="12.75" customHeight="1">
      <c r="C95" s="320"/>
      <c r="D95" s="320"/>
      <c r="E95" s="320"/>
    </row>
    <row r="96" spans="3:5" ht="12.75" customHeight="1">
      <c r="C96" s="320"/>
      <c r="D96" s="320"/>
      <c r="E96" s="320"/>
    </row>
    <row r="97" spans="3:5" ht="12.75" customHeight="1">
      <c r="C97" s="320"/>
      <c r="D97" s="320"/>
      <c r="E97" s="320"/>
    </row>
    <row r="98" spans="3:5" ht="12.75" customHeight="1">
      <c r="C98" s="320"/>
      <c r="D98" s="320"/>
      <c r="E98" s="320"/>
    </row>
    <row r="99" spans="3:5" ht="12.75" customHeight="1">
      <c r="C99" s="320"/>
      <c r="D99" s="320"/>
      <c r="E99" s="320"/>
    </row>
    <row r="100" spans="3:5" ht="12.75" customHeight="1">
      <c r="C100" s="320"/>
      <c r="D100" s="320"/>
      <c r="E100" s="320"/>
    </row>
    <row r="101" spans="3:5" ht="12.75" customHeight="1">
      <c r="C101" s="320"/>
      <c r="D101" s="320"/>
      <c r="E101" s="320"/>
    </row>
    <row r="102" spans="3:5" ht="12.75" customHeight="1">
      <c r="C102" s="320"/>
      <c r="D102" s="320"/>
      <c r="E102" s="320"/>
    </row>
    <row r="103" spans="3:5" ht="12.75" customHeight="1">
      <c r="C103" s="320"/>
      <c r="D103" s="320"/>
      <c r="E103" s="320"/>
    </row>
    <row r="104" spans="3:5" ht="12.75" customHeight="1">
      <c r="C104" s="320"/>
      <c r="D104" s="320"/>
      <c r="E104" s="320"/>
    </row>
    <row r="105" spans="3:5" ht="12.75" customHeight="1">
      <c r="C105" s="320"/>
      <c r="D105" s="320"/>
      <c r="E105" s="320"/>
    </row>
    <row r="106" spans="3:5" ht="12.75" customHeight="1">
      <c r="C106" s="320"/>
      <c r="D106" s="320"/>
      <c r="E106" s="320"/>
    </row>
    <row r="107" spans="3:5" ht="12.75" customHeight="1">
      <c r="C107" s="320"/>
      <c r="D107" s="320"/>
      <c r="E107" s="320"/>
    </row>
    <row r="108" spans="3:5" ht="12.75" customHeight="1">
      <c r="C108" s="320"/>
      <c r="D108" s="320"/>
      <c r="E108" s="320"/>
    </row>
    <row r="109" spans="3:5" ht="12.75" customHeight="1">
      <c r="C109" s="320"/>
      <c r="D109" s="320"/>
      <c r="E109" s="320"/>
    </row>
    <row r="110" spans="3:5" ht="12.75" customHeight="1">
      <c r="C110" s="320"/>
      <c r="D110" s="320"/>
      <c r="E110" s="320"/>
    </row>
    <row r="111" spans="3:5" ht="12.75" customHeight="1">
      <c r="C111" s="320"/>
      <c r="D111" s="320"/>
      <c r="E111" s="320"/>
    </row>
    <row r="112" spans="3:5" ht="12.75" customHeight="1">
      <c r="C112" s="320"/>
      <c r="D112" s="320"/>
      <c r="E112" s="320"/>
    </row>
    <row r="113" spans="3:5" ht="12.75" customHeight="1">
      <c r="C113" s="320"/>
      <c r="D113" s="320"/>
      <c r="E113" s="320"/>
    </row>
    <row r="114" spans="3:5" ht="12.75" customHeight="1">
      <c r="C114" s="320"/>
      <c r="D114" s="320"/>
      <c r="E114" s="320"/>
    </row>
    <row r="115" spans="3:5" ht="12.75" customHeight="1">
      <c r="C115" s="320"/>
      <c r="D115" s="320"/>
      <c r="E115" s="320"/>
    </row>
    <row r="116" spans="3:5" ht="12.75" customHeight="1">
      <c r="C116" s="320"/>
      <c r="D116" s="320"/>
      <c r="E116" s="320"/>
    </row>
    <row r="117" spans="3:5" ht="12.75" customHeight="1">
      <c r="C117" s="320"/>
      <c r="D117" s="320"/>
      <c r="E117" s="320"/>
    </row>
    <row r="118" spans="3:5" ht="12.75" customHeight="1">
      <c r="C118" s="320"/>
      <c r="D118" s="320"/>
      <c r="E118" s="320"/>
    </row>
    <row r="119" spans="3:5" ht="12.75" customHeight="1">
      <c r="C119" s="320"/>
      <c r="D119" s="320"/>
      <c r="E119" s="320"/>
    </row>
    <row r="120" spans="3:5" ht="12.75" customHeight="1">
      <c r="C120" s="320"/>
      <c r="D120" s="320"/>
      <c r="E120" s="320"/>
    </row>
    <row r="121" spans="3:5" ht="12.75" customHeight="1">
      <c r="C121" s="320"/>
      <c r="D121" s="320"/>
      <c r="E121" s="320"/>
    </row>
    <row r="122" spans="3:5" ht="12.75" customHeight="1">
      <c r="C122" s="320"/>
      <c r="D122" s="320"/>
      <c r="E122" s="320"/>
    </row>
    <row r="123" spans="3:5" ht="12.75" customHeight="1">
      <c r="C123" s="320"/>
      <c r="D123" s="320"/>
      <c r="E123" s="320"/>
    </row>
    <row r="124" spans="3:5" ht="12.75" customHeight="1">
      <c r="C124" s="320"/>
      <c r="D124" s="320"/>
      <c r="E124" s="320"/>
    </row>
    <row r="125" spans="3:5" ht="12.75" customHeight="1">
      <c r="C125" s="320"/>
      <c r="D125" s="320"/>
      <c r="E125" s="320"/>
    </row>
    <row r="126" spans="3:5" ht="12.75" customHeight="1">
      <c r="C126" s="320"/>
      <c r="D126" s="320"/>
      <c r="E126" s="320"/>
    </row>
    <row r="127" spans="3:5" ht="12.75" customHeight="1">
      <c r="C127" s="320"/>
      <c r="D127" s="320"/>
      <c r="E127" s="320"/>
    </row>
    <row r="128" spans="3:5" ht="12.75" customHeight="1">
      <c r="C128" s="320"/>
      <c r="D128" s="320"/>
      <c r="E128" s="320"/>
    </row>
    <row r="129" spans="3:5" ht="12.75" customHeight="1">
      <c r="C129" s="320"/>
      <c r="D129" s="320"/>
      <c r="E129" s="320"/>
    </row>
    <row r="130" spans="3:5" ht="12.75" customHeight="1">
      <c r="C130" s="320"/>
      <c r="D130" s="320"/>
      <c r="E130" s="320"/>
    </row>
    <row r="131" spans="3:5" ht="12.75" customHeight="1">
      <c r="C131" s="320"/>
      <c r="D131" s="320"/>
      <c r="E131" s="320"/>
    </row>
    <row r="132" spans="3:5" ht="12.75" customHeight="1">
      <c r="C132" s="320"/>
      <c r="D132" s="320"/>
      <c r="E132" s="320"/>
    </row>
    <row r="133" spans="3:5" ht="12.75" customHeight="1">
      <c r="C133" s="320"/>
      <c r="D133" s="320"/>
      <c r="E133" s="320"/>
    </row>
    <row r="134" spans="3:5" ht="12.75" customHeight="1">
      <c r="C134" s="320"/>
      <c r="D134" s="320"/>
      <c r="E134" s="320"/>
    </row>
    <row r="135" spans="3:5" ht="12.75" customHeight="1">
      <c r="C135" s="320"/>
      <c r="D135" s="320"/>
      <c r="E135" s="320"/>
    </row>
    <row r="136" spans="3:5" ht="12.75" customHeight="1">
      <c r="C136" s="320"/>
      <c r="D136" s="320"/>
      <c r="E136" s="320"/>
    </row>
    <row r="137" spans="3:5" ht="12.75" customHeight="1">
      <c r="C137" s="320"/>
      <c r="D137" s="320"/>
      <c r="E137" s="320"/>
    </row>
    <row r="138" spans="3:5" ht="12.75" customHeight="1">
      <c r="C138" s="320"/>
      <c r="D138" s="320"/>
      <c r="E138" s="320"/>
    </row>
    <row r="139" spans="3:5" ht="12.75" customHeight="1">
      <c r="C139" s="320"/>
      <c r="D139" s="320"/>
      <c r="E139" s="320"/>
    </row>
    <row r="140" spans="3:5" ht="12.75" customHeight="1">
      <c r="C140" s="320"/>
      <c r="D140" s="320"/>
      <c r="E140" s="320"/>
    </row>
    <row r="141" spans="3:5" ht="12.75" customHeight="1">
      <c r="C141" s="320"/>
      <c r="D141" s="320"/>
      <c r="E141" s="320"/>
    </row>
    <row r="142" spans="3:5" ht="12.75" customHeight="1">
      <c r="C142" s="320"/>
      <c r="D142" s="320"/>
      <c r="E142" s="320"/>
    </row>
    <row r="143" spans="3:5" ht="12.75" customHeight="1">
      <c r="C143" s="320"/>
      <c r="D143" s="320"/>
      <c r="E143" s="320"/>
    </row>
    <row r="144" spans="3:5" ht="12.75" customHeight="1">
      <c r="C144" s="320"/>
      <c r="D144" s="320"/>
      <c r="E144" s="320"/>
    </row>
    <row r="145" spans="3:5" ht="12.75" customHeight="1">
      <c r="C145" s="320"/>
      <c r="D145" s="320"/>
      <c r="E145" s="320"/>
    </row>
    <row r="146" spans="3:5" ht="12.75" customHeight="1">
      <c r="C146" s="320"/>
      <c r="D146" s="320"/>
      <c r="E146" s="320"/>
    </row>
    <row r="147" spans="3:5" ht="12.75" customHeight="1">
      <c r="C147" s="320"/>
      <c r="D147" s="320"/>
      <c r="E147" s="320"/>
    </row>
    <row r="148" spans="3:5" ht="12.75" customHeight="1">
      <c r="C148" s="320"/>
      <c r="D148" s="320"/>
      <c r="E148" s="320"/>
    </row>
    <row r="149" spans="3:5" ht="12.75" customHeight="1">
      <c r="C149" s="320"/>
      <c r="D149" s="320"/>
      <c r="E149" s="320"/>
    </row>
    <row r="150" spans="3:5" ht="12.75" customHeight="1">
      <c r="C150" s="320"/>
      <c r="D150" s="320"/>
      <c r="E150" s="320"/>
    </row>
    <row r="151" spans="3:5" ht="12.75" customHeight="1">
      <c r="C151" s="320"/>
      <c r="D151" s="320"/>
      <c r="E151" s="320"/>
    </row>
    <row r="152" spans="3:5" ht="12.75" customHeight="1">
      <c r="C152" s="320"/>
      <c r="D152" s="320"/>
      <c r="E152" s="320"/>
    </row>
    <row r="153" spans="3:5" ht="12.75" customHeight="1">
      <c r="C153" s="320"/>
      <c r="D153" s="320"/>
      <c r="E153" s="320"/>
    </row>
    <row r="154" spans="3:5" ht="12.75" customHeight="1">
      <c r="C154" s="320"/>
      <c r="D154" s="320"/>
      <c r="E154" s="320"/>
    </row>
    <row r="155" spans="3:5" ht="12.75" customHeight="1">
      <c r="C155" s="320"/>
      <c r="D155" s="320"/>
      <c r="E155" s="320"/>
    </row>
    <row r="156" spans="3:5" ht="12.75" customHeight="1">
      <c r="C156" s="320"/>
      <c r="D156" s="320"/>
      <c r="E156" s="320"/>
    </row>
    <row r="157" spans="3:5" ht="12.75" customHeight="1">
      <c r="C157" s="320"/>
      <c r="D157" s="320"/>
      <c r="E157" s="320"/>
    </row>
    <row r="158" spans="3:5" ht="12.75" customHeight="1">
      <c r="C158" s="320"/>
      <c r="D158" s="320"/>
      <c r="E158" s="320"/>
    </row>
    <row r="159" spans="3:5" ht="12.75" customHeight="1">
      <c r="C159" s="320"/>
      <c r="D159" s="320"/>
      <c r="E159" s="320"/>
    </row>
    <row r="160" spans="3:5" ht="12.75" customHeight="1">
      <c r="C160" s="320"/>
      <c r="D160" s="320"/>
      <c r="E160" s="320"/>
    </row>
    <row r="161" spans="3:5" ht="12.75" customHeight="1">
      <c r="C161" s="320"/>
      <c r="D161" s="320"/>
      <c r="E161" s="320"/>
    </row>
    <row r="162" spans="3:5" ht="12.75" customHeight="1">
      <c r="C162" s="320"/>
      <c r="D162" s="320"/>
      <c r="E162" s="320"/>
    </row>
    <row r="163" spans="3:5" ht="12.75" customHeight="1">
      <c r="C163" s="320"/>
      <c r="D163" s="320"/>
      <c r="E163" s="320"/>
    </row>
    <row r="164" spans="3:5" ht="12.75" customHeight="1">
      <c r="C164" s="320"/>
      <c r="D164" s="320"/>
      <c r="E164" s="320"/>
    </row>
    <row r="165" spans="3:5" ht="12.75" customHeight="1">
      <c r="C165" s="320"/>
      <c r="D165" s="320"/>
      <c r="E165" s="320"/>
    </row>
    <row r="166" spans="3:5" ht="12.75" customHeight="1">
      <c r="C166" s="320"/>
      <c r="D166" s="320"/>
      <c r="E166" s="320"/>
    </row>
    <row r="167" spans="3:5" ht="12.75" customHeight="1">
      <c r="C167" s="320"/>
      <c r="D167" s="320"/>
      <c r="E167" s="320"/>
    </row>
    <row r="168" spans="3:5" ht="12.75" customHeight="1">
      <c r="C168" s="320"/>
      <c r="D168" s="320"/>
      <c r="E168" s="320"/>
    </row>
    <row r="169" spans="3:5" ht="12.75" customHeight="1">
      <c r="C169" s="320"/>
      <c r="D169" s="320"/>
      <c r="E169" s="320"/>
    </row>
    <row r="170" spans="3:5" ht="12.75" customHeight="1">
      <c r="C170" s="320"/>
      <c r="D170" s="320"/>
      <c r="E170" s="320"/>
    </row>
    <row r="171" spans="3:5" ht="12.75" customHeight="1">
      <c r="C171" s="320"/>
      <c r="D171" s="320"/>
      <c r="E171" s="320"/>
    </row>
    <row r="172" spans="3:5" ht="12.75" customHeight="1">
      <c r="C172" s="320"/>
      <c r="D172" s="320"/>
      <c r="E172" s="320"/>
    </row>
    <row r="173" spans="3:5" ht="12.75" customHeight="1">
      <c r="C173" s="320"/>
      <c r="D173" s="320"/>
      <c r="E173" s="320"/>
    </row>
    <row r="174" spans="3:5" ht="12.75" customHeight="1">
      <c r="C174" s="320"/>
      <c r="D174" s="320"/>
      <c r="E174" s="320"/>
    </row>
    <row r="175" spans="3:5" ht="12.75" customHeight="1">
      <c r="C175" s="320"/>
      <c r="D175" s="320"/>
      <c r="E175" s="320"/>
    </row>
    <row r="176" spans="3:5" ht="12.75" customHeight="1">
      <c r="C176" s="320"/>
      <c r="D176" s="320"/>
      <c r="E176" s="320"/>
    </row>
    <row r="177" spans="3:5" ht="12.75" customHeight="1">
      <c r="C177" s="320"/>
      <c r="D177" s="320"/>
      <c r="E177" s="320"/>
    </row>
    <row r="178" spans="3:5" ht="12.75" customHeight="1">
      <c r="C178" s="320"/>
      <c r="D178" s="320"/>
      <c r="E178" s="320"/>
    </row>
    <row r="179" spans="3:5" ht="12.75" customHeight="1">
      <c r="C179" s="320"/>
      <c r="D179" s="320"/>
      <c r="E179" s="320"/>
    </row>
    <row r="180" spans="3:5" ht="12.75" customHeight="1">
      <c r="C180" s="320"/>
      <c r="D180" s="320"/>
      <c r="E180" s="320"/>
    </row>
    <row r="181" spans="3:5" ht="12.75" customHeight="1">
      <c r="C181" s="320"/>
      <c r="D181" s="320"/>
      <c r="E181" s="320"/>
    </row>
    <row r="182" spans="3:5" ht="12.75" customHeight="1">
      <c r="C182" s="320"/>
      <c r="D182" s="320"/>
      <c r="E182" s="320"/>
    </row>
    <row r="183" spans="3:5" ht="12.75" customHeight="1">
      <c r="C183" s="320"/>
      <c r="D183" s="320"/>
      <c r="E183" s="320"/>
    </row>
    <row r="184" spans="3:5" ht="12.75" customHeight="1">
      <c r="C184" s="320"/>
      <c r="D184" s="320"/>
      <c r="E184" s="320"/>
    </row>
    <row r="185" spans="3:5" ht="12.75" customHeight="1">
      <c r="C185" s="320"/>
      <c r="D185" s="320"/>
      <c r="E185" s="320"/>
    </row>
    <row r="186" spans="3:5" ht="12.75" customHeight="1">
      <c r="C186" s="320"/>
      <c r="D186" s="320"/>
      <c r="E186" s="320"/>
    </row>
    <row r="187" spans="3:5" ht="12.75" customHeight="1">
      <c r="C187" s="320"/>
      <c r="D187" s="320"/>
      <c r="E187" s="320"/>
    </row>
    <row r="188" spans="3:5" ht="12.75" customHeight="1">
      <c r="C188" s="320"/>
      <c r="D188" s="320"/>
      <c r="E188" s="320"/>
    </row>
    <row r="189" spans="3:5" ht="12.75" customHeight="1">
      <c r="C189" s="320"/>
      <c r="D189" s="320"/>
      <c r="E189" s="320"/>
    </row>
    <row r="190" spans="3:5" ht="12.75" customHeight="1">
      <c r="C190" s="320"/>
      <c r="D190" s="320"/>
      <c r="E190" s="320"/>
    </row>
    <row r="191" spans="3:5" ht="12.75" customHeight="1">
      <c r="C191" s="320"/>
      <c r="D191" s="320"/>
      <c r="E191" s="320"/>
    </row>
    <row r="192" spans="3:5" ht="12.75" customHeight="1">
      <c r="C192" s="320"/>
      <c r="D192" s="320"/>
      <c r="E192" s="320"/>
    </row>
    <row r="193" spans="3:5" ht="12.75" customHeight="1">
      <c r="C193" s="320"/>
      <c r="D193" s="320"/>
      <c r="E193" s="320"/>
    </row>
    <row r="194" spans="3:5" ht="12.75" customHeight="1">
      <c r="C194" s="320"/>
      <c r="D194" s="320"/>
      <c r="E194" s="320"/>
    </row>
    <row r="195" spans="3:5" ht="12.75" customHeight="1">
      <c r="C195" s="320"/>
      <c r="D195" s="320"/>
      <c r="E195" s="320"/>
    </row>
    <row r="196" spans="3:5" ht="12.75" customHeight="1">
      <c r="C196" s="320"/>
      <c r="D196" s="320"/>
      <c r="E196" s="320"/>
    </row>
    <row r="197" spans="3:5" ht="12.75" customHeight="1">
      <c r="C197" s="320"/>
      <c r="D197" s="320"/>
      <c r="E197" s="320"/>
    </row>
    <row r="198" spans="3:5" ht="12.75" customHeight="1">
      <c r="C198" s="320"/>
      <c r="D198" s="320"/>
      <c r="E198" s="320"/>
    </row>
    <row r="199" spans="3:5" ht="12.75" customHeight="1">
      <c r="C199" s="320"/>
      <c r="D199" s="320"/>
      <c r="E199" s="320"/>
    </row>
    <row r="200" spans="3:5" ht="12.75" customHeight="1">
      <c r="C200" s="320"/>
      <c r="D200" s="320"/>
      <c r="E200" s="320"/>
    </row>
    <row r="201" spans="3:5" ht="12.75" customHeight="1">
      <c r="C201" s="320"/>
      <c r="D201" s="320"/>
      <c r="E201" s="320"/>
    </row>
    <row r="202" spans="3:5" ht="12.75" customHeight="1">
      <c r="C202" s="320"/>
      <c r="D202" s="320"/>
      <c r="E202" s="320"/>
    </row>
    <row r="203" spans="3:5" ht="12.75" customHeight="1">
      <c r="C203" s="320"/>
      <c r="D203" s="320"/>
      <c r="E203" s="320"/>
    </row>
    <row r="204" spans="3:5" ht="12.75" customHeight="1">
      <c r="C204" s="320"/>
      <c r="D204" s="320"/>
      <c r="E204" s="320"/>
    </row>
    <row r="205" spans="3:5" ht="12.75" customHeight="1">
      <c r="C205" s="320"/>
      <c r="D205" s="320"/>
      <c r="E205" s="320"/>
    </row>
    <row r="206" spans="3:5" ht="12.75" customHeight="1">
      <c r="C206" s="320"/>
      <c r="D206" s="320"/>
      <c r="E206" s="320"/>
    </row>
    <row r="207" spans="3:5" ht="12.75" customHeight="1">
      <c r="C207" s="320"/>
      <c r="D207" s="320"/>
      <c r="E207" s="320"/>
    </row>
    <row r="208" spans="3:5" ht="12.75" customHeight="1">
      <c r="C208" s="320"/>
      <c r="D208" s="320"/>
      <c r="E208" s="320"/>
    </row>
    <row r="209" spans="3:5" ht="12.75" customHeight="1">
      <c r="C209" s="320"/>
      <c r="D209" s="320"/>
      <c r="E209" s="320"/>
    </row>
    <row r="210" spans="3:5" ht="12.75" customHeight="1">
      <c r="C210" s="320"/>
      <c r="D210" s="320"/>
      <c r="E210" s="320"/>
    </row>
    <row r="211" spans="3:5" ht="12.75" customHeight="1">
      <c r="C211" s="320"/>
      <c r="D211" s="320"/>
      <c r="E211" s="320"/>
    </row>
    <row r="212" spans="3:5" ht="12.75" customHeight="1">
      <c r="C212" s="320"/>
      <c r="D212" s="320"/>
      <c r="E212" s="320"/>
    </row>
    <row r="213" spans="3:5" ht="12.75" customHeight="1">
      <c r="C213" s="320"/>
      <c r="D213" s="320"/>
      <c r="E213" s="320"/>
    </row>
    <row r="214" spans="3:5" ht="12.75" customHeight="1">
      <c r="C214" s="320"/>
      <c r="D214" s="320"/>
      <c r="E214" s="320"/>
    </row>
    <row r="215" spans="3:5" ht="12.75" customHeight="1">
      <c r="C215" s="320"/>
      <c r="D215" s="320"/>
      <c r="E215" s="320"/>
    </row>
    <row r="216" spans="3:5" ht="12.75" customHeight="1">
      <c r="C216" s="320"/>
      <c r="D216" s="320"/>
      <c r="E216" s="320"/>
    </row>
    <row r="217" spans="3:5" ht="12.75" customHeight="1">
      <c r="C217" s="320"/>
      <c r="D217" s="320"/>
      <c r="E217" s="320"/>
    </row>
    <row r="218" spans="3:5" ht="12.75" customHeight="1">
      <c r="C218" s="320"/>
      <c r="D218" s="320"/>
      <c r="E218" s="320"/>
    </row>
    <row r="219" spans="3:5" ht="12.75" customHeight="1">
      <c r="C219" s="320"/>
      <c r="D219" s="320"/>
      <c r="E219" s="320"/>
    </row>
    <row r="220" spans="3:5" ht="12.75" customHeight="1">
      <c r="C220" s="320"/>
      <c r="D220" s="320"/>
      <c r="E220" s="320"/>
    </row>
    <row r="221" spans="3:5" ht="12.75" customHeight="1">
      <c r="C221" s="320"/>
      <c r="D221" s="320"/>
      <c r="E221" s="320"/>
    </row>
    <row r="222" spans="3:5" ht="12.75" customHeight="1">
      <c r="C222" s="320"/>
      <c r="D222" s="320"/>
      <c r="E222" s="320"/>
    </row>
    <row r="223" spans="3:5" ht="12.75" customHeight="1">
      <c r="C223" s="320"/>
      <c r="D223" s="320"/>
      <c r="E223" s="320"/>
    </row>
    <row r="224" spans="3:5" ht="12.75" customHeight="1">
      <c r="C224" s="320"/>
      <c r="D224" s="320"/>
      <c r="E224" s="320"/>
    </row>
    <row r="225" spans="3:5" ht="12.75" customHeight="1">
      <c r="C225" s="320"/>
      <c r="D225" s="320"/>
      <c r="E225" s="320"/>
    </row>
    <row r="226" spans="3:5" ht="12.75" customHeight="1">
      <c r="C226" s="320"/>
      <c r="D226" s="320"/>
      <c r="E226" s="320"/>
    </row>
    <row r="227" spans="3:5" ht="12.75" customHeight="1">
      <c r="C227" s="320"/>
      <c r="D227" s="320"/>
      <c r="E227" s="320"/>
    </row>
    <row r="228" spans="3:5" ht="12.75" customHeight="1">
      <c r="C228" s="320"/>
      <c r="D228" s="320"/>
      <c r="E228" s="320"/>
    </row>
    <row r="229" spans="3:5" ht="12.75" customHeight="1">
      <c r="C229" s="320"/>
      <c r="D229" s="320"/>
      <c r="E229" s="320"/>
    </row>
    <row r="230" spans="3:5" ht="12.75" customHeight="1">
      <c r="C230" s="320"/>
      <c r="D230" s="320"/>
      <c r="E230" s="320"/>
    </row>
    <row r="231" spans="3:5" ht="12.75" customHeight="1">
      <c r="C231" s="320"/>
      <c r="D231" s="320"/>
      <c r="E231" s="320"/>
    </row>
    <row r="232" spans="3:5" ht="12.75" customHeight="1">
      <c r="C232" s="320"/>
      <c r="D232" s="320"/>
      <c r="E232" s="320"/>
    </row>
    <row r="233" spans="3:5" ht="12.75" customHeight="1">
      <c r="C233" s="320"/>
      <c r="D233" s="320"/>
      <c r="E233" s="320"/>
    </row>
    <row r="234" spans="3:5" ht="12.75" customHeight="1">
      <c r="C234" s="320"/>
      <c r="D234" s="320"/>
      <c r="E234" s="320"/>
    </row>
    <row r="235" spans="3:5" ht="12.75" customHeight="1">
      <c r="C235" s="320"/>
      <c r="D235" s="320"/>
      <c r="E235" s="320"/>
    </row>
    <row r="236" spans="3:5" ht="12.75" customHeight="1">
      <c r="C236" s="320"/>
      <c r="D236" s="320"/>
      <c r="E236" s="320"/>
    </row>
    <row r="237" spans="3:5" ht="12.75" customHeight="1">
      <c r="C237" s="320"/>
      <c r="D237" s="320"/>
      <c r="E237" s="320"/>
    </row>
    <row r="238" spans="3:5" ht="12.75" customHeight="1">
      <c r="C238" s="320"/>
      <c r="D238" s="320"/>
      <c r="E238" s="320"/>
    </row>
    <row r="239" spans="3:5" ht="12.75" customHeight="1">
      <c r="C239" s="320"/>
      <c r="D239" s="320"/>
      <c r="E239" s="320"/>
    </row>
    <row r="240" spans="3:5" ht="12.75" customHeight="1">
      <c r="C240" s="320"/>
      <c r="D240" s="320"/>
      <c r="E240" s="320"/>
    </row>
    <row r="241" spans="3:5" ht="12.75" customHeight="1">
      <c r="C241" s="320"/>
      <c r="D241" s="320"/>
      <c r="E241" s="320"/>
    </row>
    <row r="242" spans="3:5" ht="12.75" customHeight="1">
      <c r="C242" s="320"/>
      <c r="D242" s="320"/>
      <c r="E242" s="320"/>
    </row>
    <row r="243" spans="3:5" ht="12.75" customHeight="1">
      <c r="C243" s="320"/>
      <c r="D243" s="320"/>
      <c r="E243" s="320"/>
    </row>
    <row r="244" spans="3:5" ht="12.75" customHeight="1">
      <c r="C244" s="320"/>
      <c r="D244" s="320"/>
      <c r="E244" s="320"/>
    </row>
    <row r="245" spans="3:5" ht="12.75" customHeight="1">
      <c r="C245" s="320"/>
      <c r="D245" s="320"/>
      <c r="E245" s="320"/>
    </row>
    <row r="246" spans="3:5" ht="12.75" customHeight="1">
      <c r="C246" s="320"/>
      <c r="D246" s="320"/>
      <c r="E246" s="320"/>
    </row>
    <row r="247" spans="3:5" ht="12.75" customHeight="1">
      <c r="C247" s="320"/>
      <c r="D247" s="320"/>
      <c r="E247" s="320"/>
    </row>
    <row r="248" spans="3:5" ht="12.75" customHeight="1">
      <c r="C248" s="320"/>
      <c r="D248" s="320"/>
      <c r="E248" s="320"/>
    </row>
    <row r="249" spans="3:5" ht="12.75" customHeight="1">
      <c r="C249" s="320"/>
      <c r="D249" s="320"/>
      <c r="E249" s="320"/>
    </row>
    <row r="250" spans="3:5" ht="12.75" customHeight="1">
      <c r="C250" s="320"/>
      <c r="D250" s="320"/>
      <c r="E250" s="320"/>
    </row>
    <row r="251" spans="3:5" ht="12.75" customHeight="1">
      <c r="C251" s="320"/>
      <c r="D251" s="320"/>
      <c r="E251" s="320"/>
    </row>
    <row r="252" spans="3:5" ht="12.75" customHeight="1">
      <c r="C252" s="320"/>
      <c r="D252" s="320"/>
      <c r="E252" s="320"/>
    </row>
    <row r="253" spans="3:5" ht="12.75" customHeight="1">
      <c r="C253" s="320"/>
      <c r="D253" s="320"/>
      <c r="E253" s="320"/>
    </row>
    <row r="254" spans="3:5" ht="12.75" customHeight="1">
      <c r="C254" s="320"/>
      <c r="D254" s="320"/>
      <c r="E254" s="320"/>
    </row>
    <row r="255" spans="3:5" ht="12.75" customHeight="1">
      <c r="C255" s="320"/>
      <c r="D255" s="320"/>
      <c r="E255" s="320"/>
    </row>
    <row r="256" spans="3:5" ht="12.75" customHeight="1">
      <c r="C256" s="320"/>
      <c r="D256" s="320"/>
      <c r="E256" s="320"/>
    </row>
    <row r="257" spans="3:5" ht="12.75" customHeight="1">
      <c r="C257" s="320"/>
      <c r="D257" s="320"/>
      <c r="E257" s="320"/>
    </row>
    <row r="258" spans="3:5" ht="12.75" customHeight="1">
      <c r="C258" s="320"/>
      <c r="D258" s="320"/>
      <c r="E258" s="320"/>
    </row>
    <row r="259" spans="3:5" ht="12.75" customHeight="1">
      <c r="C259" s="320"/>
      <c r="D259" s="320"/>
      <c r="E259" s="320"/>
    </row>
    <row r="260" spans="3:5" ht="12.75" customHeight="1">
      <c r="C260" s="320"/>
      <c r="D260" s="320"/>
      <c r="E260" s="320"/>
    </row>
    <row r="261" spans="3:5" ht="12.75" customHeight="1">
      <c r="C261" s="320"/>
      <c r="D261" s="320"/>
      <c r="E261" s="320"/>
    </row>
    <row r="262" spans="3:5" ht="12.75" customHeight="1">
      <c r="C262" s="320"/>
      <c r="D262" s="320"/>
      <c r="E262" s="320"/>
    </row>
    <row r="263" spans="3:5" ht="12.75" customHeight="1">
      <c r="C263" s="320"/>
      <c r="D263" s="320"/>
      <c r="E263" s="320"/>
    </row>
    <row r="264" spans="3:5" ht="12.75" customHeight="1">
      <c r="C264" s="320"/>
      <c r="D264" s="320"/>
      <c r="E264" s="320"/>
    </row>
    <row r="265" spans="3:5" ht="12.75" customHeight="1">
      <c r="C265" s="320"/>
      <c r="D265" s="320"/>
      <c r="E265" s="320"/>
    </row>
    <row r="266" spans="3:5" ht="12.75" customHeight="1">
      <c r="C266" s="320"/>
      <c r="D266" s="320"/>
      <c r="E266" s="320"/>
    </row>
    <row r="267" spans="3:5" ht="12.75" customHeight="1">
      <c r="C267" s="320"/>
      <c r="D267" s="320"/>
      <c r="E267" s="320"/>
    </row>
    <row r="268" spans="3:5" ht="12.75" customHeight="1">
      <c r="C268" s="320"/>
      <c r="D268" s="320"/>
      <c r="E268" s="320"/>
    </row>
    <row r="269" spans="3:5" ht="12.75" customHeight="1">
      <c r="C269" s="320"/>
      <c r="D269" s="320"/>
      <c r="E269" s="320"/>
    </row>
    <row r="270" spans="3:5" ht="12.75" customHeight="1">
      <c r="C270" s="320"/>
      <c r="D270" s="320"/>
      <c r="E270" s="320"/>
    </row>
    <row r="271" spans="3:5" ht="12.75" customHeight="1">
      <c r="C271" s="320"/>
      <c r="D271" s="320"/>
      <c r="E271" s="320"/>
    </row>
    <row r="272" spans="3:5" ht="12.75" customHeight="1">
      <c r="C272" s="320"/>
      <c r="D272" s="320"/>
      <c r="E272" s="320"/>
    </row>
    <row r="273" spans="3:5" ht="12.75" customHeight="1">
      <c r="C273" s="320"/>
      <c r="D273" s="320"/>
      <c r="E273" s="320"/>
    </row>
    <row r="274" spans="3:5" ht="12.75" customHeight="1">
      <c r="C274" s="320"/>
      <c r="D274" s="320"/>
      <c r="E274" s="320"/>
    </row>
    <row r="275" spans="3:5" ht="12.75" customHeight="1">
      <c r="C275" s="320"/>
      <c r="D275" s="320"/>
      <c r="E275" s="320"/>
    </row>
    <row r="276" spans="3:5" ht="12.75" customHeight="1">
      <c r="C276" s="320"/>
      <c r="D276" s="320"/>
      <c r="E276" s="320"/>
    </row>
    <row r="277" spans="3:5" ht="12.75" customHeight="1">
      <c r="C277" s="320"/>
      <c r="D277" s="320"/>
      <c r="E277" s="320"/>
    </row>
    <row r="278" spans="3:5" ht="12.75" customHeight="1">
      <c r="C278" s="320"/>
      <c r="D278" s="320"/>
      <c r="E278" s="320"/>
    </row>
    <row r="279" spans="3:5" ht="12.75" customHeight="1">
      <c r="C279" s="320"/>
      <c r="D279" s="320"/>
      <c r="E279" s="320"/>
    </row>
    <row r="280" spans="3:5" ht="12.75" customHeight="1">
      <c r="C280" s="320"/>
      <c r="D280" s="320"/>
      <c r="E280" s="320"/>
    </row>
    <row r="281" spans="3:5" ht="12.75" customHeight="1">
      <c r="C281" s="320"/>
      <c r="D281" s="320"/>
      <c r="E281" s="320"/>
    </row>
    <row r="282" spans="3:5" ht="12.75" customHeight="1">
      <c r="C282" s="320"/>
      <c r="D282" s="320"/>
      <c r="E282" s="320"/>
    </row>
    <row r="283" spans="3:5" ht="12.75" customHeight="1">
      <c r="C283" s="320"/>
      <c r="D283" s="320"/>
      <c r="E283" s="320"/>
    </row>
    <row r="284" spans="3:5" ht="12.75" customHeight="1">
      <c r="C284" s="320"/>
      <c r="D284" s="320"/>
      <c r="E284" s="320"/>
    </row>
    <row r="285" spans="3:5" ht="12.75" customHeight="1">
      <c r="C285" s="320"/>
      <c r="D285" s="320"/>
      <c r="E285" s="320"/>
    </row>
    <row r="286" spans="3:5" ht="12.75" customHeight="1">
      <c r="C286" s="320"/>
      <c r="D286" s="320"/>
      <c r="E286" s="320"/>
    </row>
    <row r="287" spans="3:5" ht="12.75" customHeight="1">
      <c r="C287" s="320"/>
      <c r="D287" s="320"/>
      <c r="E287" s="320"/>
    </row>
    <row r="288" spans="3:5" ht="12.75" customHeight="1">
      <c r="C288" s="320"/>
      <c r="D288" s="320"/>
      <c r="E288" s="320"/>
    </row>
    <row r="289" spans="3:5" ht="12.75" customHeight="1">
      <c r="C289" s="320"/>
      <c r="D289" s="320"/>
      <c r="E289" s="320"/>
    </row>
    <row r="290" spans="3:5" ht="12.75" customHeight="1">
      <c r="C290" s="320"/>
      <c r="D290" s="320"/>
      <c r="E290" s="320"/>
    </row>
    <row r="291" spans="3:5" ht="12.75" customHeight="1">
      <c r="C291" s="320"/>
      <c r="D291" s="320"/>
      <c r="E291" s="320"/>
    </row>
    <row r="292" spans="3:5" ht="12.75" customHeight="1">
      <c r="C292" s="320"/>
      <c r="D292" s="320"/>
      <c r="E292" s="320"/>
    </row>
    <row r="293" spans="3:5" ht="12.75" customHeight="1">
      <c r="C293" s="320"/>
      <c r="D293" s="320"/>
      <c r="E293" s="320"/>
    </row>
    <row r="294" spans="3:5" ht="12.75" customHeight="1">
      <c r="C294" s="320"/>
      <c r="D294" s="320"/>
      <c r="E294" s="320"/>
    </row>
    <row r="295" spans="3:5" ht="12.75" customHeight="1">
      <c r="C295" s="320"/>
      <c r="D295" s="320"/>
      <c r="E295" s="320"/>
    </row>
    <row r="296" spans="3:5" ht="12.75" customHeight="1">
      <c r="C296" s="320"/>
      <c r="D296" s="320"/>
      <c r="E296" s="320"/>
    </row>
    <row r="297" spans="3:5" ht="12.75" customHeight="1">
      <c r="C297" s="320"/>
      <c r="D297" s="320"/>
      <c r="E297" s="320"/>
    </row>
    <row r="298" spans="3:5" ht="12.75" customHeight="1">
      <c r="C298" s="320"/>
      <c r="D298" s="320"/>
      <c r="E298" s="320"/>
    </row>
    <row r="299" spans="3:5" ht="12.75" customHeight="1">
      <c r="C299" s="320"/>
      <c r="D299" s="320"/>
      <c r="E299" s="320"/>
    </row>
    <row r="300" spans="3:5" ht="12.75" customHeight="1">
      <c r="C300" s="320"/>
      <c r="D300" s="320"/>
      <c r="E300" s="320"/>
    </row>
    <row r="301" spans="3:5" ht="12.75" customHeight="1">
      <c r="C301" s="320"/>
      <c r="D301" s="320"/>
      <c r="E301" s="320"/>
    </row>
    <row r="302" spans="3:5" ht="12.75" customHeight="1">
      <c r="C302" s="320"/>
      <c r="D302" s="320"/>
      <c r="E302" s="320"/>
    </row>
    <row r="303" spans="3:5" ht="12.75" customHeight="1">
      <c r="C303" s="320"/>
      <c r="D303" s="320"/>
      <c r="E303" s="320"/>
    </row>
    <row r="304" spans="3:5" ht="12.75" customHeight="1">
      <c r="C304" s="320"/>
      <c r="D304" s="320"/>
      <c r="E304" s="320"/>
    </row>
    <row r="305" spans="3:5" ht="12.75" customHeight="1">
      <c r="C305" s="320"/>
      <c r="D305" s="320"/>
      <c r="E305" s="320"/>
    </row>
    <row r="306" spans="3:5" ht="12.75" customHeight="1">
      <c r="C306" s="320"/>
      <c r="D306" s="320"/>
      <c r="E306" s="320"/>
    </row>
    <row r="307" spans="3:5" ht="12.75" customHeight="1">
      <c r="C307" s="320"/>
      <c r="D307" s="320"/>
      <c r="E307" s="320"/>
    </row>
    <row r="308" spans="3:5" ht="12.75" customHeight="1">
      <c r="C308" s="320"/>
      <c r="D308" s="320"/>
      <c r="E308" s="320"/>
    </row>
    <row r="309" spans="3:5" ht="12.75" customHeight="1">
      <c r="C309" s="320"/>
      <c r="D309" s="320"/>
      <c r="E309" s="320"/>
    </row>
    <row r="310" spans="3:5" ht="12.75" customHeight="1">
      <c r="C310" s="320"/>
      <c r="D310" s="320"/>
      <c r="E310" s="320"/>
    </row>
    <row r="311" spans="3:5" ht="12.75" customHeight="1">
      <c r="C311" s="320"/>
      <c r="D311" s="320"/>
      <c r="E311" s="320"/>
    </row>
    <row r="312" spans="3:5" ht="12.75" customHeight="1">
      <c r="C312" s="320"/>
      <c r="D312" s="320"/>
      <c r="E312" s="320"/>
    </row>
    <row r="313" spans="3:5" ht="12.75" customHeight="1">
      <c r="C313" s="320"/>
      <c r="D313" s="320"/>
      <c r="E313" s="320"/>
    </row>
    <row r="314" spans="3:5" ht="12.75" customHeight="1">
      <c r="C314" s="320"/>
      <c r="D314" s="320"/>
      <c r="E314" s="320"/>
    </row>
    <row r="315" spans="3:5" ht="12.75" customHeight="1">
      <c r="C315" s="320"/>
      <c r="D315" s="320"/>
      <c r="E315" s="320"/>
    </row>
    <row r="316" spans="3:5" ht="12.75" customHeight="1">
      <c r="C316" s="320"/>
      <c r="D316" s="320"/>
      <c r="E316" s="320"/>
    </row>
    <row r="317" spans="3:5" ht="12.75" customHeight="1">
      <c r="C317" s="320"/>
      <c r="D317" s="320"/>
      <c r="E317" s="320"/>
    </row>
    <row r="318" spans="3:5" ht="12.75" customHeight="1">
      <c r="C318" s="320"/>
      <c r="D318" s="320"/>
      <c r="E318" s="320"/>
    </row>
    <row r="319" spans="3:5" ht="12.75" customHeight="1">
      <c r="C319" s="320"/>
      <c r="D319" s="320"/>
      <c r="E319" s="320"/>
    </row>
    <row r="320" spans="3:5" ht="12.75" customHeight="1">
      <c r="C320" s="320"/>
      <c r="D320" s="320"/>
      <c r="E320" s="320"/>
    </row>
    <row r="321" spans="3:5" ht="12.75" customHeight="1">
      <c r="C321" s="320"/>
      <c r="D321" s="320"/>
      <c r="E321" s="320"/>
    </row>
    <row r="322" spans="3:5" ht="12.75" customHeight="1">
      <c r="C322" s="320"/>
      <c r="D322" s="320"/>
      <c r="E322" s="320"/>
    </row>
    <row r="323" spans="3:5" ht="12.75" customHeight="1">
      <c r="C323" s="320"/>
      <c r="D323" s="320"/>
      <c r="E323" s="320"/>
    </row>
    <row r="324" spans="3:5" ht="12.75" customHeight="1">
      <c r="C324" s="320"/>
      <c r="D324" s="320"/>
      <c r="E324" s="320"/>
    </row>
    <row r="325" spans="3:5" ht="12.75" customHeight="1">
      <c r="C325" s="320"/>
      <c r="D325" s="320"/>
      <c r="E325" s="320"/>
    </row>
    <row r="326" spans="3:5" ht="12.75" customHeight="1">
      <c r="C326" s="320"/>
      <c r="D326" s="320"/>
      <c r="E326" s="320"/>
    </row>
    <row r="327" spans="3:5" ht="12.75" customHeight="1">
      <c r="C327" s="320"/>
      <c r="D327" s="320"/>
      <c r="E327" s="320"/>
    </row>
    <row r="328" spans="3:5" ht="12.75" customHeight="1">
      <c r="C328" s="320"/>
      <c r="D328" s="320"/>
      <c r="E328" s="320"/>
    </row>
    <row r="329" spans="3:5" ht="12.75" customHeight="1">
      <c r="C329" s="320"/>
      <c r="D329" s="320"/>
      <c r="E329" s="320"/>
    </row>
    <row r="330" spans="3:5" ht="12.75" customHeight="1">
      <c r="C330" s="320"/>
      <c r="D330" s="320"/>
      <c r="E330" s="320"/>
    </row>
    <row r="331" spans="3:5" ht="12.75" customHeight="1">
      <c r="C331" s="320"/>
      <c r="D331" s="320"/>
      <c r="E331" s="320"/>
    </row>
    <row r="332" spans="3:5" ht="12.75" customHeight="1">
      <c r="C332" s="320"/>
      <c r="D332" s="320"/>
      <c r="E332" s="320"/>
    </row>
    <row r="333" spans="3:5" ht="12.75" customHeight="1">
      <c r="C333" s="320"/>
      <c r="D333" s="320"/>
      <c r="E333" s="320"/>
    </row>
    <row r="334" spans="3:5" ht="12.75" customHeight="1">
      <c r="C334" s="320"/>
      <c r="D334" s="320"/>
      <c r="E334" s="320"/>
    </row>
    <row r="335" spans="3:5" ht="12.75" customHeight="1">
      <c r="C335" s="320"/>
      <c r="D335" s="320"/>
      <c r="E335" s="320"/>
    </row>
    <row r="336" spans="3:5" ht="12.75" customHeight="1">
      <c r="C336" s="320"/>
      <c r="D336" s="320"/>
      <c r="E336" s="320"/>
    </row>
    <row r="337" spans="3:5" ht="12.75" customHeight="1">
      <c r="C337" s="320"/>
      <c r="D337" s="320"/>
      <c r="E337" s="320"/>
    </row>
    <row r="338" spans="3:5" ht="12.75" customHeight="1">
      <c r="C338" s="320"/>
      <c r="D338" s="320"/>
      <c r="E338" s="320"/>
    </row>
    <row r="339" spans="3:5" ht="12.75" customHeight="1">
      <c r="C339" s="320"/>
      <c r="D339" s="320"/>
      <c r="E339" s="320"/>
    </row>
    <row r="340" spans="3:5" ht="12.75" customHeight="1">
      <c r="C340" s="320"/>
      <c r="D340" s="320"/>
      <c r="E340" s="320"/>
    </row>
    <row r="341" spans="3:5" ht="12.75" customHeight="1">
      <c r="C341" s="320"/>
      <c r="D341" s="320"/>
      <c r="E341" s="320"/>
    </row>
    <row r="342" spans="3:5" ht="12.75" customHeight="1">
      <c r="C342" s="320"/>
      <c r="D342" s="320"/>
      <c r="E342" s="320"/>
    </row>
    <row r="343" spans="3:5" ht="12.75" customHeight="1">
      <c r="C343" s="320"/>
      <c r="D343" s="320"/>
      <c r="E343" s="320"/>
    </row>
    <row r="344" spans="3:5" ht="12.75" customHeight="1">
      <c r="C344" s="320"/>
      <c r="D344" s="320"/>
      <c r="E344" s="320"/>
    </row>
    <row r="345" spans="3:5" ht="12.75" customHeight="1">
      <c r="C345" s="320"/>
      <c r="D345" s="320"/>
      <c r="E345" s="320"/>
    </row>
    <row r="346" spans="3:5" ht="12.75" customHeight="1">
      <c r="C346" s="320"/>
      <c r="D346" s="320"/>
      <c r="E346" s="320"/>
    </row>
    <row r="347" spans="3:5" ht="12.75" customHeight="1">
      <c r="C347" s="320"/>
      <c r="D347" s="320"/>
      <c r="E347" s="320"/>
    </row>
    <row r="348" spans="3:5" ht="12.75" customHeight="1">
      <c r="C348" s="320"/>
      <c r="D348" s="320"/>
      <c r="E348" s="320"/>
    </row>
    <row r="349" spans="3:5" ht="12.75" customHeight="1">
      <c r="C349" s="320"/>
      <c r="D349" s="320"/>
      <c r="E349" s="320"/>
    </row>
    <row r="350" spans="3:5" ht="12.75" customHeight="1">
      <c r="C350" s="320"/>
      <c r="D350" s="320"/>
      <c r="E350" s="320"/>
    </row>
    <row r="351" spans="3:5" ht="12.75" customHeight="1">
      <c r="C351" s="320"/>
      <c r="D351" s="320"/>
      <c r="E351" s="320"/>
    </row>
    <row r="352" spans="3:5" ht="12.75" customHeight="1">
      <c r="C352" s="320"/>
      <c r="D352" s="320"/>
      <c r="E352" s="320"/>
    </row>
    <row r="353" spans="3:5" ht="12.75" customHeight="1">
      <c r="C353" s="320"/>
      <c r="D353" s="320"/>
      <c r="E353" s="320"/>
    </row>
  </sheetData>
  <printOptions horizontalCentered="1"/>
  <pageMargins left="0.18" right="0.17" top="1" bottom="0.75" header="0.3" footer="0.3"/>
  <pageSetup orientation="landscape" r:id="rId1"/>
  <headerFooter>
    <oddFooter>&amp;C&amp;F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showGridLines="0" workbookViewId="0"/>
  </sheetViews>
  <sheetFormatPr defaultRowHeight="15"/>
  <cols>
    <col min="1" max="1" width="5.7109375" style="689" customWidth="1"/>
    <col min="2" max="2" width="77" style="689" customWidth="1"/>
    <col min="3" max="16384" width="9.140625" style="689"/>
  </cols>
  <sheetData>
    <row r="1" spans="1:2" ht="15.75">
      <c r="A1" s="3" t="s">
        <v>0</v>
      </c>
      <c r="B1" s="688"/>
    </row>
    <row r="2" spans="1:2" ht="15.75">
      <c r="A2" s="3" t="s">
        <v>60</v>
      </c>
      <c r="B2" s="688"/>
    </row>
    <row r="3" spans="1:2" ht="15.75">
      <c r="A3" s="3" t="s">
        <v>917</v>
      </c>
      <c r="B3" s="688"/>
    </row>
    <row r="4" spans="1:2" ht="15.75">
      <c r="A4" s="3" t="s">
        <v>918</v>
      </c>
      <c r="B4" s="688"/>
    </row>
    <row r="7" spans="1:2">
      <c r="B7" s="689" t="s">
        <v>919</v>
      </c>
    </row>
    <row r="9" spans="1:2">
      <c r="A9" s="689" t="s">
        <v>920</v>
      </c>
    </row>
    <row r="11" spans="1:2">
      <c r="A11" s="689" t="s">
        <v>921</v>
      </c>
    </row>
    <row r="13" spans="1:2">
      <c r="A13" s="689" t="s">
        <v>922</v>
      </c>
    </row>
    <row r="15" spans="1:2">
      <c r="A15" s="689" t="s">
        <v>923</v>
      </c>
    </row>
    <row r="17" spans="1:2">
      <c r="A17" s="689" t="s">
        <v>924</v>
      </c>
    </row>
    <row r="19" spans="1:2">
      <c r="A19" s="689" t="s">
        <v>925</v>
      </c>
    </row>
    <row r="21" spans="1:2">
      <c r="B21" s="689" t="s">
        <v>926</v>
      </c>
    </row>
    <row r="23" spans="1:2">
      <c r="A23" s="689" t="s">
        <v>927</v>
      </c>
    </row>
    <row r="25" spans="1:2">
      <c r="A25" s="689" t="s">
        <v>928</v>
      </c>
    </row>
    <row r="27" spans="1:2">
      <c r="A27" s="689" t="s">
        <v>929</v>
      </c>
    </row>
    <row r="29" spans="1:2">
      <c r="A29" s="689" t="s">
        <v>930</v>
      </c>
    </row>
  </sheetData>
  <printOptions horizontalCentered="1"/>
  <pageMargins left="0.7" right="0.7" top="1" bottom="0.75" header="0.3" footer="0.3"/>
  <pageSetup orientation="portrait" r:id="rId1"/>
  <headerFooter>
    <oddFooter>&amp;C&amp;F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zoomScaleNormal="100" workbookViewId="0"/>
  </sheetViews>
  <sheetFormatPr defaultRowHeight="12.75"/>
  <cols>
    <col min="1" max="1" width="5.5703125" style="364" customWidth="1"/>
    <col min="2" max="2" width="62.7109375" style="364" customWidth="1"/>
    <col min="3" max="4" width="19.7109375" style="364" customWidth="1"/>
    <col min="5" max="5" width="15.7109375" style="364" customWidth="1"/>
    <col min="6" max="6" width="2.7109375" style="364" customWidth="1"/>
    <col min="7" max="8" width="15.7109375" style="364" customWidth="1"/>
    <col min="9" max="10" width="12.7109375" style="364" customWidth="1"/>
    <col min="11" max="16384" width="9.140625" style="364"/>
  </cols>
  <sheetData>
    <row r="1" spans="1:8" ht="15">
      <c r="A1" s="363" t="s">
        <v>0</v>
      </c>
    </row>
    <row r="2" spans="1:8" ht="15.75">
      <c r="A2" s="365" t="s">
        <v>420</v>
      </c>
      <c r="B2" s="365"/>
      <c r="C2" s="366"/>
      <c r="D2" s="366"/>
      <c r="E2" s="366"/>
      <c r="F2" s="367"/>
    </row>
    <row r="3" spans="1:8">
      <c r="A3" s="368" t="s">
        <v>421</v>
      </c>
      <c r="B3" s="368"/>
      <c r="C3" s="369"/>
      <c r="D3" s="369"/>
      <c r="E3" s="369"/>
      <c r="F3" s="367"/>
    </row>
    <row r="4" spans="1:8">
      <c r="A4" s="370" t="s">
        <v>422</v>
      </c>
      <c r="D4" s="371"/>
      <c r="F4" s="367"/>
    </row>
    <row r="5" spans="1:8">
      <c r="A5" s="372"/>
      <c r="B5" s="373"/>
      <c r="C5" s="694" t="s">
        <v>423</v>
      </c>
      <c r="D5" s="694" t="s">
        <v>424</v>
      </c>
      <c r="E5" s="696" t="s">
        <v>425</v>
      </c>
      <c r="F5" s="367"/>
    </row>
    <row r="6" spans="1:8">
      <c r="A6" s="374"/>
      <c r="B6" s="367"/>
      <c r="C6" s="695"/>
      <c r="D6" s="695"/>
      <c r="E6" s="697"/>
      <c r="F6" s="367"/>
    </row>
    <row r="7" spans="1:8">
      <c r="A7" s="374" t="s">
        <v>426</v>
      </c>
      <c r="B7" s="367"/>
      <c r="C7" s="375">
        <v>20650386</v>
      </c>
      <c r="D7" s="376">
        <v>19292145</v>
      </c>
      <c r="E7" s="377"/>
      <c r="F7" s="367"/>
      <c r="H7" s="378"/>
    </row>
    <row r="8" spans="1:8">
      <c r="A8" s="374" t="s">
        <v>427</v>
      </c>
      <c r="B8" s="367"/>
      <c r="C8" s="379">
        <v>0</v>
      </c>
      <c r="D8" s="379">
        <v>1</v>
      </c>
      <c r="E8" s="380"/>
      <c r="F8" s="367"/>
    </row>
    <row r="9" spans="1:8">
      <c r="A9" s="374" t="s">
        <v>428</v>
      </c>
      <c r="B9" s="381"/>
      <c r="C9" s="382">
        <v>0</v>
      </c>
      <c r="D9" s="382">
        <v>19292145</v>
      </c>
      <c r="E9" s="383">
        <v>19292145</v>
      </c>
      <c r="F9" s="367"/>
    </row>
    <row r="10" spans="1:8">
      <c r="A10" s="374"/>
      <c r="B10" s="367"/>
      <c r="C10" s="367"/>
      <c r="D10" s="367"/>
      <c r="E10" s="377"/>
      <c r="F10" s="367"/>
    </row>
    <row r="11" spans="1:8">
      <c r="A11" s="374" t="s">
        <v>429</v>
      </c>
      <c r="B11" s="367"/>
      <c r="C11" s="384">
        <v>24419516</v>
      </c>
      <c r="D11" s="376">
        <v>22764607</v>
      </c>
      <c r="E11" s="377"/>
      <c r="F11" s="367"/>
      <c r="H11" s="378"/>
    </row>
    <row r="12" spans="1:8">
      <c r="A12" s="374" t="s">
        <v>427</v>
      </c>
      <c r="B12" s="367"/>
      <c r="C12" s="379">
        <v>0</v>
      </c>
      <c r="D12" s="379">
        <v>1</v>
      </c>
      <c r="E12" s="380"/>
      <c r="F12" s="367"/>
    </row>
    <row r="13" spans="1:8">
      <c r="A13" s="385" t="s">
        <v>430</v>
      </c>
      <c r="B13" s="366"/>
      <c r="C13" s="386">
        <v>0</v>
      </c>
      <c r="D13" s="386">
        <v>22764607</v>
      </c>
      <c r="E13" s="387">
        <v>22764607</v>
      </c>
      <c r="F13" s="367"/>
    </row>
    <row r="14" spans="1:8">
      <c r="C14" s="378"/>
      <c r="D14" s="378"/>
      <c r="F14" s="367"/>
    </row>
    <row r="15" spans="1:8">
      <c r="A15" s="370" t="s">
        <v>431</v>
      </c>
      <c r="D15" s="371" t="s">
        <v>432</v>
      </c>
      <c r="F15" s="367"/>
    </row>
    <row r="16" spans="1:8">
      <c r="A16" s="372"/>
      <c r="B16" s="373"/>
      <c r="C16" s="694" t="s">
        <v>433</v>
      </c>
      <c r="D16" s="694" t="s">
        <v>434</v>
      </c>
      <c r="E16" s="696" t="s">
        <v>435</v>
      </c>
      <c r="F16" s="367"/>
    </row>
    <row r="17" spans="1:6">
      <c r="A17" s="374"/>
      <c r="B17" s="367"/>
      <c r="C17" s="695"/>
      <c r="D17" s="695"/>
      <c r="E17" s="697"/>
      <c r="F17" s="367"/>
    </row>
    <row r="18" spans="1:6">
      <c r="A18" s="374" t="s">
        <v>436</v>
      </c>
      <c r="B18" s="367"/>
      <c r="C18" s="375">
        <v>20650386</v>
      </c>
      <c r="D18" s="388">
        <v>19292145</v>
      </c>
      <c r="E18" s="389">
        <v>-1358241</v>
      </c>
      <c r="F18" s="367"/>
    </row>
    <row r="19" spans="1:6">
      <c r="A19" s="374" t="s">
        <v>437</v>
      </c>
      <c r="B19" s="367"/>
      <c r="C19" s="390">
        <v>24419516</v>
      </c>
      <c r="D19" s="391">
        <v>22764607</v>
      </c>
      <c r="E19" s="392">
        <v>-1654909</v>
      </c>
      <c r="F19" s="367"/>
    </row>
    <row r="20" spans="1:6">
      <c r="A20" s="393" t="s">
        <v>438</v>
      </c>
      <c r="B20" s="381"/>
      <c r="C20" s="394">
        <v>-3769130</v>
      </c>
      <c r="D20" s="395">
        <v>-3472462</v>
      </c>
      <c r="E20" s="383">
        <v>296668</v>
      </c>
      <c r="F20" s="367"/>
    </row>
    <row r="21" spans="1:6">
      <c r="A21" s="374"/>
      <c r="B21" s="367"/>
      <c r="C21" s="396"/>
      <c r="D21" s="367"/>
      <c r="E21" s="397"/>
      <c r="F21" s="367"/>
    </row>
    <row r="22" spans="1:6">
      <c r="A22" s="398" t="s">
        <v>439</v>
      </c>
      <c r="B22" s="399"/>
      <c r="C22" s="400">
        <v>505945</v>
      </c>
      <c r="D22" s="400">
        <v>505945</v>
      </c>
      <c r="E22" s="401">
        <v>0</v>
      </c>
      <c r="F22" s="367"/>
    </row>
    <row r="23" spans="1:6">
      <c r="A23" s="398" t="s">
        <v>440</v>
      </c>
      <c r="B23" s="399"/>
      <c r="C23" s="402">
        <v>514133</v>
      </c>
      <c r="D23" s="402">
        <v>514133</v>
      </c>
      <c r="E23" s="403">
        <v>0</v>
      </c>
      <c r="F23" s="367"/>
    </row>
    <row r="24" spans="1:6">
      <c r="A24" s="398" t="s">
        <v>441</v>
      </c>
      <c r="B24" s="399"/>
      <c r="C24" s="400">
        <v>-8188</v>
      </c>
      <c r="D24" s="400">
        <v>-8188</v>
      </c>
      <c r="E24" s="401">
        <v>0</v>
      </c>
      <c r="F24" s="367"/>
    </row>
    <row r="25" spans="1:6">
      <c r="A25" s="398" t="s">
        <v>442</v>
      </c>
      <c r="B25" s="399"/>
      <c r="C25" s="404">
        <v>47.496499999999997</v>
      </c>
      <c r="D25" s="405">
        <v>44.277700000000003</v>
      </c>
      <c r="E25" s="406">
        <v>-3.2187999999999946</v>
      </c>
      <c r="F25" s="367"/>
    </row>
    <row r="26" spans="1:6">
      <c r="A26" s="407" t="s">
        <v>443</v>
      </c>
      <c r="B26" s="408"/>
      <c r="C26" s="394">
        <v>388901.342</v>
      </c>
      <c r="D26" s="395">
        <v>362545.8076</v>
      </c>
      <c r="E26" s="409">
        <v>-26355.534400000004</v>
      </c>
      <c r="F26" s="367"/>
    </row>
    <row r="27" spans="1:6">
      <c r="A27" s="407"/>
      <c r="B27" s="408"/>
      <c r="D27" s="395"/>
      <c r="E27" s="409"/>
      <c r="F27" s="367"/>
    </row>
    <row r="28" spans="1:6">
      <c r="A28" s="374" t="s">
        <v>444</v>
      </c>
      <c r="B28" s="408"/>
      <c r="D28" s="410">
        <v>96309</v>
      </c>
      <c r="E28" s="409"/>
      <c r="F28" s="367"/>
    </row>
    <row r="29" spans="1:6">
      <c r="A29" s="374"/>
      <c r="B29" s="367"/>
      <c r="C29" s="411"/>
      <c r="D29" s="411"/>
      <c r="E29" s="412"/>
      <c r="F29" s="367"/>
    </row>
    <row r="30" spans="1:6">
      <c r="A30" s="413" t="s">
        <v>445</v>
      </c>
      <c r="B30" s="414"/>
      <c r="C30" s="394">
        <v>-3380228.6579999998</v>
      </c>
      <c r="D30" s="395">
        <v>-3013607.1924000001</v>
      </c>
      <c r="E30" s="409">
        <v>366621.46559999976</v>
      </c>
      <c r="F30" s="367"/>
    </row>
    <row r="31" spans="1:6">
      <c r="A31" s="374"/>
      <c r="B31" s="367"/>
      <c r="C31" s="396"/>
      <c r="D31" s="396"/>
      <c r="E31" s="397"/>
      <c r="F31" s="367"/>
    </row>
    <row r="32" spans="1:6">
      <c r="A32" s="374" t="s">
        <v>446</v>
      </c>
      <c r="B32" s="367"/>
      <c r="C32" s="415">
        <v>2.7000000000000001E-3</v>
      </c>
      <c r="D32" s="416">
        <v>2.7000000000000001E-3</v>
      </c>
      <c r="E32" s="417"/>
      <c r="F32" s="367"/>
    </row>
    <row r="33" spans="1:6" ht="13.5" thickBot="1">
      <c r="A33" s="374" t="s">
        <v>447</v>
      </c>
      <c r="B33" s="367"/>
      <c r="C33" s="418">
        <v>-219038.81703839998</v>
      </c>
      <c r="D33" s="411">
        <v>-195281.74606752003</v>
      </c>
      <c r="E33" s="412">
        <v>23757.070970879955</v>
      </c>
      <c r="F33" s="367"/>
    </row>
    <row r="34" spans="1:6">
      <c r="A34" s="419" t="s">
        <v>448</v>
      </c>
      <c r="B34" s="420"/>
      <c r="C34" s="421">
        <v>-3599267.4750383999</v>
      </c>
      <c r="D34" s="422">
        <v>-3208888.9384675203</v>
      </c>
      <c r="E34" s="423">
        <v>390378.53657087963</v>
      </c>
      <c r="F34" s="367"/>
    </row>
    <row r="35" spans="1:6">
      <c r="F35" s="367"/>
    </row>
    <row r="36" spans="1:6">
      <c r="F36" s="367"/>
    </row>
    <row r="37" spans="1:6">
      <c r="A37" s="424" t="s">
        <v>449</v>
      </c>
      <c r="B37" s="424"/>
      <c r="C37" s="425"/>
      <c r="D37" s="425"/>
      <c r="E37" s="425"/>
      <c r="F37" s="367"/>
    </row>
    <row r="38" spans="1:6">
      <c r="A38" s="370" t="s">
        <v>422</v>
      </c>
      <c r="D38" s="371"/>
      <c r="F38" s="367"/>
    </row>
    <row r="39" spans="1:6" ht="12.75" customHeight="1">
      <c r="A39" s="372"/>
      <c r="B39" s="373"/>
      <c r="C39" s="694" t="s">
        <v>423</v>
      </c>
      <c r="D39" s="694" t="s">
        <v>424</v>
      </c>
      <c r="E39" s="696" t="s">
        <v>425</v>
      </c>
      <c r="F39" s="367"/>
    </row>
    <row r="40" spans="1:6">
      <c r="A40" s="374"/>
      <c r="B40" s="367"/>
      <c r="C40" s="695"/>
      <c r="D40" s="695"/>
      <c r="E40" s="697"/>
      <c r="F40" s="367"/>
    </row>
    <row r="41" spans="1:6">
      <c r="A41" s="374" t="s">
        <v>450</v>
      </c>
      <c r="B41" s="367"/>
      <c r="C41" s="384">
        <v>1678263</v>
      </c>
      <c r="D41" s="376">
        <v>1553836</v>
      </c>
      <c r="E41" s="377"/>
      <c r="F41" s="367"/>
    </row>
    <row r="42" spans="1:6">
      <c r="A42" s="374" t="s">
        <v>427</v>
      </c>
      <c r="B42" s="367"/>
      <c r="C42" s="379">
        <v>0</v>
      </c>
      <c r="D42" s="379">
        <v>1</v>
      </c>
      <c r="E42" s="380"/>
      <c r="F42" s="367"/>
    </row>
    <row r="43" spans="1:6">
      <c r="A43" s="385" t="s">
        <v>451</v>
      </c>
      <c r="B43" s="420"/>
      <c r="C43" s="386">
        <v>0</v>
      </c>
      <c r="D43" s="386">
        <v>1553836</v>
      </c>
      <c r="E43" s="387">
        <v>1553836</v>
      </c>
      <c r="F43" s="367"/>
    </row>
    <row r="44" spans="1:6">
      <c r="A44" s="367"/>
      <c r="B44" s="381"/>
      <c r="C44" s="411"/>
      <c r="D44" s="411"/>
      <c r="E44" s="395"/>
      <c r="F44" s="367"/>
    </row>
    <row r="45" spans="1:6">
      <c r="A45" s="370" t="s">
        <v>452</v>
      </c>
      <c r="F45" s="367"/>
    </row>
    <row r="46" spans="1:6">
      <c r="A46" s="372" t="s">
        <v>453</v>
      </c>
      <c r="B46" s="373"/>
      <c r="C46" s="426">
        <v>1536470</v>
      </c>
      <c r="F46" s="367"/>
    </row>
    <row r="47" spans="1:6">
      <c r="A47" s="374" t="s">
        <v>454</v>
      </c>
      <c r="B47" s="367"/>
      <c r="C47" s="427">
        <v>132755</v>
      </c>
      <c r="F47" s="367"/>
    </row>
    <row r="48" spans="1:6">
      <c r="A48" s="385" t="s">
        <v>455</v>
      </c>
      <c r="B48" s="366"/>
      <c r="C48" s="428">
        <v>1403715</v>
      </c>
      <c r="F48" s="367"/>
    </row>
    <row r="49" spans="1:8">
      <c r="A49" s="367"/>
      <c r="B49" s="367"/>
      <c r="C49" s="429"/>
      <c r="F49" s="367"/>
    </row>
    <row r="50" spans="1:8">
      <c r="A50" s="370" t="s">
        <v>431</v>
      </c>
      <c r="D50" s="371" t="s">
        <v>432</v>
      </c>
      <c r="F50" s="367"/>
    </row>
    <row r="51" spans="1:8" ht="12.75" customHeight="1">
      <c r="A51" s="372"/>
      <c r="B51" s="373"/>
      <c r="C51" s="694" t="s">
        <v>433</v>
      </c>
      <c r="D51" s="694" t="s">
        <v>456</v>
      </c>
      <c r="E51" s="696" t="s">
        <v>435</v>
      </c>
      <c r="F51" s="367"/>
      <c r="G51" s="694" t="s">
        <v>457</v>
      </c>
      <c r="H51" s="698" t="s">
        <v>458</v>
      </c>
    </row>
    <row r="52" spans="1:8">
      <c r="A52" s="374"/>
      <c r="B52" s="367"/>
      <c r="C52" s="695"/>
      <c r="D52" s="695"/>
      <c r="E52" s="697"/>
      <c r="F52" s="367"/>
      <c r="G52" s="695"/>
      <c r="H52" s="698"/>
    </row>
    <row r="53" spans="1:8">
      <c r="A53" s="374" t="s">
        <v>453</v>
      </c>
      <c r="B53" s="367"/>
      <c r="C53" s="384">
        <v>1536470</v>
      </c>
      <c r="D53" s="388">
        <v>1403715</v>
      </c>
      <c r="E53" s="430">
        <v>-132755</v>
      </c>
      <c r="F53" s="367"/>
    </row>
    <row r="54" spans="1:8">
      <c r="A54" s="374" t="s">
        <v>459</v>
      </c>
      <c r="B54" s="367"/>
      <c r="C54" s="384">
        <v>1678263</v>
      </c>
      <c r="D54" s="388">
        <v>1553836</v>
      </c>
      <c r="E54" s="430">
        <v>-124427</v>
      </c>
      <c r="F54" s="367"/>
      <c r="G54" s="431">
        <f>+'[2]2014 GG TU 10.32'!H40</f>
        <v>1553836</v>
      </c>
      <c r="H54" s="432">
        <f>+D54-G54</f>
        <v>0</v>
      </c>
    </row>
    <row r="55" spans="1:8">
      <c r="A55" s="393" t="s">
        <v>460</v>
      </c>
      <c r="B55" s="381"/>
      <c r="C55" s="433">
        <v>141793</v>
      </c>
      <c r="D55" s="434">
        <v>150121</v>
      </c>
      <c r="E55" s="435">
        <v>8328</v>
      </c>
      <c r="F55" s="367"/>
    </row>
    <row r="56" spans="1:8">
      <c r="A56" s="374" t="s">
        <v>461</v>
      </c>
      <c r="B56" s="367"/>
      <c r="C56" s="415">
        <v>2.7000000000000001E-3</v>
      </c>
      <c r="D56" s="416">
        <v>2.7000000000000001E-3</v>
      </c>
      <c r="E56" s="377"/>
      <c r="F56" s="367"/>
    </row>
    <row r="57" spans="1:8" ht="13.5" thickBot="1">
      <c r="A57" s="374" t="s">
        <v>447</v>
      </c>
      <c r="B57" s="367"/>
      <c r="C57" s="418">
        <v>9188.1864000000005</v>
      </c>
      <c r="D57" s="411">
        <v>9727.8407999999999</v>
      </c>
      <c r="E57" s="412">
        <v>539.65439999999944</v>
      </c>
      <c r="F57" s="367"/>
    </row>
    <row r="58" spans="1:8" ht="13.5" thickBot="1">
      <c r="A58" s="419" t="s">
        <v>462</v>
      </c>
      <c r="B58" s="420"/>
      <c r="C58" s="433">
        <v>150981.18640000001</v>
      </c>
      <c r="D58" s="434">
        <v>159848.84080000001</v>
      </c>
      <c r="E58" s="436">
        <v>8867.6543999999994</v>
      </c>
      <c r="G58" s="431">
        <f>+'[2]2014 GG TU 10.32'!L42</f>
        <v>159849</v>
      </c>
      <c r="H58" s="432">
        <f>+D58-G58</f>
        <v>-0.15919999999459833</v>
      </c>
    </row>
    <row r="59" spans="1:8">
      <c r="A59" s="370"/>
      <c r="B59" s="370"/>
      <c r="C59" s="437"/>
      <c r="D59" s="437"/>
      <c r="E59" s="437"/>
    </row>
    <row r="60" spans="1:8" ht="15">
      <c r="E60" s="438"/>
    </row>
    <row r="61" spans="1:8" ht="15">
      <c r="A61" s="439" t="s">
        <v>463</v>
      </c>
      <c r="B61" s="439"/>
      <c r="C61" s="440"/>
      <c r="D61" s="440"/>
      <c r="E61" s="441"/>
    </row>
    <row r="62" spans="1:8">
      <c r="A62" s="370" t="s">
        <v>422</v>
      </c>
      <c r="D62" s="371"/>
    </row>
    <row r="63" spans="1:8" ht="12.75" customHeight="1">
      <c r="A63" s="372"/>
      <c r="B63" s="373"/>
      <c r="C63" s="694" t="s">
        <v>423</v>
      </c>
      <c r="D63" s="694" t="s">
        <v>424</v>
      </c>
      <c r="E63" s="696" t="s">
        <v>425</v>
      </c>
    </row>
    <row r="64" spans="1:8">
      <c r="A64" s="374"/>
      <c r="B64" s="367"/>
      <c r="C64" s="695"/>
      <c r="D64" s="695"/>
      <c r="E64" s="697"/>
    </row>
    <row r="65" spans="1:8">
      <c r="A65" s="374" t="s">
        <v>464</v>
      </c>
      <c r="B65" s="367"/>
      <c r="C65" s="384">
        <v>459998</v>
      </c>
      <c r="D65" s="376">
        <v>410230</v>
      </c>
      <c r="E65" s="377"/>
    </row>
    <row r="66" spans="1:8">
      <c r="A66" s="374" t="s">
        <v>427</v>
      </c>
      <c r="B66" s="367"/>
      <c r="C66" s="379">
        <v>0</v>
      </c>
      <c r="D66" s="379">
        <v>1</v>
      </c>
      <c r="E66" s="380"/>
    </row>
    <row r="67" spans="1:8">
      <c r="A67" s="385" t="s">
        <v>465</v>
      </c>
      <c r="B67" s="420"/>
      <c r="C67" s="386">
        <v>0</v>
      </c>
      <c r="D67" s="386">
        <v>410230</v>
      </c>
      <c r="E67" s="387">
        <v>410230</v>
      </c>
    </row>
    <row r="68" spans="1:8">
      <c r="A68" s="367"/>
      <c r="B68" s="381"/>
      <c r="C68" s="411"/>
      <c r="D68" s="411"/>
      <c r="E68" s="395"/>
    </row>
    <row r="69" spans="1:8">
      <c r="A69" s="370" t="s">
        <v>452</v>
      </c>
    </row>
    <row r="70" spans="1:8">
      <c r="A70" s="372" t="s">
        <v>466</v>
      </c>
      <c r="B70" s="373"/>
      <c r="C70" s="426">
        <v>745695</v>
      </c>
      <c r="G70" s="411"/>
    </row>
    <row r="71" spans="1:8">
      <c r="A71" s="374" t="s">
        <v>467</v>
      </c>
      <c r="B71" s="367"/>
      <c r="C71" s="427">
        <v>87293</v>
      </c>
      <c r="G71" s="411"/>
    </row>
    <row r="72" spans="1:8">
      <c r="A72" s="385" t="s">
        <v>468</v>
      </c>
      <c r="B72" s="366"/>
      <c r="C72" s="428">
        <v>658402</v>
      </c>
    </row>
    <row r="73" spans="1:8">
      <c r="A73" s="367"/>
      <c r="B73" s="367"/>
      <c r="C73" s="429"/>
    </row>
    <row r="74" spans="1:8">
      <c r="A74" s="370" t="s">
        <v>431</v>
      </c>
      <c r="D74" s="371" t="s">
        <v>432</v>
      </c>
    </row>
    <row r="75" spans="1:8" ht="12.75" customHeight="1">
      <c r="A75" s="372"/>
      <c r="B75" s="373"/>
      <c r="C75" s="694" t="s">
        <v>433</v>
      </c>
      <c r="D75" s="694" t="s">
        <v>456</v>
      </c>
      <c r="E75" s="696" t="s">
        <v>435</v>
      </c>
      <c r="G75" s="694" t="s">
        <v>457</v>
      </c>
      <c r="H75" s="698" t="s">
        <v>458</v>
      </c>
    </row>
    <row r="76" spans="1:8">
      <c r="A76" s="374"/>
      <c r="B76" s="367"/>
      <c r="C76" s="695"/>
      <c r="D76" s="695"/>
      <c r="E76" s="697"/>
      <c r="G76" s="695"/>
      <c r="H76" s="698"/>
    </row>
    <row r="77" spans="1:8">
      <c r="A77" s="374" t="s">
        <v>466</v>
      </c>
      <c r="B77" s="367"/>
      <c r="C77" s="384">
        <v>745695</v>
      </c>
      <c r="D77" s="388">
        <v>658402</v>
      </c>
      <c r="E77" s="430">
        <v>-87293</v>
      </c>
    </row>
    <row r="78" spans="1:8">
      <c r="A78" s="374" t="s">
        <v>459</v>
      </c>
      <c r="B78" s="367"/>
      <c r="C78" s="384">
        <v>459998</v>
      </c>
      <c r="D78" s="388">
        <v>410230</v>
      </c>
      <c r="E78" s="430">
        <v>-49768</v>
      </c>
      <c r="G78" s="431">
        <f>+'[2]2014 MM TU 10.32'!H40</f>
        <v>410230</v>
      </c>
      <c r="H78" s="432">
        <f>+D78-G78</f>
        <v>0</v>
      </c>
    </row>
    <row r="79" spans="1:8">
      <c r="A79" s="393" t="s">
        <v>460</v>
      </c>
      <c r="B79" s="381"/>
      <c r="C79" s="433">
        <v>-285697</v>
      </c>
      <c r="D79" s="434">
        <v>-248172</v>
      </c>
      <c r="E79" s="435">
        <v>37525</v>
      </c>
    </row>
    <row r="80" spans="1:8">
      <c r="A80" s="374" t="s">
        <v>461</v>
      </c>
      <c r="B80" s="367"/>
      <c r="C80" s="415">
        <v>2.7000000000000001E-3</v>
      </c>
      <c r="D80" s="416">
        <v>2.7000000000000001E-3</v>
      </c>
      <c r="E80" s="377"/>
    </row>
    <row r="81" spans="1:8" ht="13.5" thickBot="1">
      <c r="A81" s="374" t="s">
        <v>447</v>
      </c>
      <c r="B81" s="367"/>
      <c r="C81" s="418">
        <v>-18513.1656</v>
      </c>
      <c r="D81" s="411">
        <v>-16081.545600000001</v>
      </c>
      <c r="E81" s="412">
        <v>2431.619999999999</v>
      </c>
    </row>
    <row r="82" spans="1:8" ht="13.5" thickBot="1">
      <c r="A82" s="419" t="s">
        <v>469</v>
      </c>
      <c r="B82" s="420"/>
      <c r="C82" s="433">
        <v>-304210.16560000001</v>
      </c>
      <c r="D82" s="434">
        <v>-264253.54560000001</v>
      </c>
      <c r="E82" s="436">
        <v>39956.619999999995</v>
      </c>
      <c r="G82" s="431">
        <f>+'[2]2014 MM TU 10.32'!L42</f>
        <v>-264254</v>
      </c>
      <c r="H82" s="432">
        <f>+D82-G82</f>
        <v>0.45439999998779967</v>
      </c>
    </row>
    <row r="84" spans="1:8">
      <c r="A84" s="442" t="s">
        <v>470</v>
      </c>
    </row>
    <row r="85" spans="1:8">
      <c r="A85" s="443">
        <v>1</v>
      </c>
      <c r="B85" s="444" t="s">
        <v>471</v>
      </c>
      <c r="C85" s="444"/>
    </row>
    <row r="86" spans="1:8">
      <c r="A86" s="443">
        <v>2</v>
      </c>
      <c r="B86" s="445" t="s">
        <v>472</v>
      </c>
      <c r="C86" s="445"/>
    </row>
    <row r="87" spans="1:8">
      <c r="A87" s="443">
        <v>3</v>
      </c>
      <c r="B87" s="446" t="s">
        <v>473</v>
      </c>
      <c r="C87" s="446"/>
    </row>
    <row r="88" spans="1:8">
      <c r="A88" s="443">
        <v>4</v>
      </c>
      <c r="B88" s="447" t="s">
        <v>474</v>
      </c>
      <c r="C88" s="447"/>
    </row>
    <row r="90" spans="1:8">
      <c r="A90" s="364" t="s">
        <v>475</v>
      </c>
    </row>
    <row r="91" spans="1:8">
      <c r="A91" s="364" t="s">
        <v>432</v>
      </c>
      <c r="B91" s="364" t="s">
        <v>476</v>
      </c>
    </row>
  </sheetData>
  <mergeCells count="22">
    <mergeCell ref="G51:G52"/>
    <mergeCell ref="H51:H52"/>
    <mergeCell ref="C63:C64"/>
    <mergeCell ref="D63:D64"/>
    <mergeCell ref="E63:E64"/>
    <mergeCell ref="C75:C76"/>
    <mergeCell ref="D75:D76"/>
    <mergeCell ref="E75:E76"/>
    <mergeCell ref="G75:G76"/>
    <mergeCell ref="H75:H76"/>
    <mergeCell ref="C39:C40"/>
    <mergeCell ref="D39:D40"/>
    <mergeCell ref="E39:E40"/>
    <mergeCell ref="C51:C52"/>
    <mergeCell ref="D51:D52"/>
    <mergeCell ref="E51:E52"/>
    <mergeCell ref="C5:C6"/>
    <mergeCell ref="D5:D6"/>
    <mergeCell ref="E5:E6"/>
    <mergeCell ref="C16:C17"/>
    <mergeCell ref="D16:D17"/>
    <mergeCell ref="E16:E17"/>
  </mergeCells>
  <pageMargins left="0.45" right="0.45" top="0.25" bottom="0.5" header="0.3" footer="0.1"/>
  <pageSetup scale="61" orientation="portrait" r:id="rId1"/>
  <headerFooter>
    <oddFooter>&amp;R&amp;D  Filename:  &amp;F &amp;  Tab: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/>
  </sheetViews>
  <sheetFormatPr defaultRowHeight="12.75"/>
  <cols>
    <col min="1" max="1" width="11.85546875" style="52" customWidth="1"/>
    <col min="2" max="16384" width="9.140625" style="52"/>
  </cols>
  <sheetData>
    <row r="1" spans="1:5">
      <c r="A1" s="4" t="s">
        <v>0</v>
      </c>
      <c r="B1" s="4"/>
      <c r="C1" s="4"/>
      <c r="D1" s="4"/>
      <c r="E1" s="4"/>
    </row>
    <row r="2" spans="1:5">
      <c r="A2" s="4" t="s">
        <v>60</v>
      </c>
      <c r="B2" s="4"/>
      <c r="C2" s="4"/>
      <c r="D2" s="4"/>
      <c r="E2" s="4"/>
    </row>
    <row r="3" spans="1:5">
      <c r="A3" s="4" t="s">
        <v>73</v>
      </c>
      <c r="B3" s="4"/>
      <c r="C3" s="4"/>
      <c r="D3" s="4"/>
      <c r="E3" s="4"/>
    </row>
    <row r="4" spans="1:5">
      <c r="A4" s="4" t="s">
        <v>373</v>
      </c>
      <c r="B4" s="4"/>
      <c r="C4" s="4"/>
      <c r="D4" s="4"/>
      <c r="E4" s="4"/>
    </row>
    <row r="6" spans="1:5">
      <c r="C6" s="353"/>
      <c r="E6" s="353"/>
    </row>
    <row r="7" spans="1:5">
      <c r="C7" s="342" t="s">
        <v>513</v>
      </c>
      <c r="E7" s="342" t="s">
        <v>480</v>
      </c>
    </row>
    <row r="8" spans="1:5">
      <c r="A8" s="52" t="s">
        <v>74</v>
      </c>
      <c r="C8" s="325">
        <v>514949</v>
      </c>
      <c r="E8" s="325">
        <v>149385</v>
      </c>
    </row>
    <row r="9" spans="1:5">
      <c r="A9" s="52" t="s">
        <v>11</v>
      </c>
      <c r="C9" s="325">
        <v>467685</v>
      </c>
      <c r="E9" s="325">
        <v>131100</v>
      </c>
    </row>
    <row r="10" spans="1:5">
      <c r="A10" s="52" t="s">
        <v>12</v>
      </c>
      <c r="C10" s="325">
        <v>449664</v>
      </c>
      <c r="E10" s="325">
        <v>114764</v>
      </c>
    </row>
    <row r="11" spans="1:5">
      <c r="A11" s="52" t="s">
        <v>13</v>
      </c>
      <c r="C11" s="325">
        <v>424314</v>
      </c>
      <c r="E11" s="325">
        <v>88830</v>
      </c>
    </row>
    <row r="12" spans="1:5">
      <c r="A12" s="52" t="s">
        <v>14</v>
      </c>
      <c r="C12" s="325">
        <v>427544</v>
      </c>
      <c r="E12" s="325">
        <v>82926</v>
      </c>
    </row>
    <row r="13" spans="1:5">
      <c r="A13" s="52" t="s">
        <v>15</v>
      </c>
      <c r="C13" s="325">
        <v>529153</v>
      </c>
      <c r="E13" s="325">
        <v>113481</v>
      </c>
    </row>
    <row r="14" spans="1:5">
      <c r="A14" s="52" t="s">
        <v>16</v>
      </c>
      <c r="C14" s="325">
        <v>596813</v>
      </c>
      <c r="E14" s="325">
        <v>122718</v>
      </c>
    </row>
    <row r="15" spans="1:5">
      <c r="A15" s="52" t="s">
        <v>17</v>
      </c>
      <c r="C15" s="325">
        <v>564998</v>
      </c>
      <c r="E15" s="325">
        <v>118250</v>
      </c>
    </row>
    <row r="16" spans="1:5">
      <c r="A16" s="52" t="s">
        <v>18</v>
      </c>
      <c r="C16" s="325">
        <v>505609</v>
      </c>
      <c r="E16" s="325">
        <v>103778</v>
      </c>
    </row>
    <row r="17" spans="1:5">
      <c r="A17" s="52" t="s">
        <v>19</v>
      </c>
      <c r="C17" s="325">
        <v>389426</v>
      </c>
      <c r="E17" s="325">
        <v>85237</v>
      </c>
    </row>
    <row r="18" spans="1:5">
      <c r="A18" s="52" t="s">
        <v>20</v>
      </c>
      <c r="C18" s="325">
        <v>470813</v>
      </c>
      <c r="E18" s="325">
        <v>116307</v>
      </c>
    </row>
    <row r="19" spans="1:5">
      <c r="A19" s="52" t="s">
        <v>21</v>
      </c>
      <c r="C19" s="325">
        <v>564883</v>
      </c>
      <c r="E19" s="325">
        <v>156489</v>
      </c>
    </row>
    <row r="20" spans="1:5">
      <c r="A20" s="52" t="s">
        <v>22</v>
      </c>
      <c r="C20" s="53">
        <f>ROUND(AVERAGE(C8:C19),0)</f>
        <v>492154</v>
      </c>
      <c r="E20" s="53">
        <f>ROUND(AVERAGE(E8:E19),0)</f>
        <v>115272</v>
      </c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workbookViewId="0"/>
  </sheetViews>
  <sheetFormatPr defaultRowHeight="12.75"/>
  <cols>
    <col min="1" max="2" width="2.7109375" style="2" customWidth="1"/>
    <col min="3" max="3" width="26.7109375" style="2" customWidth="1"/>
    <col min="4" max="4" width="2.7109375" style="2" customWidth="1"/>
    <col min="5" max="5" width="12.28515625" style="2" bestFit="1" customWidth="1"/>
    <col min="6" max="6" width="2.7109375" style="2" customWidth="1"/>
    <col min="7" max="7" width="14.42578125" style="2" bestFit="1" customWidth="1"/>
    <col min="8" max="8" width="2.7109375" style="2" customWidth="1"/>
    <col min="9" max="9" width="13.42578125" style="2" bestFit="1" customWidth="1"/>
    <col min="10" max="10" width="2.7109375" style="2" customWidth="1"/>
    <col min="11" max="11" width="13.42578125" style="2" bestFit="1" customWidth="1"/>
    <col min="12" max="16384" width="9.140625" style="2"/>
  </cols>
  <sheetData>
    <row r="1" spans="1:11">
      <c r="A1" s="4" t="s">
        <v>0</v>
      </c>
      <c r="B1" s="4"/>
      <c r="C1" s="23"/>
      <c r="D1" s="23"/>
      <c r="E1" s="23"/>
      <c r="F1" s="23"/>
      <c r="G1" s="23"/>
      <c r="H1" s="23"/>
      <c r="I1" s="23"/>
      <c r="J1" s="23"/>
      <c r="K1" s="23"/>
    </row>
    <row r="2" spans="1:11">
      <c r="A2" s="4" t="s">
        <v>30</v>
      </c>
      <c r="B2" s="4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A3" s="4" t="s">
        <v>70</v>
      </c>
      <c r="B3" s="4"/>
      <c r="C3" s="23"/>
      <c r="D3" s="23"/>
      <c r="E3" s="23"/>
      <c r="F3" s="23"/>
      <c r="G3" s="23"/>
      <c r="H3" s="23"/>
      <c r="I3" s="23"/>
      <c r="J3" s="23"/>
      <c r="K3" s="23"/>
    </row>
    <row r="4" spans="1:11">
      <c r="A4" s="4" t="s">
        <v>31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>
      <c r="A5" s="4" t="s">
        <v>374</v>
      </c>
      <c r="B5" s="4"/>
      <c r="C5" s="23"/>
      <c r="D5" s="23"/>
      <c r="E5" s="23"/>
      <c r="F5" s="23"/>
      <c r="G5" s="23"/>
      <c r="H5" s="23"/>
      <c r="I5" s="23"/>
      <c r="J5" s="23"/>
      <c r="K5" s="23"/>
    </row>
    <row r="6" spans="1:11">
      <c r="A6" s="4"/>
      <c r="B6" s="4"/>
      <c r="C6" s="23"/>
      <c r="D6" s="23"/>
      <c r="E6" s="23"/>
      <c r="F6" s="23"/>
      <c r="G6" s="23"/>
      <c r="H6" s="23"/>
      <c r="I6" s="23"/>
      <c r="J6" s="23"/>
      <c r="K6" s="23"/>
    </row>
    <row r="7" spans="1:11">
      <c r="A7" s="24"/>
      <c r="B7" s="24"/>
      <c r="G7" s="25"/>
      <c r="H7" s="25"/>
      <c r="I7" s="25"/>
      <c r="J7" s="25"/>
      <c r="K7" s="25"/>
    </row>
    <row r="8" spans="1:11">
      <c r="A8" s="24"/>
      <c r="B8" s="24"/>
      <c r="E8" s="26" t="s">
        <v>32</v>
      </c>
      <c r="G8" s="27" t="s">
        <v>33</v>
      </c>
      <c r="H8" s="28"/>
      <c r="I8" s="29" t="s">
        <v>34</v>
      </c>
      <c r="K8" s="26" t="s">
        <v>34</v>
      </c>
    </row>
    <row r="9" spans="1:11">
      <c r="A9" s="24" t="s">
        <v>35</v>
      </c>
      <c r="B9" s="24"/>
      <c r="E9" s="30" t="s">
        <v>36</v>
      </c>
      <c r="G9" s="31" t="s">
        <v>37</v>
      </c>
      <c r="H9" s="32"/>
      <c r="I9" s="31" t="s">
        <v>38</v>
      </c>
      <c r="J9" s="33"/>
      <c r="K9" s="342" t="s">
        <v>29</v>
      </c>
    </row>
    <row r="10" spans="1:11">
      <c r="A10" s="24"/>
      <c r="B10" s="24" t="s">
        <v>39</v>
      </c>
      <c r="G10" s="25"/>
      <c r="H10" s="34"/>
      <c r="I10" s="25"/>
      <c r="J10" s="25"/>
      <c r="K10" s="25"/>
    </row>
    <row r="11" spans="1:11">
      <c r="A11" s="24"/>
      <c r="B11" s="24"/>
      <c r="C11" s="2" t="s">
        <v>6</v>
      </c>
      <c r="E11" s="2" t="s">
        <v>40</v>
      </c>
      <c r="G11" s="284">
        <v>1025985796</v>
      </c>
      <c r="H11" s="284"/>
      <c r="I11" s="285"/>
      <c r="J11" s="36"/>
      <c r="K11" s="35"/>
    </row>
    <row r="12" spans="1:11">
      <c r="A12" s="24"/>
      <c r="B12" s="24"/>
      <c r="C12" s="2" t="s">
        <v>41</v>
      </c>
      <c r="E12" s="2" t="s">
        <v>42</v>
      </c>
      <c r="G12" s="284"/>
      <c r="H12" s="284"/>
      <c r="I12" s="286">
        <v>5186357</v>
      </c>
      <c r="J12" s="35" t="s">
        <v>43</v>
      </c>
      <c r="K12" s="35"/>
    </row>
    <row r="13" spans="1:11">
      <c r="A13" s="24"/>
      <c r="B13" s="24"/>
      <c r="C13" s="2" t="s">
        <v>44</v>
      </c>
      <c r="E13" s="2" t="s">
        <v>45</v>
      </c>
      <c r="G13" s="284"/>
      <c r="H13" s="284"/>
      <c r="I13" s="287">
        <v>12057345</v>
      </c>
      <c r="J13" s="35" t="s">
        <v>43</v>
      </c>
      <c r="K13" s="37"/>
    </row>
    <row r="14" spans="1:11">
      <c r="A14" s="24"/>
      <c r="B14" s="24"/>
      <c r="C14" s="2" t="s">
        <v>6</v>
      </c>
      <c r="G14" s="291">
        <f>SUM(G11:G13)</f>
        <v>1025985796</v>
      </c>
      <c r="H14" s="292"/>
      <c r="I14" s="293">
        <f>SUM(I11:I13)</f>
        <v>17243702</v>
      </c>
      <c r="J14" s="39"/>
      <c r="K14" s="39">
        <f t="shared" ref="K14:K19" si="0">G14-I14</f>
        <v>1008742094</v>
      </c>
    </row>
    <row r="15" spans="1:11">
      <c r="A15" s="24"/>
      <c r="B15" s="24"/>
      <c r="C15" s="2" t="s">
        <v>7</v>
      </c>
      <c r="E15" s="2" t="s">
        <v>46</v>
      </c>
      <c r="G15" s="292">
        <v>284047885</v>
      </c>
      <c r="H15" s="292"/>
      <c r="I15" s="287">
        <v>797</v>
      </c>
      <c r="J15" s="39" t="s">
        <v>43</v>
      </c>
      <c r="K15" s="34">
        <f>G15-I15</f>
        <v>284047088</v>
      </c>
    </row>
    <row r="16" spans="1:11">
      <c r="A16" s="24"/>
      <c r="B16" s="24"/>
      <c r="C16" s="2" t="s">
        <v>8</v>
      </c>
      <c r="E16" s="2" t="s">
        <v>47</v>
      </c>
      <c r="G16" s="292">
        <v>398382331</v>
      </c>
      <c r="H16" s="292"/>
      <c r="I16" s="287">
        <v>39748</v>
      </c>
      <c r="J16" s="39" t="s">
        <v>43</v>
      </c>
      <c r="K16" s="39">
        <f t="shared" si="0"/>
        <v>398342583</v>
      </c>
    </row>
    <row r="17" spans="1:11">
      <c r="A17" s="24"/>
      <c r="B17" s="24"/>
      <c r="C17" s="2" t="s">
        <v>48</v>
      </c>
      <c r="E17" s="2" t="s">
        <v>49</v>
      </c>
      <c r="G17" s="292">
        <v>3734605</v>
      </c>
      <c r="H17" s="292"/>
      <c r="I17" s="287"/>
      <c r="J17" s="39"/>
      <c r="K17" s="39">
        <f t="shared" si="0"/>
        <v>3734605</v>
      </c>
    </row>
    <row r="18" spans="1:11">
      <c r="A18" s="24"/>
      <c r="B18" s="24"/>
      <c r="E18" s="2" t="s">
        <v>50</v>
      </c>
      <c r="G18" s="292">
        <v>29202520</v>
      </c>
      <c r="H18" s="292"/>
      <c r="I18" s="287"/>
      <c r="J18" s="39"/>
      <c r="K18" s="39">
        <f t="shared" si="0"/>
        <v>29202520</v>
      </c>
    </row>
    <row r="19" spans="1:11">
      <c r="A19" s="24"/>
      <c r="B19" s="24"/>
      <c r="C19" s="2" t="s">
        <v>25</v>
      </c>
      <c r="E19" s="40">
        <v>356.1</v>
      </c>
      <c r="G19" s="287">
        <v>125933008</v>
      </c>
      <c r="H19" s="292"/>
      <c r="I19" s="287"/>
      <c r="J19" s="39"/>
      <c r="K19" s="39">
        <f t="shared" si="0"/>
        <v>125933008</v>
      </c>
    </row>
    <row r="20" spans="1:11">
      <c r="A20" s="24"/>
      <c r="B20" s="24" t="s">
        <v>51</v>
      </c>
      <c r="G20" s="38">
        <f>SUM(G14:G19)</f>
        <v>1867286145</v>
      </c>
      <c r="H20" s="41"/>
      <c r="I20" s="38">
        <f>SUM(I14:I19)</f>
        <v>17284247</v>
      </c>
      <c r="J20" s="39"/>
      <c r="K20" s="38">
        <f>SUM(K14:K19)</f>
        <v>1850001898</v>
      </c>
    </row>
    <row r="21" spans="1:11">
      <c r="A21" s="24"/>
      <c r="B21" s="24"/>
      <c r="G21" s="39"/>
      <c r="H21" s="39"/>
      <c r="I21" s="39"/>
      <c r="J21" s="39"/>
      <c r="K21" s="39"/>
    </row>
    <row r="22" spans="1:11">
      <c r="A22" s="24"/>
      <c r="B22" s="24" t="s">
        <v>52</v>
      </c>
      <c r="G22" s="39"/>
      <c r="H22" s="39"/>
      <c r="I22" s="39"/>
      <c r="J22" s="39"/>
      <c r="K22" s="39"/>
    </row>
    <row r="23" spans="1:11">
      <c r="A23" s="24"/>
      <c r="B23" s="24"/>
      <c r="C23" s="2" t="s">
        <v>6</v>
      </c>
      <c r="E23" s="2" t="s">
        <v>53</v>
      </c>
      <c r="G23" s="39">
        <f>243975327+69445344</f>
        <v>313420671</v>
      </c>
      <c r="H23" s="39"/>
      <c r="I23" s="36"/>
      <c r="J23" s="36"/>
      <c r="K23" s="41"/>
    </row>
    <row r="24" spans="1:11">
      <c r="A24" s="24"/>
      <c r="B24" s="24"/>
      <c r="C24" s="2" t="s">
        <v>41</v>
      </c>
      <c r="G24" s="39"/>
      <c r="H24" s="39"/>
      <c r="I24" s="34">
        <f>'Recon FF1 to Juris Acc Res'!I10</f>
        <v>3587566</v>
      </c>
      <c r="J24" s="39" t="s">
        <v>43</v>
      </c>
      <c r="K24" s="41"/>
    </row>
    <row r="25" spans="1:11">
      <c r="A25" s="24"/>
      <c r="B25" s="24"/>
      <c r="C25" s="2" t="s">
        <v>44</v>
      </c>
      <c r="G25" s="39"/>
      <c r="H25" s="39"/>
      <c r="I25" s="34">
        <f>'Recon FF1 to Juris Acc Res'!I11</f>
        <v>-1682778</v>
      </c>
      <c r="J25" s="39" t="s">
        <v>43</v>
      </c>
      <c r="K25" s="42"/>
    </row>
    <row r="26" spans="1:11">
      <c r="A26" s="24"/>
      <c r="B26" s="24"/>
      <c r="C26" s="2" t="s">
        <v>6</v>
      </c>
      <c r="G26" s="38">
        <f>SUM(G23:G25)</f>
        <v>313420671</v>
      </c>
      <c r="H26" s="39"/>
      <c r="I26" s="38">
        <f>SUM(I23:I25)</f>
        <v>1904788</v>
      </c>
      <c r="J26" s="39"/>
      <c r="K26" s="39">
        <f>G26-I26</f>
        <v>311515883</v>
      </c>
    </row>
    <row r="27" spans="1:11">
      <c r="A27" s="24"/>
      <c r="B27" s="24"/>
      <c r="C27" s="2" t="s">
        <v>7</v>
      </c>
      <c r="E27" s="2" t="s">
        <v>54</v>
      </c>
      <c r="G27" s="39">
        <v>102052730</v>
      </c>
      <c r="H27" s="276"/>
      <c r="I27" s="34">
        <f>'Recon FF1 to Juris Acc Res'!I13</f>
        <v>493</v>
      </c>
      <c r="J27" s="39" t="s">
        <v>43</v>
      </c>
      <c r="K27" s="39">
        <f t="shared" ref="K27:K30" si="1">G27-I27</f>
        <v>102052237</v>
      </c>
    </row>
    <row r="28" spans="1:11">
      <c r="A28" s="24"/>
      <c r="B28" s="24"/>
      <c r="C28" s="2" t="s">
        <v>8</v>
      </c>
      <c r="E28" s="2" t="s">
        <v>55</v>
      </c>
      <c r="G28" s="39">
        <v>144645599</v>
      </c>
      <c r="H28" s="39"/>
      <c r="I28" s="34">
        <f>'Recon FF1 to Juris Acc Res'!I14</f>
        <v>35896</v>
      </c>
      <c r="J28" s="39" t="s">
        <v>43</v>
      </c>
      <c r="K28" s="39">
        <f t="shared" si="1"/>
        <v>144609703</v>
      </c>
    </row>
    <row r="29" spans="1:11">
      <c r="A29" s="24"/>
      <c r="B29" s="24"/>
      <c r="C29" s="2" t="s">
        <v>48</v>
      </c>
      <c r="E29" s="2" t="s">
        <v>56</v>
      </c>
      <c r="G29" s="39">
        <v>9919828</v>
      </c>
      <c r="H29" s="39"/>
      <c r="I29" s="39"/>
      <c r="J29" s="39"/>
      <c r="K29" s="39">
        <f t="shared" si="1"/>
        <v>9919828</v>
      </c>
    </row>
    <row r="30" spans="1:11">
      <c r="A30" s="24"/>
      <c r="B30" s="24"/>
      <c r="E30" s="2" t="s">
        <v>57</v>
      </c>
      <c r="G30" s="39">
        <v>2056608</v>
      </c>
      <c r="H30" s="39"/>
      <c r="I30" s="41"/>
      <c r="J30" s="39"/>
      <c r="K30" s="39">
        <f t="shared" si="1"/>
        <v>2056608</v>
      </c>
    </row>
    <row r="31" spans="1:11">
      <c r="A31" s="24"/>
      <c r="B31" s="24"/>
      <c r="C31" s="2" t="s">
        <v>25</v>
      </c>
      <c r="E31" s="40">
        <v>356.1</v>
      </c>
      <c r="G31" s="34">
        <v>50608060</v>
      </c>
      <c r="H31" s="39"/>
      <c r="I31" s="42"/>
      <c r="J31" s="159"/>
      <c r="K31" s="39">
        <f>G31-I31</f>
        <v>50608060</v>
      </c>
    </row>
    <row r="32" spans="1:11">
      <c r="A32" s="24"/>
      <c r="B32" s="24" t="s">
        <v>58</v>
      </c>
      <c r="G32" s="38">
        <f>SUM(G26:G31)</f>
        <v>622703496</v>
      </c>
      <c r="H32" s="41"/>
      <c r="I32" s="38">
        <f>SUM(I26:I31)</f>
        <v>1941177</v>
      </c>
      <c r="J32" s="39"/>
      <c r="K32" s="38">
        <f>SUM(K26:K31)</f>
        <v>620762319</v>
      </c>
    </row>
    <row r="33" spans="1:11">
      <c r="A33" s="24"/>
      <c r="B33" s="24"/>
      <c r="G33" s="39"/>
      <c r="H33" s="39"/>
      <c r="I33" s="39"/>
      <c r="J33" s="39"/>
      <c r="K33" s="39"/>
    </row>
    <row r="34" spans="1:11">
      <c r="B34" s="24"/>
      <c r="G34" s="25"/>
      <c r="H34" s="34"/>
      <c r="I34" s="25"/>
      <c r="J34" s="25"/>
      <c r="K34" s="25"/>
    </row>
    <row r="36" spans="1:11">
      <c r="A36" s="158" t="s">
        <v>185</v>
      </c>
      <c r="B36" s="24"/>
      <c r="G36" s="25"/>
      <c r="H36" s="34"/>
      <c r="I36" s="25"/>
      <c r="J36" s="25"/>
      <c r="K36" s="25"/>
    </row>
  </sheetData>
  <printOptions horizontalCentered="1"/>
  <pageMargins left="0.22" right="0.17" top="1" bottom="0.17" header="0.3" footer="0.18"/>
  <pageSetup orientation="portrait" r:id="rId1"/>
  <headerFooter>
    <oddFooter>&amp;C&amp;F - 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workbookViewId="0"/>
  </sheetViews>
  <sheetFormatPr defaultRowHeight="12.75"/>
  <cols>
    <col min="1" max="1" width="14.28515625" style="21" customWidth="1"/>
    <col min="2" max="2" width="1.5703125" style="8" customWidth="1"/>
    <col min="3" max="3" width="14.42578125" style="8" bestFit="1" customWidth="1"/>
    <col min="4" max="4" width="1.85546875" style="18" customWidth="1"/>
    <col min="5" max="5" width="14.28515625" style="8" bestFit="1" customWidth="1"/>
    <col min="6" max="6" width="1.42578125" style="18" customWidth="1"/>
    <col min="7" max="7" width="14.42578125" style="8" bestFit="1" customWidth="1"/>
    <col min="8" max="8" width="1.42578125" style="18" customWidth="1"/>
    <col min="9" max="9" width="11.7109375" style="8" bestFit="1" customWidth="1"/>
    <col min="10" max="10" width="1.5703125" style="18" customWidth="1"/>
    <col min="11" max="11" width="12.7109375" style="8" customWidth="1"/>
    <col min="12" max="12" width="1.7109375" style="18" customWidth="1"/>
    <col min="13" max="13" width="14.42578125" style="8" bestFit="1" customWidth="1"/>
    <col min="14" max="14" width="2.7109375" style="8" customWidth="1"/>
    <col min="15" max="15" width="12.28515625" style="8" bestFit="1" customWidth="1"/>
    <col min="16" max="16" width="2.7109375" style="8" customWidth="1"/>
    <col min="17" max="17" width="13.42578125" style="8" bestFit="1" customWidth="1"/>
    <col min="18" max="16384" width="9.140625" style="8"/>
  </cols>
  <sheetData>
    <row r="1" spans="1:13">
      <c r="A1" s="5" t="s">
        <v>0</v>
      </c>
      <c r="B1" s="6"/>
      <c r="C1" s="6"/>
      <c r="D1" s="7"/>
      <c r="E1" s="6"/>
      <c r="F1" s="7"/>
      <c r="G1" s="6"/>
      <c r="H1" s="7"/>
      <c r="I1" s="6"/>
      <c r="J1" s="7"/>
      <c r="K1" s="6"/>
      <c r="L1" s="7"/>
      <c r="M1" s="6"/>
    </row>
    <row r="2" spans="1:13">
      <c r="A2" s="5" t="str">
        <f>'Reconcile FF1 to Juris-Plt'!A2</f>
        <v>MISO Attachment O Annual True-up</v>
      </c>
      <c r="B2" s="6"/>
      <c r="C2" s="6"/>
      <c r="D2" s="7"/>
      <c r="E2" s="6"/>
      <c r="F2" s="7"/>
      <c r="G2" s="6"/>
      <c r="H2" s="7"/>
      <c r="I2" s="6"/>
      <c r="J2" s="7"/>
      <c r="K2" s="6"/>
      <c r="L2" s="7"/>
      <c r="M2" s="6"/>
    </row>
    <row r="3" spans="1:13">
      <c r="A3" s="5" t="s">
        <v>79</v>
      </c>
      <c r="B3" s="6"/>
      <c r="C3" s="6"/>
      <c r="D3" s="7"/>
      <c r="E3" s="6"/>
      <c r="F3" s="7"/>
      <c r="G3" s="6"/>
      <c r="H3" s="7"/>
      <c r="I3" s="6"/>
      <c r="J3" s="7"/>
      <c r="K3" s="6"/>
      <c r="L3" s="7"/>
      <c r="M3" s="6"/>
    </row>
    <row r="4" spans="1:13">
      <c r="A4" s="5" t="s">
        <v>375</v>
      </c>
      <c r="B4" s="6"/>
      <c r="C4" s="6"/>
      <c r="D4" s="7"/>
      <c r="E4" s="6"/>
      <c r="F4" s="7"/>
      <c r="G4" s="6"/>
      <c r="H4" s="7"/>
      <c r="I4" s="6"/>
      <c r="J4" s="7"/>
      <c r="K4" s="6"/>
      <c r="L4" s="7"/>
      <c r="M4" s="6"/>
    </row>
    <row r="6" spans="1:13">
      <c r="K6" s="55" t="s">
        <v>75</v>
      </c>
    </row>
    <row r="7" spans="1:13">
      <c r="A7" s="60" t="s">
        <v>10</v>
      </c>
      <c r="C7" s="10"/>
      <c r="D7" s="10"/>
      <c r="E7" s="271"/>
      <c r="F7" s="10"/>
      <c r="G7" s="10"/>
      <c r="H7" s="10"/>
      <c r="I7" s="10" t="s">
        <v>3</v>
      </c>
      <c r="J7" s="10"/>
      <c r="K7" s="10" t="s">
        <v>4</v>
      </c>
      <c r="L7" s="10"/>
      <c r="M7" s="10"/>
    </row>
    <row r="8" spans="1:13">
      <c r="A8" s="57" t="s">
        <v>78</v>
      </c>
      <c r="C8" s="344" t="s">
        <v>6</v>
      </c>
      <c r="D8" s="10"/>
      <c r="E8" s="303" t="s">
        <v>7</v>
      </c>
      <c r="F8" s="10"/>
      <c r="G8" s="12" t="s">
        <v>8</v>
      </c>
      <c r="H8" s="10"/>
      <c r="I8" s="12" t="s">
        <v>9</v>
      </c>
      <c r="J8" s="10"/>
      <c r="K8" s="344" t="s">
        <v>398</v>
      </c>
      <c r="L8" s="10"/>
      <c r="M8" s="12" t="s">
        <v>10</v>
      </c>
    </row>
    <row r="9" spans="1:13" ht="15" customHeight="1">
      <c r="A9" s="322" t="s">
        <v>347</v>
      </c>
      <c r="C9" s="48">
        <v>982934836</v>
      </c>
      <c r="D9" s="49"/>
      <c r="E9" s="48">
        <v>255841489.58000004</v>
      </c>
      <c r="F9" s="49"/>
      <c r="G9" s="48">
        <v>375572717.50000012</v>
      </c>
      <c r="H9" s="15"/>
      <c r="I9" s="14">
        <f>ROUND('General Plant'!G9,0)</f>
        <v>33835095</v>
      </c>
      <c r="J9" s="15"/>
      <c r="K9" s="14">
        <f>ROUND('Common Plant'!G10,0)</f>
        <v>133439044</v>
      </c>
      <c r="L9" s="15"/>
      <c r="M9" s="14">
        <f>SUM(C9:K9)+1</f>
        <v>1781623183.0799999</v>
      </c>
    </row>
    <row r="10" spans="1:13">
      <c r="A10" s="322" t="s">
        <v>376</v>
      </c>
      <c r="C10" s="50">
        <v>986053703</v>
      </c>
      <c r="D10" s="51"/>
      <c r="E10" s="50">
        <v>257974764.01000005</v>
      </c>
      <c r="F10" s="51"/>
      <c r="G10" s="50">
        <v>376354682.06999999</v>
      </c>
      <c r="H10" s="17"/>
      <c r="I10" s="16">
        <f>ROUND('General Plant'!G10,0)</f>
        <v>33820999</v>
      </c>
      <c r="J10" s="17"/>
      <c r="K10" s="16">
        <f>ROUND('Common Plant'!G11,0)</f>
        <v>133668665</v>
      </c>
      <c r="L10" s="17"/>
      <c r="M10" s="16">
        <f>SUM(C10:K10)</f>
        <v>1787872813.0799999</v>
      </c>
    </row>
    <row r="11" spans="1:13">
      <c r="A11" s="13" t="s">
        <v>11</v>
      </c>
      <c r="C11" s="50">
        <v>986290267</v>
      </c>
      <c r="D11" s="51"/>
      <c r="E11" s="50">
        <v>259127878.19999999</v>
      </c>
      <c r="F11" s="51"/>
      <c r="G11" s="50">
        <v>377654075.38000005</v>
      </c>
      <c r="H11" s="17"/>
      <c r="I11" s="16">
        <f>ROUND('General Plant'!G11,0)</f>
        <v>33824406</v>
      </c>
      <c r="J11" s="17"/>
      <c r="K11" s="16">
        <f>ROUND('Common Plant'!G12,0)</f>
        <v>133699200</v>
      </c>
      <c r="L11" s="17"/>
      <c r="M11" s="16">
        <f t="shared" ref="M11:M21" si="0">SUM(C11:K11)</f>
        <v>1790595826.5800002</v>
      </c>
    </row>
    <row r="12" spans="1:13">
      <c r="A12" s="13" t="s">
        <v>12</v>
      </c>
      <c r="C12" s="50">
        <v>976852002</v>
      </c>
      <c r="D12" s="51"/>
      <c r="E12" s="50">
        <v>261304691.65999994</v>
      </c>
      <c r="F12" s="51"/>
      <c r="G12" s="50">
        <v>378148653.13999999</v>
      </c>
      <c r="H12" s="17"/>
      <c r="I12" s="16">
        <f>ROUND('General Plant'!G12,0)</f>
        <v>33584011</v>
      </c>
      <c r="J12" s="17"/>
      <c r="K12" s="16">
        <f>ROUND('Common Plant'!G13,0)</f>
        <v>133014201</v>
      </c>
      <c r="L12" s="17"/>
      <c r="M12" s="16">
        <f t="shared" si="0"/>
        <v>1782903558.7999997</v>
      </c>
    </row>
    <row r="13" spans="1:13">
      <c r="A13" s="13" t="s">
        <v>13</v>
      </c>
      <c r="C13" s="50">
        <v>977455734</v>
      </c>
      <c r="D13" s="51"/>
      <c r="E13" s="50">
        <v>269594683.41999996</v>
      </c>
      <c r="F13" s="51"/>
      <c r="G13" s="50">
        <v>378632182.16000003</v>
      </c>
      <c r="H13" s="17"/>
      <c r="I13" s="16">
        <f>ROUND('General Plant'!G13,0)</f>
        <v>33967779</v>
      </c>
      <c r="J13" s="17"/>
      <c r="K13" s="16">
        <f>ROUND('Common Plant'!G14,0)</f>
        <v>132753961</v>
      </c>
      <c r="L13" s="17"/>
      <c r="M13" s="16">
        <f t="shared" si="0"/>
        <v>1792404339.5800002</v>
      </c>
    </row>
    <row r="14" spans="1:13">
      <c r="A14" s="13" t="s">
        <v>14</v>
      </c>
      <c r="C14" s="50">
        <v>979247803</v>
      </c>
      <c r="D14" s="51"/>
      <c r="E14" s="50">
        <v>269910923.86000001</v>
      </c>
      <c r="F14" s="51"/>
      <c r="G14" s="50">
        <v>379922951.66999996</v>
      </c>
      <c r="H14" s="17"/>
      <c r="I14" s="16">
        <f>ROUND('General Plant'!G14,0)</f>
        <v>33210714</v>
      </c>
      <c r="J14" s="17"/>
      <c r="K14" s="16">
        <f>ROUND('Common Plant'!G15,0)</f>
        <v>132121897</v>
      </c>
      <c r="L14" s="17"/>
      <c r="M14" s="16">
        <f t="shared" si="0"/>
        <v>1794414289.5300002</v>
      </c>
    </row>
    <row r="15" spans="1:13">
      <c r="A15" s="13" t="s">
        <v>15</v>
      </c>
      <c r="C15" s="50">
        <v>979203011</v>
      </c>
      <c r="D15" s="51"/>
      <c r="E15" s="50">
        <v>270908907.78999996</v>
      </c>
      <c r="F15" s="51"/>
      <c r="G15" s="50">
        <v>380859515.02999997</v>
      </c>
      <c r="H15" s="17"/>
      <c r="I15" s="16">
        <f>ROUND('General Plant'!G15,0)</f>
        <v>33305120</v>
      </c>
      <c r="J15" s="17"/>
      <c r="K15" s="16">
        <f>ROUND('Common Plant'!G16,0)</f>
        <v>131581959</v>
      </c>
      <c r="L15" s="17"/>
      <c r="M15" s="16">
        <f t="shared" si="0"/>
        <v>1795858512.8199999</v>
      </c>
    </row>
    <row r="16" spans="1:13">
      <c r="A16" s="13" t="s">
        <v>16</v>
      </c>
      <c r="C16" s="50">
        <v>987572550</v>
      </c>
      <c r="D16" s="51"/>
      <c r="E16" s="50">
        <v>271285376.19999993</v>
      </c>
      <c r="F16" s="51"/>
      <c r="G16" s="50">
        <v>382482855.63999993</v>
      </c>
      <c r="H16" s="17"/>
      <c r="I16" s="16">
        <f>ROUND('General Plant'!G16,0)</f>
        <v>31310419</v>
      </c>
      <c r="J16" s="17"/>
      <c r="K16" s="16">
        <f>ROUND('Common Plant'!G17,0)</f>
        <v>131492053</v>
      </c>
      <c r="L16" s="17"/>
      <c r="M16" s="16">
        <f t="shared" si="0"/>
        <v>1804143253.8399997</v>
      </c>
    </row>
    <row r="17" spans="1:13">
      <c r="A17" s="13" t="s">
        <v>17</v>
      </c>
      <c r="C17" s="50">
        <v>997846966</v>
      </c>
      <c r="D17" s="51"/>
      <c r="E17" s="50">
        <v>271492555.04999995</v>
      </c>
      <c r="F17" s="51"/>
      <c r="G17" s="50">
        <v>384033101.31</v>
      </c>
      <c r="H17" s="17"/>
      <c r="I17" s="16">
        <f>ROUND('General Plant'!G17,0)</f>
        <v>31317946</v>
      </c>
      <c r="J17" s="17"/>
      <c r="K17" s="16">
        <f>ROUND('Common Plant'!G18,0)</f>
        <v>131412302</v>
      </c>
      <c r="L17" s="17"/>
      <c r="M17" s="16">
        <f t="shared" si="0"/>
        <v>1816102870.3599999</v>
      </c>
    </row>
    <row r="18" spans="1:13">
      <c r="A18" s="13" t="s">
        <v>18</v>
      </c>
      <c r="C18" s="50">
        <v>1006678636</v>
      </c>
      <c r="D18" s="51"/>
      <c r="E18" s="50">
        <v>271576210.13999993</v>
      </c>
      <c r="F18" s="51"/>
      <c r="G18" s="50">
        <v>387424539.81</v>
      </c>
      <c r="H18" s="17"/>
      <c r="I18" s="16">
        <f>ROUND('General Plant'!G18,0)</f>
        <v>31270097</v>
      </c>
      <c r="J18" s="17"/>
      <c r="K18" s="16">
        <f>ROUND('Common Plant'!G19,0)</f>
        <v>131526275</v>
      </c>
      <c r="L18" s="17"/>
      <c r="M18" s="16">
        <f t="shared" si="0"/>
        <v>1828475757.9499998</v>
      </c>
    </row>
    <row r="19" spans="1:13">
      <c r="A19" s="13" t="s">
        <v>19</v>
      </c>
      <c r="C19" s="50">
        <v>1008477450</v>
      </c>
      <c r="D19" s="51"/>
      <c r="E19" s="50">
        <v>271500233.17999995</v>
      </c>
      <c r="F19" s="51"/>
      <c r="G19" s="50">
        <v>388949967.14999998</v>
      </c>
      <c r="H19" s="17"/>
      <c r="I19" s="16">
        <f>ROUND('General Plant'!G19,0)</f>
        <v>31265809</v>
      </c>
      <c r="J19" s="17"/>
      <c r="K19" s="16">
        <f>ROUND('Common Plant'!G20,0)</f>
        <v>132747072</v>
      </c>
      <c r="L19" s="17"/>
      <c r="M19" s="16">
        <f t="shared" si="0"/>
        <v>1832940531.3299999</v>
      </c>
    </row>
    <row r="20" spans="1:13">
      <c r="A20" s="13" t="s">
        <v>20</v>
      </c>
      <c r="C20" s="50">
        <v>1009357068</v>
      </c>
      <c r="D20" s="51"/>
      <c r="E20" s="50">
        <v>271772433.98000002</v>
      </c>
      <c r="F20" s="51"/>
      <c r="G20" s="50">
        <v>392875226.31999999</v>
      </c>
      <c r="H20" s="17"/>
      <c r="I20" s="16">
        <f>ROUND('General Plant'!G20,0)</f>
        <v>31938743</v>
      </c>
      <c r="J20" s="17"/>
      <c r="K20" s="16">
        <f>ROUND('Common Plant'!G21,0)</f>
        <v>126419766</v>
      </c>
      <c r="L20" s="17"/>
      <c r="M20" s="16">
        <f t="shared" si="0"/>
        <v>1832363237.3</v>
      </c>
    </row>
    <row r="21" spans="1:13">
      <c r="A21" s="13" t="s">
        <v>21</v>
      </c>
      <c r="C21" s="50">
        <v>1008742092</v>
      </c>
      <c r="D21" s="51"/>
      <c r="E21" s="50">
        <v>284047088.70000005</v>
      </c>
      <c r="F21" s="51"/>
      <c r="G21" s="50">
        <v>398342585.39999998</v>
      </c>
      <c r="H21" s="17"/>
      <c r="I21" s="16">
        <f>ROUND('General Plant'!G21,0)</f>
        <v>32937123</v>
      </c>
      <c r="J21" s="17"/>
      <c r="K21" s="16">
        <f>ROUND('Common Plant'!G22,0)</f>
        <v>125933008</v>
      </c>
      <c r="L21" s="17"/>
      <c r="M21" s="16">
        <f t="shared" si="0"/>
        <v>1850001897.0999999</v>
      </c>
    </row>
    <row r="22" spans="1:13" ht="13.5" thickBot="1">
      <c r="A22" s="19" t="s">
        <v>22</v>
      </c>
      <c r="C22" s="20">
        <f>ROUND(AVERAGE(C9:C21),0)</f>
        <v>991285548</v>
      </c>
      <c r="D22" s="17"/>
      <c r="E22" s="20">
        <f>ROUND(AVERAGE(E9:E21),0)</f>
        <v>268179787</v>
      </c>
      <c r="F22" s="17"/>
      <c r="G22" s="20">
        <f>ROUND(AVERAGE(G9:G21),0)</f>
        <v>383173312</v>
      </c>
      <c r="H22" s="17"/>
      <c r="I22" s="20">
        <f>ROUND(AVERAGE(I9:I21),0)</f>
        <v>32737559</v>
      </c>
      <c r="J22" s="17"/>
      <c r="K22" s="20">
        <f>ROUND(AVERAGE(K9:K21),0)</f>
        <v>131523800</v>
      </c>
      <c r="L22" s="17"/>
      <c r="M22" s="20">
        <f>ROUND(AVERAGE(M9:M21),0)</f>
        <v>1806900005</v>
      </c>
    </row>
    <row r="23" spans="1:13" ht="13.5" thickTop="1">
      <c r="A23" s="19"/>
    </row>
    <row r="24" spans="1:13">
      <c r="K24" s="55" t="s">
        <v>75</v>
      </c>
    </row>
    <row r="25" spans="1:13">
      <c r="A25" s="60" t="s">
        <v>65</v>
      </c>
      <c r="C25" s="355"/>
      <c r="D25" s="10"/>
      <c r="E25" s="10"/>
      <c r="F25" s="10"/>
      <c r="G25" s="10"/>
      <c r="H25" s="10"/>
      <c r="I25" s="10" t="s">
        <v>3</v>
      </c>
      <c r="J25" s="10"/>
      <c r="K25" s="10" t="s">
        <v>4</v>
      </c>
      <c r="L25" s="10"/>
      <c r="M25" s="10"/>
    </row>
    <row r="26" spans="1:13">
      <c r="A26" s="11" t="s">
        <v>72</v>
      </c>
      <c r="C26" s="12" t="s">
        <v>6</v>
      </c>
      <c r="D26" s="10"/>
      <c r="E26" s="12" t="s">
        <v>7</v>
      </c>
      <c r="F26" s="10"/>
      <c r="G26" s="12" t="s">
        <v>8</v>
      </c>
      <c r="H26" s="10"/>
      <c r="I26" s="12" t="s">
        <v>9</v>
      </c>
      <c r="J26" s="10"/>
      <c r="K26" s="12" t="s">
        <v>9</v>
      </c>
      <c r="L26" s="10"/>
      <c r="M26" s="12" t="s">
        <v>10</v>
      </c>
    </row>
    <row r="27" spans="1:13" ht="15" customHeight="1">
      <c r="A27" s="278" t="str">
        <f>A9</f>
        <v>December 2015</v>
      </c>
      <c r="C27" s="354">
        <v>64872861.100000001</v>
      </c>
      <c r="D27" s="49"/>
      <c r="E27" s="354">
        <v>3216461.2600000002</v>
      </c>
      <c r="F27" s="356"/>
      <c r="G27" s="354">
        <v>49621897.489999995</v>
      </c>
      <c r="H27" s="357"/>
      <c r="I27" s="14">
        <f>ROUND('General Plant'!G26,0)</f>
        <v>2601345</v>
      </c>
      <c r="J27" s="15"/>
      <c r="K27" s="14">
        <f>ROUND('Common Plant'!O29,0)</f>
        <v>10207912</v>
      </c>
      <c r="L27" s="15"/>
      <c r="M27" s="14">
        <f>SUM(C27:K27)-1</f>
        <v>130520475.84999999</v>
      </c>
    </row>
    <row r="28" spans="1:13">
      <c r="A28" s="278" t="str">
        <f t="shared" ref="A28:A39" si="1">A10</f>
        <v>January 2016</v>
      </c>
      <c r="C28" s="305">
        <v>64872861.100000001</v>
      </c>
      <c r="D28" s="51"/>
      <c r="E28" s="305">
        <v>3216461.2600000002</v>
      </c>
      <c r="F28" s="308"/>
      <c r="G28" s="305">
        <v>49465556.809999995</v>
      </c>
      <c r="H28" s="310"/>
      <c r="I28" s="16">
        <f>ROUND('General Plant'!G27,0)</f>
        <v>2445600</v>
      </c>
      <c r="J28" s="17"/>
      <c r="K28" s="16">
        <f>ROUND('Common Plant'!O30,0)</f>
        <v>9455393</v>
      </c>
      <c r="L28" s="17"/>
      <c r="M28" s="16">
        <f>SUM(C28:K28)</f>
        <v>129455872.16999999</v>
      </c>
    </row>
    <row r="29" spans="1:13">
      <c r="A29" s="278" t="str">
        <f t="shared" si="1"/>
        <v>February</v>
      </c>
      <c r="C29" s="305">
        <v>64872789.859999999</v>
      </c>
      <c r="D29" s="51"/>
      <c r="E29" s="305">
        <v>3216461.2600000002</v>
      </c>
      <c r="F29" s="308"/>
      <c r="G29" s="305">
        <v>49616475.030000009</v>
      </c>
      <c r="H29" s="310"/>
      <c r="I29" s="16">
        <f>ROUND('General Plant'!G28,0)</f>
        <v>2446273</v>
      </c>
      <c r="J29" s="17"/>
      <c r="K29" s="16">
        <f>ROUND('Common Plant'!O31,0)</f>
        <v>9437373</v>
      </c>
      <c r="L29" s="17"/>
      <c r="M29" s="16">
        <f t="shared" ref="M29:M39" si="2">SUM(C29:K29)</f>
        <v>129589372.15000001</v>
      </c>
    </row>
    <row r="30" spans="1:13">
      <c r="A30" s="278" t="str">
        <f t="shared" si="1"/>
        <v>March</v>
      </c>
      <c r="C30" s="305">
        <v>64872789.859999999</v>
      </c>
      <c r="D30" s="51"/>
      <c r="E30" s="305">
        <v>3216461.2600000002</v>
      </c>
      <c r="F30" s="308"/>
      <c r="G30" s="305">
        <v>49698504.350000001</v>
      </c>
      <c r="H30" s="310"/>
      <c r="I30" s="16">
        <f>ROUND('General Plant'!G29,0)</f>
        <v>2447254</v>
      </c>
      <c r="J30" s="17"/>
      <c r="K30" s="16">
        <f>ROUND('Common Plant'!O32,0)</f>
        <v>9445681</v>
      </c>
      <c r="L30" s="17"/>
      <c r="M30" s="16">
        <f t="shared" si="2"/>
        <v>129680690.47</v>
      </c>
    </row>
    <row r="31" spans="1:13">
      <c r="A31" s="278" t="str">
        <f t="shared" si="1"/>
        <v>April</v>
      </c>
      <c r="C31" s="305">
        <v>64872789.859999999</v>
      </c>
      <c r="D31" s="51"/>
      <c r="E31" s="305">
        <v>3216461.2600000002</v>
      </c>
      <c r="F31" s="308"/>
      <c r="G31" s="305">
        <v>49791926.500000007</v>
      </c>
      <c r="H31" s="310"/>
      <c r="I31" s="16">
        <f>ROUND('General Plant'!G30,0)</f>
        <v>2473989</v>
      </c>
      <c r="J31" s="17"/>
      <c r="K31" s="16">
        <f>ROUND('Common Plant'!O33,0)</f>
        <v>9431844</v>
      </c>
      <c r="L31" s="17"/>
      <c r="M31" s="16">
        <f t="shared" si="2"/>
        <v>129787010.62</v>
      </c>
    </row>
    <row r="32" spans="1:13">
      <c r="A32" s="278" t="str">
        <f t="shared" si="1"/>
        <v>May</v>
      </c>
      <c r="C32" s="305">
        <v>64874234.990000002</v>
      </c>
      <c r="D32" s="51"/>
      <c r="E32" s="305">
        <v>3216461.2600000002</v>
      </c>
      <c r="F32" s="308"/>
      <c r="G32" s="305">
        <v>49930431.689999998</v>
      </c>
      <c r="H32" s="310"/>
      <c r="I32" s="16">
        <f>ROUND('General Plant'!G31,0)</f>
        <v>2431268</v>
      </c>
      <c r="J32" s="17"/>
      <c r="K32" s="16">
        <f>ROUND('Common Plant'!O34,0)</f>
        <v>9372611</v>
      </c>
      <c r="L32" s="17"/>
      <c r="M32" s="16">
        <f t="shared" si="2"/>
        <v>129825006.94</v>
      </c>
    </row>
    <row r="33" spans="1:13">
      <c r="A33" s="278" t="str">
        <f t="shared" si="1"/>
        <v>June</v>
      </c>
      <c r="C33" s="305">
        <v>64340882.979999997</v>
      </c>
      <c r="D33" s="51"/>
      <c r="E33" s="305">
        <v>3216461.2600000002</v>
      </c>
      <c r="F33" s="308"/>
      <c r="G33" s="305">
        <v>50190902.830000006</v>
      </c>
      <c r="H33" s="310"/>
      <c r="I33" s="16">
        <f>ROUND('General Plant'!G32,0)</f>
        <v>2425873</v>
      </c>
      <c r="J33" s="17"/>
      <c r="K33" s="16">
        <f>ROUND('Common Plant'!O35,0)</f>
        <v>9371647</v>
      </c>
      <c r="L33" s="17"/>
      <c r="M33" s="16">
        <f t="shared" si="2"/>
        <v>129545767.06999999</v>
      </c>
    </row>
    <row r="34" spans="1:13">
      <c r="A34" s="278" t="str">
        <f t="shared" si="1"/>
        <v>July</v>
      </c>
      <c r="C34" s="305">
        <v>64340882.979999997</v>
      </c>
      <c r="D34" s="51"/>
      <c r="E34" s="305">
        <v>3216461.2600000002</v>
      </c>
      <c r="F34" s="308"/>
      <c r="G34" s="305">
        <v>50386767.129999995</v>
      </c>
      <c r="H34" s="310"/>
      <c r="I34" s="16">
        <f>ROUND('General Plant'!G33,0)</f>
        <v>2492487</v>
      </c>
      <c r="J34" s="17"/>
      <c r="K34" s="16">
        <f>ROUND('Common Plant'!O36,0)</f>
        <v>9364010</v>
      </c>
      <c r="L34" s="17"/>
      <c r="M34" s="16">
        <f t="shared" si="2"/>
        <v>129800608.36999999</v>
      </c>
    </row>
    <row r="35" spans="1:13">
      <c r="A35" s="278" t="str">
        <f t="shared" si="1"/>
        <v>August</v>
      </c>
      <c r="C35" s="305">
        <v>64335868.770000003</v>
      </c>
      <c r="D35" s="51"/>
      <c r="E35" s="305">
        <v>3216461.2600000002</v>
      </c>
      <c r="F35" s="308"/>
      <c r="G35" s="305">
        <v>50481296.519999996</v>
      </c>
      <c r="H35" s="310"/>
      <c r="I35" s="16">
        <f>ROUND('General Plant'!G34,0)</f>
        <v>2491842</v>
      </c>
      <c r="J35" s="17"/>
      <c r="K35" s="16">
        <f>ROUND('Common Plant'!O37,0)</f>
        <v>9361762</v>
      </c>
      <c r="L35" s="17"/>
      <c r="M35" s="16">
        <f t="shared" si="2"/>
        <v>129887230.55</v>
      </c>
    </row>
    <row r="36" spans="1:13">
      <c r="A36" s="278" t="str">
        <f t="shared" si="1"/>
        <v>September</v>
      </c>
      <c r="C36" s="305">
        <v>64335868.770000003</v>
      </c>
      <c r="D36" s="51"/>
      <c r="E36" s="305">
        <v>3216461.2600000002</v>
      </c>
      <c r="F36" s="308"/>
      <c r="G36" s="305">
        <v>51363559.740000002</v>
      </c>
      <c r="H36" s="310"/>
      <c r="I36" s="16">
        <f>ROUND('General Plant'!G35,0)</f>
        <v>2425303</v>
      </c>
      <c r="J36" s="17"/>
      <c r="K36" s="16">
        <f>ROUND('Common Plant'!O38,0)</f>
        <v>9370996</v>
      </c>
      <c r="L36" s="17"/>
      <c r="M36" s="16">
        <f t="shared" si="2"/>
        <v>130712188.77000001</v>
      </c>
    </row>
    <row r="37" spans="1:13">
      <c r="A37" s="278" t="str">
        <f t="shared" si="1"/>
        <v>October</v>
      </c>
      <c r="C37" s="305">
        <v>66103019.18999999</v>
      </c>
      <c r="D37" s="51"/>
      <c r="E37" s="305">
        <v>3216461.2600000002</v>
      </c>
      <c r="F37" s="308"/>
      <c r="G37" s="305">
        <v>51593770.659999996</v>
      </c>
      <c r="H37" s="310"/>
      <c r="I37" s="16">
        <f>ROUND('General Plant'!G36,0)</f>
        <v>2429680</v>
      </c>
      <c r="J37" s="17"/>
      <c r="K37" s="16">
        <f>ROUND('Common Plant'!O39,0)</f>
        <v>9450583</v>
      </c>
      <c r="L37" s="17"/>
      <c r="M37" s="16">
        <f t="shared" si="2"/>
        <v>132793514.10999998</v>
      </c>
    </row>
    <row r="38" spans="1:13">
      <c r="A38" s="278" t="str">
        <f t="shared" si="1"/>
        <v>November</v>
      </c>
      <c r="C38" s="305">
        <v>66101238.069999993</v>
      </c>
      <c r="D38" s="51"/>
      <c r="E38" s="305">
        <v>3216461.2600000002</v>
      </c>
      <c r="F38" s="308"/>
      <c r="G38" s="305">
        <v>52743477.880000003</v>
      </c>
      <c r="H38" s="310"/>
      <c r="I38" s="16">
        <f>ROUND('General Plant'!G37,0)</f>
        <v>2571940</v>
      </c>
      <c r="J38" s="17"/>
      <c r="K38" s="16">
        <f>ROUND('Common Plant'!O40,0)</f>
        <v>9273178</v>
      </c>
      <c r="L38" s="17"/>
      <c r="M38" s="16">
        <f t="shared" si="2"/>
        <v>133906295.21000001</v>
      </c>
    </row>
    <row r="39" spans="1:13">
      <c r="A39" s="278" t="str">
        <f t="shared" si="1"/>
        <v>December</v>
      </c>
      <c r="C39" s="305">
        <v>66099923.630000003</v>
      </c>
      <c r="D39" s="51"/>
      <c r="E39" s="305">
        <v>5637084.5999999996</v>
      </c>
      <c r="F39" s="308"/>
      <c r="G39" s="305">
        <v>53726605.689999998</v>
      </c>
      <c r="H39" s="310"/>
      <c r="I39" s="16">
        <f>ROUND('General Plant'!G38,0)</f>
        <v>2813397</v>
      </c>
      <c r="J39" s="17"/>
      <c r="K39" s="16">
        <f>ROUND('Common Plant'!O41,0)</f>
        <v>10105359</v>
      </c>
      <c r="L39" s="17"/>
      <c r="M39" s="16">
        <f t="shared" si="2"/>
        <v>138382369.92000002</v>
      </c>
    </row>
    <row r="40" spans="1:13" ht="13.5" thickBot="1">
      <c r="A40" s="19" t="s">
        <v>22</v>
      </c>
      <c r="C40" s="358">
        <f>ROUND(AVERAGE(C27:C39),0)</f>
        <v>64992001</v>
      </c>
      <c r="D40" s="310"/>
      <c r="E40" s="358">
        <f>ROUND(AVERAGE(E27:E39),0)</f>
        <v>3402663</v>
      </c>
      <c r="F40" s="17"/>
      <c r="G40" s="358">
        <f>ROUND(AVERAGE(G27:G39),0)</f>
        <v>50662398</v>
      </c>
      <c r="H40" s="17"/>
      <c r="I40" s="20">
        <f>ROUND(AVERAGE(I27:I39),0)</f>
        <v>2499712</v>
      </c>
      <c r="J40" s="17"/>
      <c r="K40" s="20">
        <f>ROUND(AVERAGE(K27:K39),0)</f>
        <v>9511411</v>
      </c>
      <c r="L40" s="17"/>
      <c r="M40" s="20">
        <f>ROUND(AVERAGE(M27:M39),0)</f>
        <v>131068185</v>
      </c>
    </row>
    <row r="41" spans="1:13" ht="13.5" thickTop="1">
      <c r="A41" s="19"/>
    </row>
    <row r="42" spans="1:13">
      <c r="A42" s="19"/>
      <c r="K42" s="55" t="s">
        <v>75</v>
      </c>
    </row>
    <row r="43" spans="1:13">
      <c r="A43" s="9" t="s">
        <v>2</v>
      </c>
      <c r="C43" s="10"/>
      <c r="D43" s="10"/>
      <c r="E43" s="271"/>
      <c r="F43" s="10"/>
      <c r="G43" s="10"/>
      <c r="H43" s="10"/>
      <c r="I43" s="10" t="s">
        <v>3</v>
      </c>
      <c r="J43" s="10"/>
      <c r="K43" s="10" t="s">
        <v>4</v>
      </c>
      <c r="L43" s="10"/>
      <c r="M43" s="10"/>
    </row>
    <row r="44" spans="1:13">
      <c r="A44" s="11" t="s">
        <v>5</v>
      </c>
      <c r="C44" s="12" t="s">
        <v>6</v>
      </c>
      <c r="D44" s="10"/>
      <c r="E44" s="12" t="s">
        <v>7</v>
      </c>
      <c r="F44" s="10"/>
      <c r="G44" s="12" t="s">
        <v>8</v>
      </c>
      <c r="H44" s="10"/>
      <c r="I44" s="12" t="s">
        <v>9</v>
      </c>
      <c r="J44" s="10"/>
      <c r="K44" s="12" t="s">
        <v>9</v>
      </c>
      <c r="L44" s="10"/>
      <c r="M44" s="12" t="s">
        <v>10</v>
      </c>
    </row>
    <row r="45" spans="1:13" ht="15" customHeight="1">
      <c r="A45" s="278" t="str">
        <f>A27</f>
        <v>December 2015</v>
      </c>
      <c r="C45" s="48">
        <f>C9-ROUND(C27,0)</f>
        <v>918061975</v>
      </c>
      <c r="D45" s="49"/>
      <c r="E45" s="48">
        <f>E9-ROUND(E27,0)</f>
        <v>252625028.58000004</v>
      </c>
      <c r="F45" s="49"/>
      <c r="G45" s="48">
        <f>G9-ROUND(G27,0)</f>
        <v>325950820.50000012</v>
      </c>
      <c r="H45" s="15"/>
      <c r="I45" s="14">
        <f>ROUND(I9-I27,0)</f>
        <v>31233750</v>
      </c>
      <c r="J45" s="15"/>
      <c r="K45" s="14">
        <f>ROUND(K9-K27,0)</f>
        <v>123231132</v>
      </c>
      <c r="L45" s="15"/>
      <c r="M45" s="14">
        <f>ROUND(SUM(C45:L45),0)+1</f>
        <v>1651102707</v>
      </c>
    </row>
    <row r="46" spans="1:13">
      <c r="A46" s="278" t="str">
        <f t="shared" ref="A46:A57" si="3">A28</f>
        <v>January 2016</v>
      </c>
      <c r="C46" s="50">
        <f t="shared" ref="C46:C57" si="4">C10-ROUND(C28,0)</f>
        <v>921180842</v>
      </c>
      <c r="D46" s="51"/>
      <c r="E46" s="50">
        <f t="shared" ref="E46:E57" si="5">E10-ROUND(E28,0)</f>
        <v>254758303.01000005</v>
      </c>
      <c r="F46" s="51"/>
      <c r="G46" s="50">
        <f t="shared" ref="G46:G57" si="6">G10-ROUND(G28,0)</f>
        <v>326889125.06999999</v>
      </c>
      <c r="H46" s="17"/>
      <c r="I46" s="16">
        <f t="shared" ref="I46:I57" si="7">ROUND(I10-I28,0)</f>
        <v>31375399</v>
      </c>
      <c r="J46" s="17"/>
      <c r="K46" s="16">
        <f t="shared" ref="K46:K57" si="8">ROUND(K10-K28,0)</f>
        <v>124213272</v>
      </c>
      <c r="L46" s="17"/>
      <c r="M46" s="16">
        <f t="shared" ref="M46:M57" si="9">ROUND(SUM(C46:L46),0)</f>
        <v>1658416941</v>
      </c>
    </row>
    <row r="47" spans="1:13">
      <c r="A47" s="278" t="str">
        <f t="shared" si="3"/>
        <v>February</v>
      </c>
      <c r="C47" s="50">
        <f t="shared" si="4"/>
        <v>921417477</v>
      </c>
      <c r="D47" s="51"/>
      <c r="E47" s="50">
        <f t="shared" si="5"/>
        <v>255911417.19999999</v>
      </c>
      <c r="F47" s="51"/>
      <c r="G47" s="50">
        <f t="shared" si="6"/>
        <v>328037600.38000005</v>
      </c>
      <c r="H47" s="17"/>
      <c r="I47" s="16">
        <f t="shared" si="7"/>
        <v>31378133</v>
      </c>
      <c r="J47" s="17"/>
      <c r="K47" s="16">
        <f t="shared" si="8"/>
        <v>124261827</v>
      </c>
      <c r="L47" s="17"/>
      <c r="M47" s="16">
        <f t="shared" si="9"/>
        <v>1661006455</v>
      </c>
    </row>
    <row r="48" spans="1:13">
      <c r="A48" s="278" t="str">
        <f t="shared" si="3"/>
        <v>March</v>
      </c>
      <c r="C48" s="50">
        <f t="shared" si="4"/>
        <v>911979212</v>
      </c>
      <c r="D48" s="51"/>
      <c r="E48" s="50">
        <f t="shared" si="5"/>
        <v>258088230.65999994</v>
      </c>
      <c r="F48" s="51"/>
      <c r="G48" s="50">
        <f t="shared" si="6"/>
        <v>328450149.13999999</v>
      </c>
      <c r="H48" s="17"/>
      <c r="I48" s="16">
        <f t="shared" si="7"/>
        <v>31136757</v>
      </c>
      <c r="J48" s="17"/>
      <c r="K48" s="16">
        <f t="shared" si="8"/>
        <v>123568520</v>
      </c>
      <c r="L48" s="17"/>
      <c r="M48" s="16">
        <f t="shared" si="9"/>
        <v>1653222869</v>
      </c>
    </row>
    <row r="49" spans="1:13">
      <c r="A49" s="278" t="str">
        <f t="shared" si="3"/>
        <v>April</v>
      </c>
      <c r="C49" s="50">
        <f t="shared" si="4"/>
        <v>912582944</v>
      </c>
      <c r="D49" s="51"/>
      <c r="E49" s="50">
        <f t="shared" si="5"/>
        <v>266378222.41999996</v>
      </c>
      <c r="F49" s="51"/>
      <c r="G49" s="50">
        <f t="shared" si="6"/>
        <v>328840255.16000003</v>
      </c>
      <c r="H49" s="17"/>
      <c r="I49" s="16">
        <f t="shared" si="7"/>
        <v>31493790</v>
      </c>
      <c r="J49" s="17"/>
      <c r="K49" s="16">
        <f t="shared" si="8"/>
        <v>123322117</v>
      </c>
      <c r="L49" s="17"/>
      <c r="M49" s="16">
        <f t="shared" si="9"/>
        <v>1662617329</v>
      </c>
    </row>
    <row r="50" spans="1:13">
      <c r="A50" s="278" t="str">
        <f t="shared" si="3"/>
        <v>May</v>
      </c>
      <c r="C50" s="50">
        <f t="shared" si="4"/>
        <v>914373568</v>
      </c>
      <c r="D50" s="51"/>
      <c r="E50" s="50">
        <f t="shared" si="5"/>
        <v>266694462.86000001</v>
      </c>
      <c r="F50" s="51"/>
      <c r="G50" s="50">
        <f t="shared" si="6"/>
        <v>329992519.66999996</v>
      </c>
      <c r="H50" s="17"/>
      <c r="I50" s="16">
        <f t="shared" si="7"/>
        <v>30779446</v>
      </c>
      <c r="J50" s="17"/>
      <c r="K50" s="16">
        <f t="shared" si="8"/>
        <v>122749286</v>
      </c>
      <c r="L50" s="17"/>
      <c r="M50" s="16">
        <f t="shared" si="9"/>
        <v>1664589283</v>
      </c>
    </row>
    <row r="51" spans="1:13">
      <c r="A51" s="278" t="str">
        <f t="shared" si="3"/>
        <v>June</v>
      </c>
      <c r="C51" s="50">
        <f t="shared" si="4"/>
        <v>914862128</v>
      </c>
      <c r="D51" s="51"/>
      <c r="E51" s="50">
        <f t="shared" si="5"/>
        <v>267692446.78999996</v>
      </c>
      <c r="F51" s="51"/>
      <c r="G51" s="50">
        <f t="shared" si="6"/>
        <v>330668612.02999997</v>
      </c>
      <c r="H51" s="17"/>
      <c r="I51" s="16">
        <f t="shared" si="7"/>
        <v>30879247</v>
      </c>
      <c r="J51" s="17"/>
      <c r="K51" s="16">
        <f t="shared" si="8"/>
        <v>122210312</v>
      </c>
      <c r="L51" s="17"/>
      <c r="M51" s="16">
        <f t="shared" si="9"/>
        <v>1666312746</v>
      </c>
    </row>
    <row r="52" spans="1:13">
      <c r="A52" s="278" t="str">
        <f t="shared" si="3"/>
        <v>July</v>
      </c>
      <c r="C52" s="50">
        <f t="shared" si="4"/>
        <v>923231667</v>
      </c>
      <c r="D52" s="51"/>
      <c r="E52" s="50">
        <f t="shared" si="5"/>
        <v>268068915.19999993</v>
      </c>
      <c r="F52" s="51"/>
      <c r="G52" s="50">
        <f t="shared" si="6"/>
        <v>332096088.63999993</v>
      </c>
      <c r="H52" s="17"/>
      <c r="I52" s="16">
        <f t="shared" si="7"/>
        <v>28817932</v>
      </c>
      <c r="J52" s="17"/>
      <c r="K52" s="16">
        <f t="shared" si="8"/>
        <v>122128043</v>
      </c>
      <c r="L52" s="17"/>
      <c r="M52" s="16">
        <f t="shared" si="9"/>
        <v>1674342646</v>
      </c>
    </row>
    <row r="53" spans="1:13">
      <c r="A53" s="278" t="str">
        <f t="shared" si="3"/>
        <v>August</v>
      </c>
      <c r="C53" s="50">
        <f t="shared" si="4"/>
        <v>933511097</v>
      </c>
      <c r="D53" s="51"/>
      <c r="E53" s="50">
        <f t="shared" si="5"/>
        <v>268276094.04999995</v>
      </c>
      <c r="F53" s="51"/>
      <c r="G53" s="50">
        <f t="shared" si="6"/>
        <v>333551804.31</v>
      </c>
      <c r="H53" s="17"/>
      <c r="I53" s="16">
        <f t="shared" si="7"/>
        <v>28826104</v>
      </c>
      <c r="J53" s="17"/>
      <c r="K53" s="16">
        <f t="shared" si="8"/>
        <v>122050540</v>
      </c>
      <c r="L53" s="17"/>
      <c r="M53" s="16">
        <f t="shared" si="9"/>
        <v>1686215639</v>
      </c>
    </row>
    <row r="54" spans="1:13">
      <c r="A54" s="278" t="str">
        <f t="shared" si="3"/>
        <v>September</v>
      </c>
      <c r="C54" s="50">
        <f t="shared" si="4"/>
        <v>942342767</v>
      </c>
      <c r="D54" s="51"/>
      <c r="E54" s="50">
        <f t="shared" si="5"/>
        <v>268359749.13999993</v>
      </c>
      <c r="F54" s="51"/>
      <c r="G54" s="50">
        <f t="shared" si="6"/>
        <v>336060979.81</v>
      </c>
      <c r="H54" s="17"/>
      <c r="I54" s="16">
        <f t="shared" si="7"/>
        <v>28844794</v>
      </c>
      <c r="J54" s="17"/>
      <c r="K54" s="16">
        <f t="shared" si="8"/>
        <v>122155279</v>
      </c>
      <c r="L54" s="17"/>
      <c r="M54" s="16">
        <f t="shared" si="9"/>
        <v>1697763569</v>
      </c>
    </row>
    <row r="55" spans="1:13">
      <c r="A55" s="278" t="str">
        <f t="shared" si="3"/>
        <v>October</v>
      </c>
      <c r="C55" s="50">
        <f t="shared" si="4"/>
        <v>942374431</v>
      </c>
      <c r="D55" s="51"/>
      <c r="E55" s="50">
        <f t="shared" si="5"/>
        <v>268283772.17999995</v>
      </c>
      <c r="F55" s="51"/>
      <c r="G55" s="50">
        <f t="shared" si="6"/>
        <v>337356196.14999998</v>
      </c>
      <c r="H55" s="17"/>
      <c r="I55" s="16">
        <f t="shared" si="7"/>
        <v>28836129</v>
      </c>
      <c r="J55" s="17"/>
      <c r="K55" s="16">
        <f t="shared" si="8"/>
        <v>123296489</v>
      </c>
      <c r="L55" s="17"/>
      <c r="M55" s="16">
        <f t="shared" si="9"/>
        <v>1700147017</v>
      </c>
    </row>
    <row r="56" spans="1:13">
      <c r="A56" s="278" t="str">
        <f t="shared" si="3"/>
        <v>November</v>
      </c>
      <c r="C56" s="50">
        <f t="shared" si="4"/>
        <v>943255830</v>
      </c>
      <c r="D56" s="51"/>
      <c r="E56" s="50">
        <f t="shared" si="5"/>
        <v>268555972.98000002</v>
      </c>
      <c r="F56" s="51"/>
      <c r="G56" s="50">
        <f t="shared" si="6"/>
        <v>340131748.31999999</v>
      </c>
      <c r="H56" s="17"/>
      <c r="I56" s="16">
        <f t="shared" si="7"/>
        <v>29366803</v>
      </c>
      <c r="J56" s="17"/>
      <c r="K56" s="16">
        <f t="shared" si="8"/>
        <v>117146588</v>
      </c>
      <c r="L56" s="17"/>
      <c r="M56" s="16">
        <f t="shared" si="9"/>
        <v>1698456942</v>
      </c>
    </row>
    <row r="57" spans="1:13">
      <c r="A57" s="278" t="str">
        <f t="shared" si="3"/>
        <v>December</v>
      </c>
      <c r="C57" s="50">
        <f t="shared" si="4"/>
        <v>942642168</v>
      </c>
      <c r="D57" s="51"/>
      <c r="E57" s="50">
        <f t="shared" si="5"/>
        <v>278410003.70000005</v>
      </c>
      <c r="F57" s="51"/>
      <c r="G57" s="50">
        <f t="shared" si="6"/>
        <v>344615979.39999998</v>
      </c>
      <c r="H57" s="17"/>
      <c r="I57" s="16">
        <f t="shared" si="7"/>
        <v>30123726</v>
      </c>
      <c r="J57" s="17"/>
      <c r="K57" s="16">
        <f t="shared" si="8"/>
        <v>115827649</v>
      </c>
      <c r="L57" s="17"/>
      <c r="M57" s="16">
        <f t="shared" si="9"/>
        <v>1711619526</v>
      </c>
    </row>
    <row r="58" spans="1:13" ht="13.5" thickBot="1">
      <c r="A58" s="19" t="s">
        <v>22</v>
      </c>
      <c r="C58" s="20">
        <f>ROUND(AVERAGE(C45:C57),0)</f>
        <v>926293547</v>
      </c>
      <c r="D58" s="17"/>
      <c r="E58" s="20">
        <f>ROUND(AVERAGE(E45:E57),0)</f>
        <v>264777125</v>
      </c>
      <c r="F58" s="17"/>
      <c r="G58" s="20">
        <f>ROUND(AVERAGE(G45:G57),0)</f>
        <v>332510914</v>
      </c>
      <c r="H58" s="17"/>
      <c r="I58" s="20">
        <f>ROUND(AVERAGE(I45:I57),0)</f>
        <v>30237847</v>
      </c>
      <c r="J58" s="17"/>
      <c r="K58" s="20">
        <f>ROUND(AVERAGE(K45:K57),0)</f>
        <v>122012389</v>
      </c>
      <c r="L58" s="17"/>
      <c r="M58" s="20">
        <f>ROUND(AVERAGE(M45:M57),0)</f>
        <v>1675831821</v>
      </c>
    </row>
    <row r="59" spans="1:13" ht="13.5" thickTop="1"/>
    <row r="60" spans="1:13">
      <c r="A60" s="343" t="s">
        <v>397</v>
      </c>
    </row>
    <row r="61" spans="1:13">
      <c r="A61" s="304"/>
    </row>
    <row r="62" spans="1:13">
      <c r="A62" s="272"/>
    </row>
  </sheetData>
  <printOptions horizontalCentered="1"/>
  <pageMargins left="0.17" right="0.17" top="0.75" bottom="0.54" header="0.3" footer="0.17"/>
  <pageSetup scale="87" orientation="portrait" r:id="rId1"/>
  <headerFooter>
    <oddFooter>&amp;C&amp;F -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44</vt:i4>
      </vt:variant>
    </vt:vector>
  </HeadingPairs>
  <TitlesOfParts>
    <vt:vector size="78" baseType="lpstr">
      <vt:lpstr>Cover Page</vt:lpstr>
      <vt:lpstr>MDU Attachment O 2016 Actuals</vt:lpstr>
      <vt:lpstr>2016 True-Up</vt:lpstr>
      <vt:lpstr>Variances &gt; 20%</vt:lpstr>
      <vt:lpstr>ROE Accrual</vt:lpstr>
      <vt:lpstr>2014 TU </vt:lpstr>
      <vt:lpstr>12 Coincident Peaks</vt:lpstr>
      <vt:lpstr>Reconcile FF1 to Juris-Plt</vt:lpstr>
      <vt:lpstr>Plant in Service</vt:lpstr>
      <vt:lpstr>General Plant</vt:lpstr>
      <vt:lpstr>Reconcile FF1 to Comm Plt</vt:lpstr>
      <vt:lpstr>Common Plant</vt:lpstr>
      <vt:lpstr>Recon FF1 to Juris Acc Res</vt:lpstr>
      <vt:lpstr>Accumulated Reserve</vt:lpstr>
      <vt:lpstr>General Reserve</vt:lpstr>
      <vt:lpstr>Reconcile FF1 to Com Res</vt:lpstr>
      <vt:lpstr>Common Reserve</vt:lpstr>
      <vt:lpstr>CWIP 13 Month Balances</vt:lpstr>
      <vt:lpstr>Avg Adjustments to RB</vt:lpstr>
      <vt:lpstr>Adj to RB - Reconcile to F1</vt:lpstr>
      <vt:lpstr>Materials &amp; Supplies</vt:lpstr>
      <vt:lpstr>Prepayments</vt:lpstr>
      <vt:lpstr>Transmission O&amp;M</vt:lpstr>
      <vt:lpstr>A&amp;G</vt:lpstr>
      <vt:lpstr>Reg Com &amp; NonSafety Ad Exp</vt:lpstr>
      <vt:lpstr>Other O&amp;M Expenses</vt:lpstr>
      <vt:lpstr>Production Related Trans</vt:lpstr>
      <vt:lpstr>Wages &amp; Salary</vt:lpstr>
      <vt:lpstr>Common Plant Allocator</vt:lpstr>
      <vt:lpstr>Cap Structure 2016</vt:lpstr>
      <vt:lpstr>Acct 454</vt:lpstr>
      <vt:lpstr>Acct 456.1</vt:lpstr>
      <vt:lpstr>MISO Revenues - 456.1</vt:lpstr>
      <vt:lpstr>SIT Calculation</vt:lpstr>
      <vt:lpstr>'12 Coincident Peaks'!Print_Area</vt:lpstr>
      <vt:lpstr>'2014 TU '!Print_Area</vt:lpstr>
      <vt:lpstr>'2016 True-Up'!Print_Area</vt:lpstr>
      <vt:lpstr>'A&amp;G'!Print_Area</vt:lpstr>
      <vt:lpstr>'Acct 454'!Print_Area</vt:lpstr>
      <vt:lpstr>'Acct 456.1'!Print_Area</vt:lpstr>
      <vt:lpstr>'Accumulated Reserve'!Print_Area</vt:lpstr>
      <vt:lpstr>'Adj to RB - Reconcile to F1'!Print_Area</vt:lpstr>
      <vt:lpstr>'Avg Adjustments to RB'!Print_Area</vt:lpstr>
      <vt:lpstr>'Cap Structure 2016'!Print_Area</vt:lpstr>
      <vt:lpstr>'Common Plant'!Print_Area</vt:lpstr>
      <vt:lpstr>'Common Plant Allocator'!Print_Area</vt:lpstr>
      <vt:lpstr>'Common Reserve'!Print_Area</vt:lpstr>
      <vt:lpstr>'Cover Page'!Print_Area</vt:lpstr>
      <vt:lpstr>'CWIP 13 Month Balances'!Print_Area</vt:lpstr>
      <vt:lpstr>'General Plant'!Print_Area</vt:lpstr>
      <vt:lpstr>'General Reserve'!Print_Area</vt:lpstr>
      <vt:lpstr>'Materials &amp; Supplies'!Print_Area</vt:lpstr>
      <vt:lpstr>'MDU Attachment O 2016 Actuals'!Print_Area</vt:lpstr>
      <vt:lpstr>'MISO Revenues - 456.1'!Print_Area</vt:lpstr>
      <vt:lpstr>'Other O&amp;M Expenses'!Print_Area</vt:lpstr>
      <vt:lpstr>'Plant in Service'!Print_Area</vt:lpstr>
      <vt:lpstr>Prepayments!Print_Area</vt:lpstr>
      <vt:lpstr>'Production Related Trans'!Print_Area</vt:lpstr>
      <vt:lpstr>'Recon FF1 to Juris Acc Res'!Print_Area</vt:lpstr>
      <vt:lpstr>'Reconcile FF1 to Com Res'!Print_Area</vt:lpstr>
      <vt:lpstr>'Reconcile FF1 to Comm Plt'!Print_Area</vt:lpstr>
      <vt:lpstr>'Reconcile FF1 to Juris-Plt'!Print_Area</vt:lpstr>
      <vt:lpstr>'Reg Com &amp; NonSafety Ad Exp'!Print_Area</vt:lpstr>
      <vt:lpstr>'ROE Accrual'!Print_Area</vt:lpstr>
      <vt:lpstr>'SIT Calculation'!Print_Area</vt:lpstr>
      <vt:lpstr>'Transmission O&amp;M'!Print_Area</vt:lpstr>
      <vt:lpstr>'Variances &gt; 20%'!Print_Area</vt:lpstr>
      <vt:lpstr>'Wages &amp; Salary'!Print_Area</vt:lpstr>
      <vt:lpstr>'Accumulated Reserve'!Print_Titles</vt:lpstr>
      <vt:lpstr>'Common Plant'!Print_Titles</vt:lpstr>
      <vt:lpstr>'Common Reserve'!Print_Titles</vt:lpstr>
      <vt:lpstr>'General Plant'!Print_Titles</vt:lpstr>
      <vt:lpstr>'General Reserve'!Print_Titles</vt:lpstr>
      <vt:lpstr>'Plant in Service'!Print_Titles</vt:lpstr>
      <vt:lpstr>Prepayments!Print_Titles</vt:lpstr>
      <vt:lpstr>'Production Related Trans'!Print_Titles</vt:lpstr>
      <vt:lpstr>'Transmission O&amp;M'!Print_Titles</vt:lpstr>
      <vt:lpstr>Workpaper</vt:lpstr>
    </vt:vector>
  </TitlesOfParts>
  <Company>MDU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Bosch, Stephanie</dc:creator>
  <cp:lastModifiedBy>Bosch, Stephanie</cp:lastModifiedBy>
  <cp:lastPrinted>2017-05-31T21:54:05Z</cp:lastPrinted>
  <dcterms:created xsi:type="dcterms:W3CDTF">2015-02-23T17:00:24Z</dcterms:created>
  <dcterms:modified xsi:type="dcterms:W3CDTF">2017-05-31T21:55:47Z</dcterms:modified>
</cp:coreProperties>
</file>