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120" windowHeight="9120" tabRatio="944"/>
  </bookViews>
  <sheets>
    <sheet name="Balance sheet" sheetId="9" r:id="rId1"/>
    <sheet name="Income Statement" sheetId="4" r:id="rId2"/>
    <sheet name="Electric Plant" sheetId="8" r:id="rId3"/>
    <sheet name="Taxes" sheetId="7" r:id="rId4"/>
    <sheet name="Op &amp; Maint" sheetId="5" r:id="rId5"/>
    <sheet name="Notes" sheetId="3" r:id="rId6"/>
  </sheets>
  <definedNames>
    <definedName name="_xlnm.Print_Area" localSheetId="1">'Income Statement'!$A$1:$C$31</definedName>
  </definedNames>
  <calcPr calcId="145621"/>
</workbook>
</file>

<file path=xl/calcChain.xml><?xml version="1.0" encoding="utf-8"?>
<calcChain xmlns="http://schemas.openxmlformats.org/spreadsheetml/2006/main">
  <c r="E15" i="5" l="1"/>
  <c r="D15" i="5"/>
  <c r="C15" i="5"/>
  <c r="D10" i="5"/>
  <c r="C25" i="4"/>
  <c r="C13" i="4"/>
  <c r="F38" i="9"/>
  <c r="F24" i="9"/>
  <c r="F79" i="9"/>
  <c r="F78" i="9"/>
  <c r="F77" i="9"/>
  <c r="F22" i="9"/>
  <c r="F69" i="9"/>
  <c r="F68" i="9"/>
  <c r="F20" i="9"/>
  <c r="F76" i="9"/>
  <c r="C53" i="9"/>
  <c r="C100" i="9"/>
  <c r="C101" i="9"/>
  <c r="C50" i="9"/>
  <c r="C41" i="9"/>
  <c r="C94" i="9"/>
  <c r="C42" i="9"/>
  <c r="C36" i="9"/>
  <c r="C95" i="9"/>
  <c r="C35" i="9"/>
  <c r="C33" i="9"/>
  <c r="C15" i="9"/>
  <c r="C11" i="9"/>
  <c r="G30" i="8" l="1"/>
  <c r="C15" i="4" l="1"/>
  <c r="F28" i="9"/>
  <c r="C16" i="9"/>
  <c r="C22" i="9" s="1"/>
  <c r="C103" i="9"/>
  <c r="A4" i="5"/>
  <c r="A4" i="7"/>
  <c r="A4" i="8"/>
  <c r="A4" i="4"/>
  <c r="A1" i="5"/>
  <c r="A1" i="7"/>
  <c r="A1" i="8"/>
  <c r="A1" i="4"/>
  <c r="F54" i="9"/>
  <c r="C54" i="9"/>
  <c r="F45" i="9"/>
  <c r="F33" i="9"/>
  <c r="C30" i="9"/>
  <c r="F16" i="9"/>
  <c r="F103" i="9" l="1"/>
  <c r="F106" i="9" s="1"/>
  <c r="F56" i="9"/>
  <c r="C46" i="9"/>
  <c r="C56" i="9" s="1"/>
  <c r="C106" i="9" s="1"/>
  <c r="G24" i="8" l="1"/>
  <c r="G23" i="8"/>
  <c r="G22" i="8"/>
  <c r="F20" i="8"/>
  <c r="E20" i="8"/>
  <c r="E25" i="8" s="1"/>
  <c r="E28" i="8" s="1"/>
  <c r="C15" i="8"/>
  <c r="C20" i="8" s="1"/>
  <c r="C25" i="8" s="1"/>
  <c r="D19" i="5"/>
  <c r="D31" i="5"/>
  <c r="E19" i="5"/>
  <c r="E31" i="5" s="1"/>
  <c r="C19" i="5"/>
  <c r="F18" i="5"/>
  <c r="F16" i="5"/>
  <c r="F13" i="5"/>
  <c r="F11" i="5"/>
  <c r="G9" i="8"/>
  <c r="D15" i="8"/>
  <c r="D20" i="8" s="1"/>
  <c r="D25" i="8" s="1"/>
  <c r="D28" i="8" s="1"/>
  <c r="E15" i="8"/>
  <c r="F15" i="8"/>
  <c r="G27" i="8"/>
  <c r="G19" i="8"/>
  <c r="G17" i="8"/>
  <c r="G14" i="8"/>
  <c r="G13" i="8"/>
  <c r="G12" i="8"/>
  <c r="G11" i="8"/>
  <c r="G18" i="8"/>
  <c r="C27" i="4"/>
  <c r="C16" i="4"/>
  <c r="C18" i="4" s="1"/>
  <c r="C23" i="4" s="1"/>
  <c r="F29" i="5"/>
  <c r="F27" i="5"/>
  <c r="F28" i="5"/>
  <c r="F25" i="5"/>
  <c r="F23" i="5"/>
  <c r="F15" i="5"/>
  <c r="F10" i="5"/>
  <c r="F21" i="5"/>
  <c r="F25" i="8"/>
  <c r="F28" i="8"/>
  <c r="C28" i="4" l="1"/>
  <c r="C31" i="4" s="1"/>
  <c r="F19" i="5"/>
  <c r="F31" i="5" s="1"/>
  <c r="G15" i="8"/>
  <c r="G20" i="8"/>
  <c r="G25" i="8"/>
  <c r="C28" i="8"/>
  <c r="G28" i="8" s="1"/>
</calcChain>
</file>

<file path=xl/comments1.xml><?xml version="1.0" encoding="utf-8"?>
<comments xmlns="http://schemas.openxmlformats.org/spreadsheetml/2006/main">
  <authors>
    <author>Derik Godeaux</author>
    <author>dgodeaux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Electric Plant and Electric Plant Acquisition Adjustments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CWIP and CWIP-Accrued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Accumulated Provision for Electric Plant and Reserve for Amortization of Util Plant Acq.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 xml:space="preserve">Derik Godeaux:
</t>
        </r>
        <r>
          <rPr>
            <sz val="9"/>
            <color indexed="81"/>
            <rFont val="Tahoma"/>
            <family val="2"/>
          </rPr>
          <t>Includes Series 2004, 2010, and 2012 Revenue Bonds. The portion in Line No. 33 accounts for the electric portion only. Water and Sewer are accounted for below.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Long Term-Liabilities: Net Pension Liability and Deferred Inflows-Pension (elec portions only)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 xml:space="preserve">Derik Godeaux:
</t>
        </r>
        <r>
          <rPr>
            <sz val="9"/>
            <color indexed="81"/>
            <rFont val="Tahoma"/>
            <family val="2"/>
          </rPr>
          <t>Includes Unamortized Premium on 2004, 2010, and 2012 Revenue Bonds. The portion in Line No. 35 accounts for the electric portion only. Water and Sewer are accounted for below.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sections "Bond and Special Funds" and "Current Assets"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sections "Notes Receivable" and "Accounts Receivable". Under "Accounts Receivable," exclude Customer and Customers-October Acrrual (accounted for in line 15 of this statement). Also includes, under "Inventories," Interest Receivable-Sinking Funds &amp; Others (electric allocation only).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(under Accounts Receivable) Customers and Customers-October Accrual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Reserve for Uncollectible Accounts: Customers and Reserve for Uncollectible Accounts: Miscellaneous Accounts Receivable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A/P-O&amp;M Fund, A/P-Payrolls, and A/P-Miscellaneous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A/P-Purchased Power-LPPA and A/P Environmental Clean up "Grant St."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Under Inventories: Includes Electric, Reserves for Obsolete Materials, and Unamortized Premiums &amp; Discounts-Investments. The remainder of inventories is excluded below.
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C/L: A/P: Customer Deposits
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dgodeaux:</t>
        </r>
        <r>
          <rPr>
            <sz val="8"/>
            <color indexed="81"/>
            <rFont val="Tahoma"/>
            <family val="2"/>
          </rPr>
          <t xml:space="preserve">
Electric Exp. Allocation</t>
        </r>
      </text>
    </comment>
    <comment ref="C43" authorId="1">
      <text>
        <r>
          <rPr>
            <b/>
            <sz val="8"/>
            <color indexed="81"/>
            <rFont val="Tahoma"/>
            <family val="2"/>
          </rPr>
          <t>dgodeaux:</t>
        </r>
        <r>
          <rPr>
            <sz val="8"/>
            <color indexed="81"/>
            <rFont val="Tahoma"/>
            <family val="2"/>
          </rPr>
          <t xml:space="preserve">
Electric Exp. Allocation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 xml:space="preserve">Derik Godeaux:
</t>
        </r>
        <r>
          <rPr>
            <sz val="9"/>
            <color indexed="81"/>
            <rFont val="Tahoma"/>
            <family val="2"/>
          </rPr>
          <t>Under Deferred Debits: includes Unamortized Debt Discount &amp; Expense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 xml:space="preserve">Derik Godeaux:
</t>
        </r>
        <r>
          <rPr>
            <sz val="9"/>
            <color indexed="81"/>
            <rFont val="Tahoma"/>
            <family val="2"/>
          </rPr>
          <t>Under Deferred Debits: includes Hurricane Gustav, Hurricane Rita, and Hurricane Isaac.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Under Deferred Debits: includes LUS 2012 Ref Bond Issue Cost, Clearing Accounts, and Unamortized Loss on Refund 2012 Revenue Bonds. % allocation from 2012 issuance is applied to the two bond-related assets</t>
        </r>
      </text>
    </comment>
  </commentList>
</comments>
</file>

<file path=xl/comments2.xml><?xml version="1.0" encoding="utf-8"?>
<comments xmlns="http://schemas.openxmlformats.org/spreadsheetml/2006/main">
  <authors>
    <author>Derik Godeaux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 
Loss on Disposition of Property
Amortization of Utility Plant Acquisition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
Provision for In Lieu of Taxes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
Miscellaneous Non-Operating Expense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
Interest on Long Term Debt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
Amortization of Debt Discount &amp; Expense
Interest on Customer Deposits</t>
        </r>
      </text>
    </comment>
  </commentList>
</comments>
</file>

<file path=xl/sharedStrings.xml><?xml version="1.0" encoding="utf-8"?>
<sst xmlns="http://schemas.openxmlformats.org/spreadsheetml/2006/main" count="295" uniqueCount="248">
  <si>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</si>
  <si>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</si>
  <si>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</si>
  <si>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</si>
  <si>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</si>
  <si>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</si>
  <si>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</si>
  <si>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</si>
  <si>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</si>
  <si>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</si>
  <si>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</si>
  <si>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</si>
  <si>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</si>
  <si>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</si>
  <si>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</si>
  <si>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</si>
  <si>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</si>
  <si>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</si>
  <si>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</si>
  <si>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</si>
  <si>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</si>
  <si>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</si>
  <si>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</si>
  <si>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</si>
  <si>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</si>
  <si>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</si>
  <si>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</si>
  <si>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</si>
  <si>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</si>
  <si>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</si>
  <si>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</si>
  <si>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</si>
  <si>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</si>
  <si>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</si>
  <si>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</si>
  <si>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</si>
  <si>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</si>
  <si>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</si>
  <si>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</si>
  <si>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</si>
  <si>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</si>
  <si>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</si>
  <si>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</si>
  <si>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</si>
  <si>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</si>
  <si>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</si>
  <si>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</si>
  <si>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</si>
  <si>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</si>
  <si>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</si>
  <si>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</si>
  <si>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</si>
  <si>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</si>
  <si>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</si>
  <si>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</si>
  <si>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</si>
  <si>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</si>
  <si>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</si>
  <si>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</si>
  <si>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</si>
  <si>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</si>
  <si>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</si>
  <si>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</si>
  <si>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</si>
  <si>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</si>
  <si>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</si>
  <si>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</si>
  <si>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</si>
  <si>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</si>
  <si>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</si>
  <si>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</si>
  <si>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</si>
  <si>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</si>
  <si>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</si>
  <si>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</si>
  <si>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</si>
  <si>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</si>
  <si>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</si>
  <si>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</si>
  <si>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</si>
  <si>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</si>
  <si>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</si>
  <si>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</si>
  <si>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</si>
  <si>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</si>
  <si>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</si>
  <si>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</si>
  <si>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</si>
  <si>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</si>
  <si>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</si>
  <si>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</si>
  <si>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</si>
  <si>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</si>
  <si>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</si>
  <si>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</si>
  <si>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</si>
  <si>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</si>
  <si>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</si>
  <si>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</si>
  <si>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</si>
  <si>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</si>
  <si>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</si>
  <si>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</si>
  <si>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</si>
  <si>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</si>
  <si>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</si>
  <si>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</si>
  <si>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</si>
  <si>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</si>
  <si>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</si>
  <si>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</si>
  <si>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</si>
  <si>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</si>
  <si>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</si>
  <si>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</si>
  <si>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</si>
  <si>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</si>
  <si>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</si>
  <si>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</si>
  <si>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</si>
  <si>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</si>
  <si>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</si>
  <si>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</si>
  <si>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</si>
  <si>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</si>
  <si>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</si>
  <si>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</si>
  <si>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</si>
  <si>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</si>
  <si>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</si>
  <si>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</si>
  <si>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</si>
  <si>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</si>
  <si>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</si>
  <si>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</si>
  <si>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</si>
  <si>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</si>
  <si>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</si>
  <si>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</si>
  <si>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</si>
  <si>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</si>
  <si>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</si>
  <si>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</si>
  <si>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</si>
  <si>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</si>
  <si>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</si>
  <si>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</si>
  <si>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</si>
  <si>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</si>
  <si>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</si>
  <si>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</si>
  <si>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</si>
  <si>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</si>
  <si>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</si>
  <si>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</si>
  <si>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</si>
  <si>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</si>
  <si>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</si>
  <si>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</si>
  <si>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</si>
  <si>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</si>
  <si>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</si>
  <si>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</si>
  <si>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</si>
  <si>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</si>
  <si>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</si>
  <si>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</si>
  <si>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</si>
  <si>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</si>
  <si>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</si>
  <si>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</si>
  <si>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</si>
  <si>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</si>
  <si>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</si>
  <si>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</si>
  <si>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</si>
  <si>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</si>
  <si>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</si>
  <si>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</si>
  <si>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</si>
  <si>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</si>
  <si>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</si>
  <si>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</si>
  <si>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Non-Electric Assets and Other Debits Excluded</t>
  </si>
  <si>
    <t>Non-Electric Liabilities and Other Credits Excluded</t>
  </si>
  <si>
    <t>Utilitiy Plant</t>
  </si>
  <si>
    <t>Investment of Municipality</t>
  </si>
  <si>
    <t>Electric</t>
  </si>
  <si>
    <t>Water Plant</t>
  </si>
  <si>
    <t>Contribution in Aid of Construction</t>
  </si>
  <si>
    <t>Water</t>
  </si>
  <si>
    <t>Water Plant Construction Work in Progress</t>
  </si>
  <si>
    <t>N/A</t>
  </si>
  <si>
    <t>Sewer</t>
  </si>
  <si>
    <t>Water Plant Retirements</t>
  </si>
  <si>
    <t>Sewer Plant</t>
  </si>
  <si>
    <t>Long-Term Debt</t>
  </si>
  <si>
    <t>Sewer Plant Construction Work in Progress</t>
  </si>
  <si>
    <t>Series 1996*</t>
  </si>
  <si>
    <t>0% Electric, 100% Water/Sewer</t>
  </si>
  <si>
    <t>Sewer Plant Retirements</t>
  </si>
  <si>
    <t>Series 2004 Revenue*</t>
  </si>
  <si>
    <t>89% Electric, 11% Water/Sewer</t>
  </si>
  <si>
    <t>Fiber Plant</t>
  </si>
  <si>
    <t>Series 2010 Revenue*</t>
  </si>
  <si>
    <t>63% Electric, 37% Water/Sewer</t>
  </si>
  <si>
    <t>Fiber Plant Construction Work in Progress</t>
  </si>
  <si>
    <t>Series 2012 Revenue*</t>
  </si>
  <si>
    <t>Fiber Plant Retirements</t>
  </si>
  <si>
    <t>Accumulated Prov. F/Depr of Water Plant…</t>
  </si>
  <si>
    <t>Current Liabilities</t>
  </si>
  <si>
    <t>Accumulated Prov. F/Depr of Sewer Plant…</t>
  </si>
  <si>
    <t>Accounts Payable - Water District North</t>
  </si>
  <si>
    <t>Accumulated Prov. F/Depr of Fiber Plant…</t>
  </si>
  <si>
    <t>Long-Term Liabilities</t>
  </si>
  <si>
    <t>Bonds and Special Funds</t>
  </si>
  <si>
    <t>Unamortized Premium on 2004 Revenue Bonds*</t>
  </si>
  <si>
    <t>Unamortized Premium on 2010 Revenue Bonds*</t>
  </si>
  <si>
    <t>Unamortized Premium on 2012 Revenue Bonds*</t>
  </si>
  <si>
    <t>Current Assets</t>
  </si>
  <si>
    <t>Retained Earnings**</t>
  </si>
  <si>
    <t>Water/Sewer</t>
  </si>
  <si>
    <t>Accounts Receivable</t>
  </si>
  <si>
    <t>Notes Receivable</t>
  </si>
  <si>
    <t>Inventories</t>
  </si>
  <si>
    <t>Telecom</t>
  </si>
  <si>
    <t>***Others</t>
  </si>
  <si>
    <t>Denotes Water/Sewer Portion</t>
  </si>
  <si>
    <t>Interest Receivable-Sinking Funds &amp; Others</t>
  </si>
  <si>
    <t>***Prepaid Expenses</t>
  </si>
  <si>
    <t>Deferred Debits</t>
  </si>
  <si>
    <t>LUS 2012 Ref Bond Issue Cost</t>
  </si>
  <si>
    <t>Unamortized Loss on Refund 2012 Rev Bonds</t>
  </si>
  <si>
    <t>Statement Reconciliation - Electric + Non-Electric</t>
  </si>
  <si>
    <t xml:space="preserve">     Totals Less Total Assets on Balance Sheet:</t>
  </si>
  <si>
    <t xml:space="preserve">     Totals Less Total Liab. on Balance Sheet:</t>
  </si>
  <si>
    <t>*Partial. For supporting informatin on bond allocations, see the attachment "Debt Service Schedule-1996, 2004, 2010"</t>
  </si>
  <si>
    <t>***These accounts deducted from inventory totals as noted because the LUS expense allocation is being applied in Schedule 2.</t>
  </si>
  <si>
    <t>LUS Expense Allocation FYE 10/31/15</t>
  </si>
  <si>
    <t>Lafayette Utilities System (LAFA)</t>
  </si>
  <si>
    <t>Customer Accounts Receivable (142)</t>
  </si>
  <si>
    <t>`</t>
  </si>
  <si>
    <t>For the 12 months ended 10/31/2015</t>
  </si>
  <si>
    <t>Figure represents electric portion of Provision for in lieu of tax payment (found on Income Statement)</t>
  </si>
  <si>
    <t>CWIP-Accrued</t>
  </si>
  <si>
    <t>Deferred Outflows-Pension</t>
  </si>
  <si>
    <t>Net Pension Liabilities</t>
  </si>
  <si>
    <t>Deferred Inflows-Pension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</si>
</sst>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_);\(#,##0.0\)"/>
    <numFmt numFmtId="167" formatCode="#,##0.00000_);\(#,##0.00000\)"/>
  </numFmts>
  <fonts count="18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7" fillId="0" borderId="0">
      <alignment vertical="top"/>
    </xf>
  </cellStyleXfs>
  <cellXfs count="19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37" fontId="0" fillId="0" borderId="0" xfId="0" applyNumberFormat="1"/>
    <xf numFmtId="0" fontId="4" fillId="0" borderId="0" xfId="0" applyFont="1" applyAlignment="1">
      <alignment horizontal="center"/>
    </xf>
    <xf numFmtId="0" fontId="3" fillId="0" borderId="5" xfId="0" applyFont="1" applyBorder="1"/>
    <xf numFmtId="43" fontId="0" fillId="0" borderId="6" xfId="1" applyFont="1" applyBorder="1"/>
    <xf numFmtId="37" fontId="0" fillId="0" borderId="3" xfId="1" applyNumberFormat="1" applyFont="1" applyBorder="1"/>
    <xf numFmtId="37" fontId="0" fillId="0" borderId="0" xfId="1" applyNumberFormat="1" applyFont="1" applyBorder="1"/>
    <xf numFmtId="43" fontId="0" fillId="0" borderId="0" xfId="1" applyFont="1" applyBorder="1"/>
    <xf numFmtId="37" fontId="0" fillId="0" borderId="0" xfId="0" applyNumberFormat="1" applyBorder="1"/>
    <xf numFmtId="0" fontId="0" fillId="0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14" fontId="4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37" fontId="0" fillId="0" borderId="1" xfId="0" applyNumberFormat="1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37" fontId="0" fillId="0" borderId="7" xfId="0" applyNumberFormat="1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37" fontId="0" fillId="0" borderId="6" xfId="0" applyNumberFormat="1" applyBorder="1"/>
    <xf numFmtId="0" fontId="0" fillId="0" borderId="13" xfId="0" applyBorder="1"/>
    <xf numFmtId="0" fontId="3" fillId="0" borderId="13" xfId="0" applyFont="1" applyBorder="1"/>
    <xf numFmtId="0" fontId="7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5" xfId="0" applyFont="1" applyBorder="1"/>
    <xf numFmtId="164" fontId="8" fillId="0" borderId="4" xfId="1" applyNumberFormat="1" applyFont="1" applyBorder="1"/>
    <xf numFmtId="164" fontId="0" fillId="0" borderId="3" xfId="1" applyNumberFormat="1" applyFont="1" applyBorder="1"/>
    <xf numFmtId="164" fontId="3" fillId="0" borderId="16" xfId="1" applyNumberFormat="1" applyFont="1" applyBorder="1"/>
    <xf numFmtId="164" fontId="8" fillId="0" borderId="5" xfId="1" applyNumberFormat="1" applyFont="1" applyBorder="1"/>
    <xf numFmtId="164" fontId="8" fillId="0" borderId="3" xfId="1" applyNumberFormat="1" applyFont="1" applyBorder="1"/>
    <xf numFmtId="164" fontId="3" fillId="0" borderId="3" xfId="1" applyNumberFormat="1" applyFont="1" applyBorder="1"/>
    <xf numFmtId="165" fontId="8" fillId="0" borderId="4" xfId="2" applyNumberFormat="1" applyFont="1" applyBorder="1"/>
    <xf numFmtId="165" fontId="9" fillId="0" borderId="8" xfId="2" applyNumberFormat="1" applyFont="1" applyBorder="1"/>
    <xf numFmtId="164" fontId="9" fillId="0" borderId="8" xfId="1" applyNumberFormat="1" applyFont="1" applyBorder="1"/>
    <xf numFmtId="164" fontId="9" fillId="0" borderId="11" xfId="1" applyNumberFormat="1" applyFont="1" applyBorder="1"/>
    <xf numFmtId="164" fontId="9" fillId="0" borderId="7" xfId="1" applyNumberFormat="1" applyFont="1" applyBorder="1"/>
    <xf numFmtId="164" fontId="3" fillId="0" borderId="23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5" fontId="3" fillId="0" borderId="24" xfId="2" applyNumberFormat="1" applyFont="1" applyBorder="1"/>
    <xf numFmtId="165" fontId="0" fillId="0" borderId="5" xfId="2" applyNumberFormat="1" applyFont="1" applyBorder="1"/>
    <xf numFmtId="165" fontId="3" fillId="0" borderId="5" xfId="2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5" fontId="3" fillId="0" borderId="4" xfId="2" applyNumberFormat="1" applyFont="1" applyBorder="1"/>
    <xf numFmtId="165" fontId="3" fillId="0" borderId="25" xfId="2" applyNumberFormat="1" applyFont="1" applyBorder="1"/>
    <xf numFmtId="165" fontId="3" fillId="0" borderId="14" xfId="2" applyNumberFormat="1" applyFont="1" applyBorder="1"/>
    <xf numFmtId="37" fontId="3" fillId="0" borderId="4" xfId="0" applyNumberFormat="1" applyFont="1" applyBorder="1"/>
    <xf numFmtId="0" fontId="0" fillId="0" borderId="12" xfId="0" applyBorder="1"/>
    <xf numFmtId="165" fontId="3" fillId="0" borderId="13" xfId="2" applyNumberFormat="1" applyFont="1" applyBorder="1"/>
    <xf numFmtId="165" fontId="3" fillId="0" borderId="23" xfId="2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8" fillId="0" borderId="7" xfId="1" applyNumberFormat="1" applyFont="1" applyBorder="1"/>
    <xf numFmtId="164" fontId="8" fillId="0" borderId="8" xfId="1" applyNumberFormat="1" applyFont="1" applyBorder="1"/>
    <xf numFmtId="164" fontId="9" fillId="0" borderId="5" xfId="1" applyNumberFormat="1" applyFont="1" applyBorder="1"/>
    <xf numFmtId="164" fontId="9" fillId="0" borderId="6" xfId="1" applyNumberFormat="1" applyFont="1" applyBorder="1"/>
    <xf numFmtId="165" fontId="8" fillId="0" borderId="5" xfId="2" applyNumberFormat="1" applyFont="1" applyBorder="1"/>
    <xf numFmtId="165" fontId="8" fillId="0" borderId="8" xfId="2" applyNumberFormat="1" applyFont="1" applyBorder="1"/>
    <xf numFmtId="164" fontId="8" fillId="0" borderId="11" xfId="1" applyNumberFormat="1" applyFont="1" applyBorder="1"/>
    <xf numFmtId="37" fontId="8" fillId="0" borderId="7" xfId="0" applyNumberFormat="1" applyFont="1" applyBorder="1"/>
    <xf numFmtId="164" fontId="8" fillId="0" borderId="11" xfId="1" applyNumberFormat="1" applyFont="1" applyBorder="1" applyAlignment="1">
      <alignment horizontal="right"/>
    </xf>
    <xf numFmtId="165" fontId="2" fillId="0" borderId="8" xfId="2" applyNumberFormat="1" applyFont="1" applyBorder="1"/>
    <xf numFmtId="164" fontId="2" fillId="0" borderId="8" xfId="1" applyNumberFormat="1" applyFont="1" applyBorder="1"/>
    <xf numFmtId="164" fontId="2" fillId="0" borderId="7" xfId="1" applyNumberFormat="1" applyFont="1" applyBorder="1"/>
    <xf numFmtId="164" fontId="2" fillId="0" borderId="11" xfId="1" applyNumberFormat="1" applyFont="1" applyBorder="1"/>
    <xf numFmtId="164" fontId="8" fillId="0" borderId="8" xfId="1" applyNumberFormat="1" applyFont="1" applyBorder="1" applyAlignment="1">
      <alignment horizontal="right"/>
    </xf>
    <xf numFmtId="164" fontId="8" fillId="0" borderId="7" xfId="1" applyNumberFormat="1" applyFont="1" applyBorder="1" applyAlignment="1">
      <alignment horizontal="right"/>
    </xf>
    <xf numFmtId="37" fontId="8" fillId="0" borderId="7" xfId="0" applyNumberFormat="1" applyFont="1" applyBorder="1" applyAlignment="1">
      <alignment horizontal="right"/>
    </xf>
    <xf numFmtId="0" fontId="2" fillId="0" borderId="0" xfId="3" applyBorder="1"/>
    <xf numFmtId="0" fontId="2" fillId="0" borderId="0" xfId="3"/>
    <xf numFmtId="37" fontId="2" fillId="0" borderId="0" xfId="3" applyNumberFormat="1" applyBorder="1"/>
    <xf numFmtId="0" fontId="3" fillId="0" borderId="0" xfId="3" applyFont="1" applyBorder="1"/>
    <xf numFmtId="37" fontId="2" fillId="0" borderId="0" xfId="3" applyNumberFormat="1" applyFill="1" applyBorder="1"/>
    <xf numFmtId="0" fontId="2" fillId="0" borderId="0" xfId="3" applyFont="1" applyAlignment="1">
      <alignment horizontal="right"/>
    </xf>
    <xf numFmtId="9" fontId="2" fillId="0" borderId="0" xfId="3" applyNumberFormat="1"/>
    <xf numFmtId="0" fontId="2" fillId="0" borderId="0" xfId="3" applyFont="1" applyBorder="1"/>
    <xf numFmtId="0" fontId="2" fillId="0" borderId="0" xfId="3" applyFont="1" applyFill="1" applyBorder="1"/>
    <xf numFmtId="0" fontId="10" fillId="0" borderId="0" xfId="3" applyFont="1"/>
    <xf numFmtId="164" fontId="2" fillId="0" borderId="0" xfId="3" applyNumberFormat="1"/>
    <xf numFmtId="0" fontId="11" fillId="0" borderId="0" xfId="3" applyFont="1"/>
    <xf numFmtId="37" fontId="2" fillId="0" borderId="0" xfId="3" applyNumberFormat="1"/>
    <xf numFmtId="0" fontId="3" fillId="0" borderId="0" xfId="3" applyFont="1"/>
    <xf numFmtId="0" fontId="2" fillId="0" borderId="0" xfId="3" applyFont="1"/>
    <xf numFmtId="4" fontId="2" fillId="0" borderId="0" xfId="3" applyNumberFormat="1"/>
    <xf numFmtId="166" fontId="2" fillId="0" borderId="0" xfId="3" applyNumberFormat="1" applyBorder="1"/>
    <xf numFmtId="0" fontId="3" fillId="0" borderId="0" xfId="3" applyFont="1" applyAlignment="1">
      <alignment horizontal="right"/>
    </xf>
    <xf numFmtId="37" fontId="2" fillId="2" borderId="0" xfId="3" applyNumberFormat="1" applyFill="1"/>
    <xf numFmtId="0" fontId="2" fillId="0" borderId="0" xfId="3" applyAlignment="1">
      <alignment horizontal="right"/>
    </xf>
    <xf numFmtId="165" fontId="2" fillId="0" borderId="0" xfId="3" applyNumberFormat="1"/>
    <xf numFmtId="0" fontId="2" fillId="0" borderId="6" xfId="3" applyBorder="1" applyAlignment="1">
      <alignment horizontal="center"/>
    </xf>
    <xf numFmtId="0" fontId="2" fillId="0" borderId="7" xfId="3" applyBorder="1"/>
    <xf numFmtId="0" fontId="2" fillId="0" borderId="7" xfId="3" applyBorder="1" applyAlignment="1">
      <alignment horizontal="center"/>
    </xf>
    <xf numFmtId="0" fontId="2" fillId="0" borderId="4" xfId="3" applyBorder="1" applyAlignment="1">
      <alignment horizontal="center"/>
    </xf>
    <xf numFmtId="0" fontId="2" fillId="0" borderId="8" xfId="3" applyBorder="1" applyAlignment="1">
      <alignment horizontal="center"/>
    </xf>
    <xf numFmtId="0" fontId="2" fillId="0" borderId="3" xfId="3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2" fillId="0" borderId="3" xfId="3" applyBorder="1"/>
    <xf numFmtId="0" fontId="2" fillId="0" borderId="4" xfId="3" applyBorder="1" applyAlignment="1">
      <alignment horizontal="left" indent="1"/>
    </xf>
    <xf numFmtId="165" fontId="8" fillId="0" borderId="4" xfId="2" applyNumberFormat="1" applyFont="1" applyFill="1" applyBorder="1"/>
    <xf numFmtId="0" fontId="2" fillId="0" borderId="4" xfId="3" applyBorder="1"/>
    <xf numFmtId="0" fontId="2" fillId="0" borderId="5" xfId="3" applyBorder="1" applyAlignment="1">
      <alignment horizontal="center"/>
    </xf>
    <xf numFmtId="0" fontId="2" fillId="0" borderId="5" xfId="3" applyBorder="1"/>
    <xf numFmtId="164" fontId="8" fillId="0" borderId="4" xfId="1" applyNumberFormat="1" applyFont="1" applyFill="1" applyBorder="1"/>
    <xf numFmtId="0" fontId="2" fillId="0" borderId="5" xfId="3" applyFill="1" applyBorder="1"/>
    <xf numFmtId="37" fontId="0" fillId="0" borderId="3" xfId="1" applyNumberFormat="1" applyFont="1" applyFill="1" applyBorder="1"/>
    <xf numFmtId="0" fontId="2" fillId="0" borderId="3" xfId="3" applyBorder="1" applyAlignment="1">
      <alignment horizontal="left" indent="1"/>
    </xf>
    <xf numFmtId="43" fontId="2" fillId="0" borderId="0" xfId="3" applyNumberFormat="1"/>
    <xf numFmtId="0" fontId="3" fillId="0" borderId="18" xfId="3" applyFont="1" applyFill="1" applyBorder="1"/>
    <xf numFmtId="37" fontId="3" fillId="0" borderId="16" xfId="1" applyNumberFormat="1" applyFont="1" applyFill="1" applyBorder="1"/>
    <xf numFmtId="0" fontId="2" fillId="0" borderId="11" xfId="3" applyFill="1" applyBorder="1" applyAlignment="1">
      <alignment horizontal="center"/>
    </xf>
    <xf numFmtId="0" fontId="3" fillId="0" borderId="15" xfId="3" applyFont="1" applyFill="1" applyBorder="1"/>
    <xf numFmtId="0" fontId="2" fillId="0" borderId="6" xfId="3" applyFill="1" applyBorder="1" applyAlignment="1">
      <alignment horizontal="center"/>
    </xf>
    <xf numFmtId="0" fontId="2" fillId="0" borderId="3" xfId="3" applyFill="1" applyBorder="1"/>
    <xf numFmtId="0" fontId="3" fillId="0" borderId="3" xfId="3" applyFont="1" applyFill="1" applyBorder="1" applyAlignment="1">
      <alignment horizontal="center"/>
    </xf>
    <xf numFmtId="0" fontId="2" fillId="0" borderId="3" xfId="3" applyFill="1" applyBorder="1" applyAlignment="1">
      <alignment horizontal="center"/>
    </xf>
    <xf numFmtId="0" fontId="2" fillId="0" borderId="17" xfId="3" applyBorder="1"/>
    <xf numFmtId="0" fontId="2" fillId="0" borderId="0" xfId="3" applyFont="1" applyFill="1"/>
    <xf numFmtId="0" fontId="2" fillId="0" borderId="19" xfId="3" applyBorder="1" applyAlignment="1">
      <alignment horizontal="center"/>
    </xf>
    <xf numFmtId="0" fontId="3" fillId="0" borderId="6" xfId="3" applyFont="1" applyBorder="1"/>
    <xf numFmtId="37" fontId="3" fillId="0" borderId="6" xfId="1" applyNumberFormat="1" applyFont="1" applyFill="1" applyBorder="1"/>
    <xf numFmtId="0" fontId="2" fillId="0" borderId="3" xfId="3" applyFont="1" applyFill="1" applyBorder="1"/>
    <xf numFmtId="0" fontId="3" fillId="0" borderId="20" xfId="3" applyFont="1" applyBorder="1"/>
    <xf numFmtId="0" fontId="2" fillId="0" borderId="0" xfId="3" applyFill="1"/>
    <xf numFmtId="0" fontId="3" fillId="0" borderId="3" xfId="3" applyFont="1" applyBorder="1" applyAlignment="1">
      <alignment horizontal="center"/>
    </xf>
    <xf numFmtId="0" fontId="2" fillId="0" borderId="4" xfId="3" applyFill="1" applyBorder="1" applyAlignment="1">
      <alignment horizontal="left" indent="1"/>
    </xf>
    <xf numFmtId="164" fontId="0" fillId="0" borderId="3" xfId="1" applyNumberFormat="1" applyFont="1" applyFill="1" applyBorder="1"/>
    <xf numFmtId="0" fontId="3" fillId="0" borderId="2" xfId="3" applyFont="1" applyFill="1" applyBorder="1"/>
    <xf numFmtId="164" fontId="8" fillId="0" borderId="6" xfId="1" applyNumberFormat="1" applyFont="1" applyFill="1" applyBorder="1"/>
    <xf numFmtId="0" fontId="3" fillId="0" borderId="15" xfId="3" applyFont="1" applyBorder="1"/>
    <xf numFmtId="164" fontId="3" fillId="0" borderId="16" xfId="1" applyNumberFormat="1" applyFont="1" applyFill="1" applyBorder="1"/>
    <xf numFmtId="0" fontId="3" fillId="0" borderId="4" xfId="3" applyFont="1" applyBorder="1" applyAlignment="1">
      <alignment horizontal="center"/>
    </xf>
    <xf numFmtId="0" fontId="3" fillId="0" borderId="2" xfId="3" applyFont="1" applyBorder="1"/>
    <xf numFmtId="164" fontId="8" fillId="0" borderId="5" xfId="1" applyNumberFormat="1" applyFont="1" applyFill="1" applyBorder="1"/>
    <xf numFmtId="0" fontId="2" fillId="0" borderId="5" xfId="3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0" fontId="2" fillId="0" borderId="4" xfId="3" quotePrefix="1" applyBorder="1" applyAlignment="1">
      <alignment horizontal="left" indent="1"/>
    </xf>
    <xf numFmtId="164" fontId="8" fillId="0" borderId="3" xfId="1" applyNumberFormat="1" applyFont="1" applyFill="1" applyBorder="1"/>
    <xf numFmtId="0" fontId="3" fillId="0" borderId="3" xfId="3" applyFont="1" applyBorder="1"/>
    <xf numFmtId="0" fontId="2" fillId="0" borderId="9" xfId="3" applyBorder="1" applyAlignment="1">
      <alignment horizontal="center"/>
    </xf>
    <xf numFmtId="0" fontId="3" fillId="0" borderId="21" xfId="3" applyFont="1" applyBorder="1"/>
    <xf numFmtId="165" fontId="3" fillId="2" borderId="16" xfId="2" applyNumberFormat="1" applyFont="1" applyFill="1" applyBorder="1"/>
    <xf numFmtId="0" fontId="2" fillId="0" borderId="22" xfId="3" applyBorder="1" applyAlignment="1">
      <alignment horizontal="center"/>
    </xf>
    <xf numFmtId="167" fontId="2" fillId="0" borderId="0" xfId="3" applyNumberFormat="1"/>
    <xf numFmtId="39" fontId="2" fillId="0" borderId="0" xfId="3" applyNumberFormat="1"/>
    <xf numFmtId="164" fontId="0" fillId="0" borderId="4" xfId="1" applyNumberFormat="1" applyFont="1" applyFill="1" applyBorder="1"/>
    <xf numFmtId="165" fontId="2" fillId="0" borderId="16" xfId="3" applyNumberFormat="1" applyBorder="1"/>
    <xf numFmtId="0" fontId="11" fillId="0" borderId="0" xfId="0" applyFont="1"/>
    <xf numFmtId="164" fontId="0" fillId="0" borderId="0" xfId="1" applyNumberFormat="1" applyFont="1"/>
    <xf numFmtId="37" fontId="8" fillId="0" borderId="10" xfId="0" applyNumberFormat="1" applyFont="1" applyFill="1" applyBorder="1"/>
    <xf numFmtId="37" fontId="8" fillId="0" borderId="8" xfId="0" applyNumberFormat="1" applyFont="1" applyFill="1" applyBorder="1"/>
    <xf numFmtId="37" fontId="0" fillId="2" borderId="0" xfId="0" applyNumberFormat="1" applyFill="1"/>
    <xf numFmtId="0" fontId="2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14" fontId="6" fillId="0" borderId="0" xfId="3" applyNumberFormat="1" applyFont="1" applyAlignment="1">
      <alignment horizontal="center"/>
    </xf>
    <xf numFmtId="0" fontId="5" fillId="0" borderId="1" xfId="3" applyFont="1" applyBorder="1" applyAlignment="1">
      <alignment horizontal="center"/>
    </xf>
    <xf numFmtId="0" fontId="2" fillId="0" borderId="1" xfId="3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3" borderId="0" xfId="3" applyFont="1" applyFill="1"/>
    <xf numFmtId="37" fontId="2" fillId="3" borderId="0" xfId="3" applyNumberFormat="1" applyFont="1" applyFill="1" applyBorder="1"/>
    <xf numFmtId="37" fontId="2" fillId="3" borderId="0" xfId="3" applyNumberFormat="1" applyFill="1" applyBorder="1"/>
    <xf numFmtId="164" fontId="0" fillId="0" borderId="0" xfId="0" applyNumberFormat="1"/>
    <xf numFmtId="165" fontId="0" fillId="0" borderId="0" xfId="0" applyNumberFormat="1"/>
  </cellXfs>
  <cellStyles count="9">
    <cellStyle name="Comma" xfId="1" builtinId="3"/>
    <cellStyle name="Comma 2" xfId="4"/>
    <cellStyle name="Comma 3" xfId="5"/>
    <cellStyle name="Currency" xfId="2" builtinId="4"/>
    <cellStyle name="Normal" xfId="0" builtinId="0"/>
    <cellStyle name="Normal 2" xfId="3"/>
    <cellStyle name="Normal 3" xfId="6"/>
    <cellStyle name="Normal 4" xfId="7"/>
    <cellStyle name="Normal 5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zoomScaleNormal="100" workbookViewId="0">
      <selection sqref="A1:F1"/>
    </sheetView>
  </sheetViews>
  <sheetFormatPr defaultRowHeight="12.75"/>
  <cols>
    <col min="1" max="1" width="6.7109375" style="91" customWidth="1"/>
    <col min="2" max="2" width="40.28515625" style="91" customWidth="1"/>
    <col min="3" max="3" width="16.7109375" style="91" customWidth="1"/>
    <col min="4" max="4" width="6.7109375" style="91" customWidth="1"/>
    <col min="5" max="5" width="40.7109375" style="91" customWidth="1"/>
    <col min="6" max="6" width="16.7109375" style="91" customWidth="1"/>
    <col min="7" max="7" width="9.7109375" style="91" bestFit="1" customWidth="1"/>
    <col min="8" max="8" width="22" style="105" customWidth="1"/>
    <col min="9" max="9" width="12" style="91" customWidth="1"/>
    <col min="10" max="16384" width="9.140625" style="91"/>
  </cols>
  <sheetData>
    <row r="1" spans="1:8" ht="15.75">
      <c r="A1" s="174" t="s">
        <v>239</v>
      </c>
      <c r="B1" s="174"/>
      <c r="C1" s="174"/>
      <c r="D1" s="174"/>
      <c r="E1" s="174"/>
      <c r="F1" s="174"/>
      <c r="H1" s="91"/>
    </row>
    <row r="2" spans="1:8" ht="15">
      <c r="A2" s="175" t="s">
        <v>0</v>
      </c>
      <c r="B2" s="175"/>
      <c r="C2" s="175"/>
      <c r="D2" s="175"/>
      <c r="E2" s="175"/>
      <c r="F2" s="175"/>
      <c r="H2" s="91"/>
    </row>
    <row r="3" spans="1:8" ht="15">
      <c r="A3" s="175" t="s">
        <v>174</v>
      </c>
      <c r="B3" s="175"/>
      <c r="C3" s="175"/>
      <c r="D3" s="175"/>
      <c r="E3" s="175"/>
      <c r="F3" s="175"/>
      <c r="H3" s="91"/>
    </row>
    <row r="4" spans="1:8" ht="15.75">
      <c r="A4" s="176" t="s">
        <v>242</v>
      </c>
      <c r="B4" s="176"/>
      <c r="C4" s="176"/>
      <c r="D4" s="176"/>
      <c r="E4" s="176"/>
      <c r="F4" s="176"/>
      <c r="H4" s="91"/>
    </row>
    <row r="5" spans="1:8">
      <c r="H5" s="91"/>
    </row>
    <row r="6" spans="1:8" ht="15">
      <c r="A6" s="177" t="s">
        <v>89</v>
      </c>
      <c r="B6" s="177"/>
      <c r="C6" s="177"/>
      <c r="D6" s="177"/>
      <c r="E6" s="177"/>
      <c r="F6" s="177"/>
      <c r="H6" s="91"/>
    </row>
    <row r="7" spans="1:8">
      <c r="A7" s="111" t="s">
        <v>1</v>
      </c>
      <c r="B7" s="112"/>
      <c r="C7" s="113" t="s">
        <v>4</v>
      </c>
      <c r="D7" s="113" t="s">
        <v>1</v>
      </c>
      <c r="E7" s="112"/>
      <c r="F7" s="113" t="s">
        <v>4</v>
      </c>
      <c r="H7" s="91"/>
    </row>
    <row r="8" spans="1:8">
      <c r="A8" s="114" t="s">
        <v>2</v>
      </c>
      <c r="B8" s="115" t="s">
        <v>3</v>
      </c>
      <c r="C8" s="115" t="s">
        <v>7</v>
      </c>
      <c r="D8" s="115" t="s">
        <v>5</v>
      </c>
      <c r="E8" s="115" t="s">
        <v>6</v>
      </c>
      <c r="F8" s="115" t="s">
        <v>7</v>
      </c>
      <c r="H8" s="91"/>
    </row>
    <row r="9" spans="1:8">
      <c r="A9" s="116"/>
      <c r="B9" s="117" t="s">
        <v>21</v>
      </c>
      <c r="C9" s="11"/>
      <c r="D9" s="111"/>
      <c r="E9" s="117" t="s">
        <v>51</v>
      </c>
      <c r="F9" s="11"/>
      <c r="H9" s="91"/>
    </row>
    <row r="10" spans="1:8">
      <c r="A10" s="116">
        <v>1</v>
      </c>
      <c r="B10" s="118" t="s">
        <v>8</v>
      </c>
      <c r="C10" s="12"/>
      <c r="D10" s="116"/>
      <c r="E10" s="118"/>
      <c r="F10" s="12"/>
      <c r="H10" s="91"/>
    </row>
    <row r="11" spans="1:8">
      <c r="A11" s="114"/>
      <c r="B11" s="119" t="s">
        <v>9</v>
      </c>
      <c r="C11" s="120">
        <f>545679305.77+60611808.91</f>
        <v>606291114.67999995</v>
      </c>
      <c r="D11" s="114">
        <v>29</v>
      </c>
      <c r="E11" s="121" t="s">
        <v>52</v>
      </c>
      <c r="F11" s="120">
        <v>0</v>
      </c>
      <c r="H11" s="91"/>
    </row>
    <row r="12" spans="1:8">
      <c r="A12" s="122">
        <v>2</v>
      </c>
      <c r="B12" s="123" t="s">
        <v>10</v>
      </c>
      <c r="C12" s="124">
        <v>7687963.3300000001</v>
      </c>
      <c r="D12" s="122">
        <v>30</v>
      </c>
      <c r="E12" s="125" t="s">
        <v>53</v>
      </c>
      <c r="F12" s="124">
        <v>0</v>
      </c>
      <c r="H12" s="91"/>
    </row>
    <row r="13" spans="1:8">
      <c r="A13" s="116">
        <v>3</v>
      </c>
      <c r="B13" s="118" t="s">
        <v>11</v>
      </c>
      <c r="C13" s="126"/>
      <c r="D13" s="116"/>
      <c r="E13" s="118"/>
      <c r="F13" s="126"/>
      <c r="H13" s="91"/>
    </row>
    <row r="14" spans="1:8">
      <c r="A14" s="116"/>
      <c r="B14" s="127" t="s">
        <v>12</v>
      </c>
      <c r="C14" s="126"/>
      <c r="D14" s="116">
        <v>31</v>
      </c>
      <c r="E14" s="118" t="s">
        <v>54</v>
      </c>
      <c r="F14" s="126"/>
      <c r="H14" s="91"/>
    </row>
    <row r="15" spans="1:8" ht="13.5" thickBot="1">
      <c r="A15" s="114"/>
      <c r="B15" s="119" t="s">
        <v>13</v>
      </c>
      <c r="C15" s="124">
        <f>55358042.1+246161769.9</f>
        <v>301519812</v>
      </c>
      <c r="D15" s="114"/>
      <c r="E15" s="119" t="s">
        <v>55</v>
      </c>
      <c r="F15" s="124">
        <v>292876833.90760005</v>
      </c>
      <c r="H15" s="128"/>
    </row>
    <row r="16" spans="1:8" ht="13.5" thickBot="1">
      <c r="A16" s="122">
        <v>4</v>
      </c>
      <c r="B16" s="129" t="s">
        <v>14</v>
      </c>
      <c r="C16" s="130">
        <f>+C11+C12-C15</f>
        <v>312459266.00999999</v>
      </c>
      <c r="D16" s="131">
        <v>32</v>
      </c>
      <c r="E16" s="132" t="s">
        <v>56</v>
      </c>
      <c r="F16" s="130">
        <f>+F15+F11+F12</f>
        <v>292876833.90760005</v>
      </c>
      <c r="H16" s="91"/>
    </row>
    <row r="17" spans="1:10">
      <c r="A17" s="133">
        <v>5</v>
      </c>
      <c r="B17" s="134" t="s">
        <v>15</v>
      </c>
      <c r="C17" s="124">
        <v>0</v>
      </c>
      <c r="D17" s="116"/>
      <c r="E17" s="135" t="s">
        <v>57</v>
      </c>
      <c r="F17" s="126"/>
      <c r="H17" s="91"/>
    </row>
    <row r="18" spans="1:10">
      <c r="A18" s="136">
        <v>6</v>
      </c>
      <c r="B18" s="137" t="s">
        <v>11</v>
      </c>
      <c r="C18" s="126"/>
      <c r="D18" s="113"/>
      <c r="E18" s="118"/>
      <c r="F18" s="126"/>
      <c r="H18" s="91"/>
    </row>
    <row r="19" spans="1:10">
      <c r="A19" s="116"/>
      <c r="B19" s="127" t="s">
        <v>16</v>
      </c>
      <c r="C19" s="126"/>
      <c r="D19" s="116"/>
      <c r="E19" s="118"/>
      <c r="F19" s="126"/>
      <c r="H19" s="91"/>
    </row>
    <row r="20" spans="1:10">
      <c r="A20" s="116"/>
      <c r="B20" s="127" t="s">
        <v>17</v>
      </c>
      <c r="C20" s="124">
        <v>0</v>
      </c>
      <c r="D20" s="114">
        <v>33</v>
      </c>
      <c r="E20" s="121" t="s">
        <v>58</v>
      </c>
      <c r="F20" s="124">
        <f>79140000*0.63+144950000*0.89</f>
        <v>178863700</v>
      </c>
      <c r="G20" s="138"/>
      <c r="H20" s="102"/>
    </row>
    <row r="21" spans="1:10" ht="13.5" thickBot="1">
      <c r="A21" s="139">
        <v>7</v>
      </c>
      <c r="B21" s="140" t="s">
        <v>18</v>
      </c>
      <c r="C21" s="141"/>
      <c r="D21" s="113">
        <v>34</v>
      </c>
      <c r="E21" s="142" t="s">
        <v>59</v>
      </c>
      <c r="F21" s="126"/>
      <c r="H21" s="91"/>
    </row>
    <row r="22" spans="1:10" ht="13.5" thickBot="1">
      <c r="A22" s="114"/>
      <c r="B22" s="143" t="s">
        <v>19</v>
      </c>
      <c r="C22" s="130">
        <f>+C16+C17-C20</f>
        <v>312459266.00999999</v>
      </c>
      <c r="D22" s="115"/>
      <c r="E22" s="119" t="s">
        <v>60</v>
      </c>
      <c r="F22" s="124">
        <f>24655325*I61+1238027*I61</f>
        <v>15277077.68</v>
      </c>
      <c r="H22" s="144"/>
      <c r="I22" s="144"/>
      <c r="J22" s="144"/>
    </row>
    <row r="23" spans="1:10">
      <c r="A23" s="116"/>
      <c r="B23" s="145" t="s">
        <v>20</v>
      </c>
      <c r="C23" s="126"/>
      <c r="D23" s="116">
        <v>35</v>
      </c>
      <c r="E23" s="134" t="s">
        <v>61</v>
      </c>
      <c r="F23" s="126"/>
      <c r="H23" s="144"/>
      <c r="I23" s="144"/>
      <c r="J23" s="144"/>
    </row>
    <row r="24" spans="1:10">
      <c r="A24" s="114">
        <v>8</v>
      </c>
      <c r="B24" s="121" t="s">
        <v>22</v>
      </c>
      <c r="C24" s="124">
        <v>0</v>
      </c>
      <c r="D24" s="114"/>
      <c r="E24" s="146" t="s">
        <v>62</v>
      </c>
      <c r="F24" s="124">
        <f>2873421.77*0.63+22596940.48*0.89</f>
        <v>21921532.742300004</v>
      </c>
      <c r="H24" s="144"/>
      <c r="I24" s="144"/>
      <c r="J24" s="144"/>
    </row>
    <row r="25" spans="1:10">
      <c r="A25" s="116">
        <v>9</v>
      </c>
      <c r="B25" s="118" t="s">
        <v>11</v>
      </c>
      <c r="C25" s="147"/>
      <c r="D25" s="116">
        <v>36</v>
      </c>
      <c r="E25" s="134" t="s">
        <v>63</v>
      </c>
      <c r="F25" s="147"/>
      <c r="H25" s="144"/>
      <c r="I25" s="144"/>
      <c r="J25" s="144"/>
    </row>
    <row r="26" spans="1:10">
      <c r="A26" s="114"/>
      <c r="B26" s="119" t="s">
        <v>23</v>
      </c>
      <c r="C26" s="124">
        <v>0</v>
      </c>
      <c r="D26" s="114"/>
      <c r="E26" s="119" t="s">
        <v>64</v>
      </c>
      <c r="F26" s="124">
        <v>0</v>
      </c>
      <c r="H26" s="138"/>
      <c r="I26" s="144"/>
      <c r="J26" s="144"/>
    </row>
    <row r="27" spans="1:10" ht="13.5" thickBot="1">
      <c r="A27" s="116">
        <v>10</v>
      </c>
      <c r="B27" s="118" t="s">
        <v>24</v>
      </c>
      <c r="C27" s="147"/>
      <c r="D27" s="116"/>
      <c r="E27" s="134"/>
      <c r="F27" s="147"/>
      <c r="H27" s="144"/>
      <c r="I27" s="144"/>
      <c r="J27" s="144"/>
    </row>
    <row r="28" spans="1:10" ht="13.5" thickBot="1">
      <c r="A28" s="114"/>
      <c r="B28" s="119" t="s">
        <v>25</v>
      </c>
      <c r="C28" s="124">
        <v>0</v>
      </c>
      <c r="D28" s="114">
        <v>37</v>
      </c>
      <c r="E28" s="148" t="s">
        <v>65</v>
      </c>
      <c r="F28" s="151">
        <f>+F20+F22+F24-F26</f>
        <v>216062310.42230001</v>
      </c>
      <c r="H28" s="144"/>
      <c r="I28" s="144"/>
      <c r="J28" s="144"/>
    </row>
    <row r="29" spans="1:10" ht="13.5" thickBot="1">
      <c r="A29" s="122">
        <v>11</v>
      </c>
      <c r="B29" s="123" t="s">
        <v>26</v>
      </c>
      <c r="C29" s="149">
        <v>0</v>
      </c>
      <c r="D29" s="114"/>
      <c r="E29" s="121"/>
      <c r="F29" s="166"/>
      <c r="H29" s="144"/>
      <c r="I29" s="144"/>
      <c r="J29" s="144"/>
    </row>
    <row r="30" spans="1:10" ht="13.5" thickBot="1">
      <c r="A30" s="122">
        <v>12</v>
      </c>
      <c r="B30" s="150" t="s">
        <v>27</v>
      </c>
      <c r="C30" s="151">
        <f>+C24+C26+C28+C29</f>
        <v>0</v>
      </c>
      <c r="D30" s="115"/>
      <c r="E30" s="152" t="s">
        <v>66</v>
      </c>
      <c r="F30" s="166"/>
      <c r="H30" s="91"/>
    </row>
    <row r="31" spans="1:10">
      <c r="A31" s="116"/>
      <c r="B31" s="145" t="s">
        <v>28</v>
      </c>
      <c r="C31" s="147"/>
      <c r="D31" s="122">
        <v>38</v>
      </c>
      <c r="E31" s="125" t="s">
        <v>67</v>
      </c>
      <c r="F31" s="154">
        <v>0</v>
      </c>
      <c r="H31" s="91"/>
    </row>
    <row r="32" spans="1:10" ht="13.5" thickBot="1">
      <c r="A32" s="116">
        <v>13</v>
      </c>
      <c r="B32" s="118" t="s">
        <v>29</v>
      </c>
      <c r="C32" s="147"/>
      <c r="D32" s="122">
        <v>39</v>
      </c>
      <c r="E32" s="125" t="s">
        <v>68</v>
      </c>
      <c r="F32" s="149">
        <v>0</v>
      </c>
      <c r="H32" s="91"/>
    </row>
    <row r="33" spans="1:8" ht="13.5" thickBot="1">
      <c r="A33" s="114"/>
      <c r="B33" s="119" t="s">
        <v>30</v>
      </c>
      <c r="C33" s="124">
        <f>136488144.04+9161598.95</f>
        <v>145649742.98999998</v>
      </c>
      <c r="D33" s="114">
        <v>40</v>
      </c>
      <c r="E33" s="153" t="s">
        <v>69</v>
      </c>
      <c r="F33" s="151">
        <f>SUM(F31:F32)</f>
        <v>0</v>
      </c>
      <c r="H33" s="91"/>
    </row>
    <row r="34" spans="1:8">
      <c r="A34" s="116">
        <v>14</v>
      </c>
      <c r="B34" s="118" t="s">
        <v>31</v>
      </c>
      <c r="C34" s="147"/>
      <c r="D34" s="116"/>
      <c r="E34" s="118"/>
      <c r="F34" s="147"/>
      <c r="H34" s="91"/>
    </row>
    <row r="35" spans="1:8">
      <c r="A35" s="114"/>
      <c r="B35" s="119" t="s">
        <v>32</v>
      </c>
      <c r="C35" s="124">
        <f>27723160.48+24582490.39-11693905.26-9515415.25+133322.52*I61</f>
        <v>31174990.646800008</v>
      </c>
      <c r="D35" s="114"/>
      <c r="E35" s="152" t="s">
        <v>70</v>
      </c>
      <c r="F35" s="166"/>
      <c r="H35" s="128"/>
    </row>
    <row r="36" spans="1:8">
      <c r="A36" s="122">
        <v>15</v>
      </c>
      <c r="B36" s="123" t="s">
        <v>240</v>
      </c>
      <c r="C36" s="154">
        <f>11693905.26+9515415.25</f>
        <v>21209320.509999998</v>
      </c>
      <c r="D36" s="114">
        <v>41</v>
      </c>
      <c r="E36" s="121" t="s">
        <v>71</v>
      </c>
      <c r="F36" s="124">
        <v>0</v>
      </c>
      <c r="H36" s="91"/>
    </row>
    <row r="37" spans="1:8">
      <c r="A37" s="116">
        <v>16</v>
      </c>
      <c r="B37" s="118" t="s">
        <v>11</v>
      </c>
      <c r="C37" s="147"/>
      <c r="D37" s="116"/>
      <c r="E37" s="118"/>
      <c r="F37" s="147"/>
      <c r="H37" s="91"/>
    </row>
    <row r="38" spans="1:8">
      <c r="A38" s="114"/>
      <c r="B38" s="119" t="s">
        <v>33</v>
      </c>
      <c r="C38" s="124">
        <v>1023757.23</v>
      </c>
      <c r="D38" s="114">
        <v>42</v>
      </c>
      <c r="E38" s="121" t="s">
        <v>72</v>
      </c>
      <c r="F38" s="124">
        <f>1716818.23+8019623.65+5941890.85</f>
        <v>15678332.73</v>
      </c>
      <c r="H38" s="91"/>
    </row>
    <row r="39" spans="1:8">
      <c r="A39" s="116">
        <v>17</v>
      </c>
      <c r="B39" s="118" t="s">
        <v>34</v>
      </c>
      <c r="C39" s="147" t="s">
        <v>170</v>
      </c>
      <c r="D39" s="116">
        <v>43</v>
      </c>
      <c r="E39" s="134" t="s">
        <v>74</v>
      </c>
      <c r="F39" s="147"/>
      <c r="H39" s="91"/>
    </row>
    <row r="40" spans="1:8">
      <c r="A40" s="114"/>
      <c r="B40" s="119" t="s">
        <v>35</v>
      </c>
      <c r="C40" s="124">
        <v>0</v>
      </c>
      <c r="D40" s="114"/>
      <c r="E40" s="119" t="s">
        <v>73</v>
      </c>
      <c r="F40" s="124">
        <v>20000</v>
      </c>
      <c r="H40" s="91"/>
    </row>
    <row r="41" spans="1:8">
      <c r="A41" s="122">
        <v>18</v>
      </c>
      <c r="B41" s="123" t="s">
        <v>36</v>
      </c>
      <c r="C41" s="154">
        <f>7865219.7-762770.2+50545.12</f>
        <v>7152994.6200000001</v>
      </c>
      <c r="D41" s="114">
        <v>44</v>
      </c>
      <c r="E41" s="121" t="s">
        <v>75</v>
      </c>
      <c r="F41" s="124">
        <v>8443694.1400000006</v>
      </c>
      <c r="H41" s="91"/>
    </row>
    <row r="42" spans="1:8">
      <c r="A42" s="122">
        <v>19</v>
      </c>
      <c r="B42" s="123" t="s">
        <v>37</v>
      </c>
      <c r="C42" s="154">
        <f>4687.74*I61</f>
        <v>2765.7665999999999</v>
      </c>
      <c r="D42" s="114">
        <v>45</v>
      </c>
      <c r="E42" s="121" t="s">
        <v>76</v>
      </c>
      <c r="F42" s="124">
        <v>0</v>
      </c>
      <c r="H42" s="91"/>
    </row>
    <row r="43" spans="1:8">
      <c r="A43" s="122">
        <v>20</v>
      </c>
      <c r="B43" s="123" t="s">
        <v>38</v>
      </c>
      <c r="C43" s="154">
        <v>0</v>
      </c>
      <c r="D43" s="114">
        <v>46</v>
      </c>
      <c r="E43" s="121" t="s">
        <v>77</v>
      </c>
      <c r="F43" s="124">
        <v>0</v>
      </c>
      <c r="H43" s="91"/>
    </row>
    <row r="44" spans="1:8" ht="13.5" thickBot="1">
      <c r="A44" s="155">
        <v>21</v>
      </c>
      <c r="B44" s="123" t="s">
        <v>39</v>
      </c>
      <c r="C44" s="154">
        <v>0</v>
      </c>
      <c r="D44" s="114">
        <v>47</v>
      </c>
      <c r="E44" s="121" t="s">
        <v>78</v>
      </c>
      <c r="F44" s="158">
        <v>0</v>
      </c>
      <c r="H44" s="91"/>
    </row>
    <row r="45" spans="1:8" ht="13.5" thickBot="1">
      <c r="A45" s="155">
        <v>22</v>
      </c>
      <c r="B45" s="123" t="s">
        <v>40</v>
      </c>
      <c r="C45" s="149">
        <v>0</v>
      </c>
      <c r="D45" s="114">
        <v>48</v>
      </c>
      <c r="E45" s="153" t="s">
        <v>79</v>
      </c>
      <c r="F45" s="151">
        <f>+F44+F43+F42+F41+F40+F38+F36</f>
        <v>24142026.870000001</v>
      </c>
      <c r="H45" s="100"/>
    </row>
    <row r="46" spans="1:8" ht="13.5" thickBot="1">
      <c r="A46" s="155">
        <v>23</v>
      </c>
      <c r="B46" s="150" t="s">
        <v>41</v>
      </c>
      <c r="C46" s="151">
        <f>C33+C35+C36-C38+C40+C41+C42+C43+C44+C45</f>
        <v>204166057.30340001</v>
      </c>
      <c r="D46" s="115"/>
      <c r="E46" s="152" t="s">
        <v>83</v>
      </c>
      <c r="F46" s="166"/>
      <c r="H46" s="91"/>
    </row>
    <row r="47" spans="1:8">
      <c r="A47" s="118"/>
      <c r="B47" s="145" t="s">
        <v>49</v>
      </c>
      <c r="C47" s="147"/>
      <c r="D47" s="136">
        <v>49</v>
      </c>
      <c r="E47" s="134" t="s">
        <v>84</v>
      </c>
      <c r="F47" s="147"/>
      <c r="H47" s="91"/>
    </row>
    <row r="48" spans="1:8">
      <c r="A48" s="156">
        <v>24</v>
      </c>
      <c r="B48" s="121" t="s">
        <v>42</v>
      </c>
      <c r="C48" s="124">
        <v>0</v>
      </c>
      <c r="D48" s="114"/>
      <c r="E48" s="157" t="s">
        <v>85</v>
      </c>
      <c r="F48" s="124">
        <v>0</v>
      </c>
      <c r="H48" s="91"/>
    </row>
    <row r="49" spans="1:9">
      <c r="A49" s="136">
        <v>25</v>
      </c>
      <c r="B49" s="118" t="s">
        <v>43</v>
      </c>
      <c r="C49" s="147"/>
      <c r="D49" s="136">
        <v>50</v>
      </c>
      <c r="E49" s="118" t="s">
        <v>86</v>
      </c>
      <c r="F49" s="147"/>
      <c r="H49" s="91"/>
    </row>
    <row r="50" spans="1:9">
      <c r="A50" s="121"/>
      <c r="B50" s="119" t="s">
        <v>44</v>
      </c>
      <c r="C50" s="124">
        <f>1868215.45+348.18+182218.03</f>
        <v>2050781.66</v>
      </c>
      <c r="D50" s="114"/>
      <c r="E50" s="119" t="s">
        <v>87</v>
      </c>
      <c r="F50" s="124">
        <v>0</v>
      </c>
      <c r="H50" s="91"/>
    </row>
    <row r="51" spans="1:9">
      <c r="A51" s="136">
        <v>26</v>
      </c>
      <c r="B51" s="118" t="s">
        <v>45</v>
      </c>
      <c r="C51" s="147"/>
      <c r="D51" s="116"/>
      <c r="E51" s="118"/>
      <c r="F51" s="147"/>
      <c r="H51" s="91"/>
    </row>
    <row r="52" spans="1:9">
      <c r="A52" s="116"/>
      <c r="B52" s="127" t="s">
        <v>46</v>
      </c>
      <c r="C52" s="147"/>
      <c r="D52" s="116">
        <v>51</v>
      </c>
      <c r="E52" s="118" t="s">
        <v>82</v>
      </c>
      <c r="F52" s="147"/>
      <c r="H52" s="91"/>
    </row>
    <row r="53" spans="1:9" ht="13.5" thickBot="1">
      <c r="A53" s="114"/>
      <c r="B53" s="119" t="s">
        <v>47</v>
      </c>
      <c r="C53" s="158">
        <f>+-1311.21+10157982.85*0.89+9094530*I61</f>
        <v>14405066.226499999</v>
      </c>
      <c r="D53" s="114"/>
      <c r="E53" s="157" t="s">
        <v>88</v>
      </c>
      <c r="F53" s="158">
        <v>0</v>
      </c>
      <c r="H53" s="91"/>
    </row>
    <row r="54" spans="1:9" ht="13.5" thickBot="1">
      <c r="A54" s="122">
        <v>27</v>
      </c>
      <c r="B54" s="150" t="s">
        <v>48</v>
      </c>
      <c r="C54" s="47">
        <f>C48+C50+C53</f>
        <v>16455847.886499999</v>
      </c>
      <c r="D54" s="115">
        <v>52</v>
      </c>
      <c r="E54" s="153" t="s">
        <v>81</v>
      </c>
      <c r="F54" s="151">
        <f>+F53+F50+F48</f>
        <v>0</v>
      </c>
      <c r="H54" s="91"/>
    </row>
    <row r="55" spans="1:9" ht="13.5" thickBot="1">
      <c r="A55" s="116"/>
      <c r="B55" s="159"/>
      <c r="C55" s="50"/>
      <c r="D55" s="116"/>
      <c r="E55" s="118"/>
      <c r="F55" s="46"/>
      <c r="G55" s="110"/>
      <c r="H55" s="91"/>
    </row>
    <row r="56" spans="1:9" ht="13.5" thickBot="1">
      <c r="A56" s="160">
        <v>28</v>
      </c>
      <c r="B56" s="161" t="s">
        <v>50</v>
      </c>
      <c r="C56" s="162">
        <f>C22+C30+C46+C54</f>
        <v>533081171.19990003</v>
      </c>
      <c r="D56" s="163">
        <v>53</v>
      </c>
      <c r="E56" s="161" t="s">
        <v>80</v>
      </c>
      <c r="F56" s="162">
        <f>+F54+F45+F28+F16+F33</f>
        <v>533081171.19990003</v>
      </c>
      <c r="H56" s="164"/>
    </row>
    <row r="57" spans="1:9">
      <c r="A57" s="90"/>
      <c r="B57" s="90"/>
      <c r="C57" s="13"/>
      <c r="D57" s="90"/>
      <c r="E57" s="90"/>
      <c r="F57" s="14"/>
      <c r="H57" s="165"/>
    </row>
    <row r="58" spans="1:9">
      <c r="A58" s="90"/>
      <c r="B58" s="90"/>
      <c r="C58" s="92"/>
      <c r="D58" s="90"/>
      <c r="E58" s="90"/>
      <c r="F58" s="90"/>
      <c r="H58" s="91"/>
    </row>
    <row r="59" spans="1:9">
      <c r="A59" s="90"/>
      <c r="B59" s="178" t="s">
        <v>183</v>
      </c>
      <c r="C59" s="178"/>
      <c r="D59" s="90"/>
      <c r="E59" s="179" t="s">
        <v>184</v>
      </c>
      <c r="F59" s="179"/>
      <c r="H59" s="91"/>
    </row>
    <row r="60" spans="1:9">
      <c r="A60" s="90"/>
      <c r="B60" s="90"/>
      <c r="C60" s="92"/>
      <c r="D60" s="90"/>
      <c r="E60" s="90"/>
      <c r="F60" s="90"/>
      <c r="H60" s="173" t="s">
        <v>238</v>
      </c>
      <c r="I60" s="173"/>
    </row>
    <row r="61" spans="1:9">
      <c r="A61" s="90"/>
      <c r="B61" s="93" t="s">
        <v>185</v>
      </c>
      <c r="C61" s="92"/>
      <c r="D61" s="90"/>
      <c r="E61" s="93" t="s">
        <v>186</v>
      </c>
      <c r="F61" s="94"/>
      <c r="H61" s="95" t="s">
        <v>187</v>
      </c>
      <c r="I61" s="96">
        <v>0.59</v>
      </c>
    </row>
    <row r="62" spans="1:9">
      <c r="A62" s="90"/>
      <c r="B62" s="97" t="s">
        <v>188</v>
      </c>
      <c r="C62" s="94">
        <v>157774528.78</v>
      </c>
      <c r="D62" s="92"/>
      <c r="E62" s="93" t="s">
        <v>189</v>
      </c>
      <c r="F62" s="94"/>
      <c r="H62" s="95" t="s">
        <v>190</v>
      </c>
      <c r="I62" s="96">
        <v>0.18</v>
      </c>
    </row>
    <row r="63" spans="1:9">
      <c r="A63" s="90"/>
      <c r="B63" s="97" t="s">
        <v>191</v>
      </c>
      <c r="C63" s="92">
        <v>1222658.3799999999</v>
      </c>
      <c r="D63" s="90"/>
      <c r="E63" s="97" t="s">
        <v>192</v>
      </c>
      <c r="F63" s="94">
        <v>0</v>
      </c>
      <c r="H63" s="95" t="s">
        <v>193</v>
      </c>
      <c r="I63" s="96">
        <v>0.23</v>
      </c>
    </row>
    <row r="64" spans="1:9">
      <c r="A64" s="90"/>
      <c r="B64" s="98" t="s">
        <v>194</v>
      </c>
      <c r="C64" s="92">
        <v>0</v>
      </c>
      <c r="D64" s="90"/>
      <c r="E64" s="90"/>
      <c r="F64" s="94"/>
      <c r="G64" s="99"/>
      <c r="H64" s="91"/>
    </row>
    <row r="65" spans="1:8">
      <c r="A65" s="90"/>
      <c r="B65" s="98" t="s">
        <v>195</v>
      </c>
      <c r="C65" s="92">
        <v>235152679.49000001</v>
      </c>
      <c r="D65" s="90"/>
      <c r="E65" s="93" t="s">
        <v>196</v>
      </c>
      <c r="F65" s="94"/>
      <c r="G65" s="99"/>
      <c r="H65" s="100"/>
    </row>
    <row r="66" spans="1:8">
      <c r="A66" s="90"/>
      <c r="B66" s="98" t="s">
        <v>197</v>
      </c>
      <c r="C66" s="94">
        <v>2205508.19</v>
      </c>
      <c r="D66" s="90"/>
      <c r="E66" s="98" t="s">
        <v>198</v>
      </c>
      <c r="F66" s="94">
        <v>2275000</v>
      </c>
      <c r="G66" s="101" t="s">
        <v>199</v>
      </c>
      <c r="H66" s="91"/>
    </row>
    <row r="67" spans="1:8">
      <c r="A67" s="90"/>
      <c r="B67" s="98" t="s">
        <v>200</v>
      </c>
      <c r="C67" s="94">
        <v>0</v>
      </c>
      <c r="D67" s="90"/>
      <c r="E67" s="98" t="s">
        <v>201</v>
      </c>
      <c r="F67" s="94">
        <v>0</v>
      </c>
      <c r="G67" s="101" t="s">
        <v>202</v>
      </c>
      <c r="H67" s="91"/>
    </row>
    <row r="68" spans="1:8">
      <c r="A68" s="90"/>
      <c r="B68" s="98" t="s">
        <v>203</v>
      </c>
      <c r="C68" s="94">
        <v>610542.38</v>
      </c>
      <c r="D68" s="90"/>
      <c r="E68" s="98" t="s">
        <v>204</v>
      </c>
      <c r="F68" s="94">
        <f>79140000*0.37</f>
        <v>29281800</v>
      </c>
      <c r="G68" s="101" t="s">
        <v>205</v>
      </c>
      <c r="H68" s="102"/>
    </row>
    <row r="69" spans="1:8">
      <c r="A69" s="90"/>
      <c r="B69" s="98" t="s">
        <v>206</v>
      </c>
      <c r="C69" s="94">
        <v>0</v>
      </c>
      <c r="D69" s="90"/>
      <c r="E69" s="98" t="s">
        <v>207</v>
      </c>
      <c r="F69" s="94">
        <f>144950000*0.11</f>
        <v>15944500</v>
      </c>
      <c r="G69" s="101" t="s">
        <v>202</v>
      </c>
      <c r="H69" s="102"/>
    </row>
    <row r="70" spans="1:8">
      <c r="A70" s="90"/>
      <c r="B70" s="98" t="s">
        <v>208</v>
      </c>
      <c r="C70" s="94">
        <v>0</v>
      </c>
      <c r="E70" s="90"/>
      <c r="F70" s="94"/>
      <c r="G70" s="101"/>
      <c r="H70" s="91"/>
    </row>
    <row r="71" spans="1:8">
      <c r="A71" s="90"/>
      <c r="B71" s="98" t="s">
        <v>209</v>
      </c>
      <c r="C71" s="94">
        <v>-61922774.509999998</v>
      </c>
      <c r="E71" s="103" t="s">
        <v>210</v>
      </c>
      <c r="F71" s="94"/>
      <c r="G71" s="101"/>
      <c r="H71" s="91"/>
    </row>
    <row r="72" spans="1:8">
      <c r="A72" s="90"/>
      <c r="B72" s="98" t="s">
        <v>211</v>
      </c>
      <c r="C72" s="94">
        <v>-74317512.450000003</v>
      </c>
      <c r="E72" s="98" t="s">
        <v>212</v>
      </c>
      <c r="F72" s="94">
        <v>329446.90000000002</v>
      </c>
      <c r="G72" s="101"/>
      <c r="H72" s="91"/>
    </row>
    <row r="73" spans="1:8">
      <c r="A73" s="90"/>
      <c r="B73" s="98" t="s">
        <v>213</v>
      </c>
      <c r="C73" s="94">
        <v>-239456.37</v>
      </c>
      <c r="F73" s="94"/>
      <c r="G73" s="101"/>
      <c r="H73" s="91"/>
    </row>
    <row r="74" spans="1:8">
      <c r="B74" s="98" t="s">
        <v>244</v>
      </c>
      <c r="C74" s="94">
        <v>111985.41</v>
      </c>
      <c r="E74" s="103" t="s">
        <v>214</v>
      </c>
      <c r="F74" s="94"/>
      <c r="G74" s="101"/>
      <c r="H74" s="102"/>
    </row>
    <row r="75" spans="1:8">
      <c r="C75" s="94"/>
      <c r="E75" s="104" t="s">
        <v>216</v>
      </c>
      <c r="F75" s="94">
        <v>0</v>
      </c>
      <c r="G75" s="101" t="s">
        <v>202</v>
      </c>
      <c r="H75" s="91"/>
    </row>
    <row r="76" spans="1:8">
      <c r="C76" s="94"/>
      <c r="E76" s="187" t="s">
        <v>246</v>
      </c>
      <c r="F76" s="189">
        <f>24655325*I62+24655325*I63</f>
        <v>10108683.25</v>
      </c>
      <c r="G76" s="101" t="s">
        <v>227</v>
      </c>
      <c r="H76" s="91"/>
    </row>
    <row r="77" spans="1:8">
      <c r="C77" s="94"/>
      <c r="E77" s="187" t="s">
        <v>247</v>
      </c>
      <c r="F77" s="189">
        <f>1238027*I62+1238027*I63</f>
        <v>507591.07</v>
      </c>
      <c r="G77" s="101" t="s">
        <v>227</v>
      </c>
      <c r="H77" s="91"/>
    </row>
    <row r="78" spans="1:8">
      <c r="B78" s="103" t="s">
        <v>215</v>
      </c>
      <c r="C78" s="92"/>
      <c r="E78" s="104" t="s">
        <v>217</v>
      </c>
      <c r="F78" s="94">
        <f>2873421.77*0.37</f>
        <v>1063166.0549000001</v>
      </c>
      <c r="G78" s="101" t="s">
        <v>205</v>
      </c>
      <c r="H78" s="91"/>
    </row>
    <row r="79" spans="1:8">
      <c r="B79" s="104" t="s">
        <v>192</v>
      </c>
      <c r="C79" s="94">
        <v>0</v>
      </c>
      <c r="E79" s="104" t="s">
        <v>218</v>
      </c>
      <c r="F79" s="94">
        <f>22596940.48*0.11</f>
        <v>2485663.4528000001</v>
      </c>
      <c r="G79" s="101" t="s">
        <v>202</v>
      </c>
      <c r="H79" s="91"/>
    </row>
    <row r="80" spans="1:8">
      <c r="C80" s="94"/>
      <c r="F80" s="94"/>
      <c r="H80" s="91"/>
    </row>
    <row r="81" spans="2:8">
      <c r="B81" s="103" t="s">
        <v>219</v>
      </c>
      <c r="C81" s="94"/>
      <c r="E81" s="103" t="s">
        <v>220</v>
      </c>
      <c r="F81" s="94"/>
      <c r="H81" s="91"/>
    </row>
    <row r="82" spans="2:8">
      <c r="B82" s="104" t="s">
        <v>192</v>
      </c>
      <c r="C82" s="94">
        <v>0</v>
      </c>
      <c r="E82" s="104" t="s">
        <v>221</v>
      </c>
      <c r="F82" s="94">
        <v>204078468.95239997</v>
      </c>
      <c r="H82" s="91"/>
    </row>
    <row r="83" spans="2:8">
      <c r="C83" s="94"/>
      <c r="H83" s="91"/>
    </row>
    <row r="84" spans="2:8">
      <c r="B84" s="103" t="s">
        <v>222</v>
      </c>
      <c r="C84" s="94"/>
      <c r="H84" s="91"/>
    </row>
    <row r="85" spans="2:8">
      <c r="B85" s="104" t="s">
        <v>192</v>
      </c>
      <c r="C85" s="94">
        <v>0</v>
      </c>
      <c r="F85" s="94"/>
    </row>
    <row r="86" spans="2:8">
      <c r="C86" s="94"/>
      <c r="F86" s="94"/>
    </row>
    <row r="87" spans="2:8">
      <c r="B87" s="103" t="s">
        <v>223</v>
      </c>
      <c r="C87" s="94"/>
      <c r="E87" s="102"/>
      <c r="F87" s="94"/>
    </row>
    <row r="88" spans="2:8">
      <c r="B88" s="104" t="s">
        <v>192</v>
      </c>
      <c r="C88" s="94">
        <v>0</v>
      </c>
      <c r="F88" s="94"/>
    </row>
    <row r="89" spans="2:8">
      <c r="C89" s="94"/>
      <c r="F89" s="94"/>
    </row>
    <row r="90" spans="2:8">
      <c r="B90" s="103" t="s">
        <v>224</v>
      </c>
      <c r="C90" s="94"/>
      <c r="F90" s="94"/>
    </row>
    <row r="91" spans="2:8">
      <c r="B91" s="104" t="s">
        <v>190</v>
      </c>
      <c r="C91" s="94">
        <v>361285.26</v>
      </c>
      <c r="F91" s="92"/>
    </row>
    <row r="92" spans="2:8">
      <c r="B92" s="104" t="s">
        <v>193</v>
      </c>
      <c r="C92" s="94">
        <v>212155.5</v>
      </c>
      <c r="F92" s="90"/>
    </row>
    <row r="93" spans="2:8">
      <c r="B93" s="104" t="s">
        <v>225</v>
      </c>
      <c r="C93" s="94">
        <v>0</v>
      </c>
      <c r="F93" s="106"/>
    </row>
    <row r="94" spans="2:8">
      <c r="B94" s="104" t="s">
        <v>226</v>
      </c>
      <c r="C94" s="94">
        <f>4687.74*I62+4687.74*I63</f>
        <v>1921.9733999999999</v>
      </c>
      <c r="D94" s="101" t="s">
        <v>227</v>
      </c>
      <c r="F94" s="94"/>
    </row>
    <row r="95" spans="2:8">
      <c r="B95" s="104" t="s">
        <v>228</v>
      </c>
      <c r="C95" s="94">
        <f>133322.52*I62+133322.52*I63</f>
        <v>54662.233199999995</v>
      </c>
      <c r="D95" s="101" t="s">
        <v>227</v>
      </c>
      <c r="F95" s="94"/>
    </row>
    <row r="96" spans="2:8">
      <c r="B96" s="104" t="s">
        <v>229</v>
      </c>
      <c r="C96" s="94">
        <v>0</v>
      </c>
      <c r="F96" s="94"/>
    </row>
    <row r="97" spans="2:6">
      <c r="C97" s="94"/>
      <c r="F97" s="94"/>
    </row>
    <row r="98" spans="2:6">
      <c r="B98" s="103" t="s">
        <v>230</v>
      </c>
      <c r="C98" s="94"/>
      <c r="F98" s="94"/>
    </row>
    <row r="99" spans="2:6">
      <c r="B99" s="104" t="s">
        <v>231</v>
      </c>
      <c r="C99" s="94">
        <v>0</v>
      </c>
      <c r="D99" s="101" t="s">
        <v>227</v>
      </c>
      <c r="F99" s="94"/>
    </row>
    <row r="100" spans="2:6">
      <c r="B100" s="187" t="s">
        <v>245</v>
      </c>
      <c r="C100" s="188">
        <f>9094530*I62+9094530*I63</f>
        <v>3728757.3</v>
      </c>
      <c r="D100" s="101"/>
      <c r="F100" s="94"/>
    </row>
    <row r="101" spans="2:6">
      <c r="B101" s="104" t="s">
        <v>232</v>
      </c>
      <c r="C101" s="94">
        <f>10157982.85*0.11</f>
        <v>1117378.1135</v>
      </c>
      <c r="D101" s="101" t="s">
        <v>227</v>
      </c>
      <c r="F101" s="94"/>
    </row>
    <row r="102" spans="2:6">
      <c r="F102" s="94"/>
    </row>
    <row r="103" spans="2:6">
      <c r="B103" s="107" t="s">
        <v>143</v>
      </c>
      <c r="C103" s="108">
        <f>SUM(C62:C101)</f>
        <v>266074319.68009999</v>
      </c>
      <c r="E103" s="107" t="s">
        <v>143</v>
      </c>
      <c r="F103" s="108">
        <f>SUM(F62:F101)</f>
        <v>266074319.68009996</v>
      </c>
    </row>
    <row r="105" spans="2:6" ht="13.5" thickBot="1">
      <c r="B105" s="91" t="s">
        <v>233</v>
      </c>
      <c r="E105" s="91" t="s">
        <v>233</v>
      </c>
    </row>
    <row r="106" spans="2:6" ht="13.5" thickBot="1">
      <c r="B106" s="109" t="s">
        <v>234</v>
      </c>
      <c r="C106" s="167">
        <f>799155490.88-C56-C103</f>
        <v>0</v>
      </c>
      <c r="E106" s="109" t="s">
        <v>235</v>
      </c>
      <c r="F106" s="167">
        <f>799155490.88-F56-F103</f>
        <v>0</v>
      </c>
    </row>
    <row r="107" spans="2:6">
      <c r="B107" s="109"/>
    </row>
    <row r="108" spans="2:6">
      <c r="B108" s="101" t="s">
        <v>236</v>
      </c>
    </row>
    <row r="109" spans="2:6">
      <c r="B109" s="101" t="s">
        <v>237</v>
      </c>
    </row>
  </sheetData>
  <mergeCells count="8">
    <mergeCell ref="H60:I60"/>
    <mergeCell ref="A1:F1"/>
    <mergeCell ref="A2:F2"/>
    <mergeCell ref="A3:F3"/>
    <mergeCell ref="A4:F4"/>
    <mergeCell ref="A6:F6"/>
    <mergeCell ref="B59:C59"/>
    <mergeCell ref="E59:F59"/>
  </mergeCells>
  <conditionalFormatting sqref="H56">
    <cfRule type="cellIs" dxfId="1" priority="3" operator="lessThan">
      <formula>0</formula>
    </cfRule>
    <cfRule type="cellIs" dxfId="0" priority="4" operator="greaterThan">
      <formula>0</formula>
    </cfRule>
  </conditionalFormatting>
  <pageMargins left="0.47" right="0.45" top="1" bottom="0.5" header="0.5" footer="0.5"/>
  <pageSetup scale="54" orientation="portrait" r:id="rId1"/>
  <headerFooter alignWithMargins="0"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="90" workbookViewId="0">
      <selection activeCell="C24" sqref="C24:C25"/>
    </sheetView>
  </sheetViews>
  <sheetFormatPr defaultRowHeight="12.75"/>
  <cols>
    <col min="1" max="1" width="6.7109375" customWidth="1"/>
    <col min="2" max="2" width="77.140625" customWidth="1"/>
    <col min="3" max="3" width="16.7109375" customWidth="1"/>
    <col min="4" max="5" width="11.140625" bestFit="1" customWidth="1"/>
  </cols>
  <sheetData>
    <row r="1" spans="1:6" ht="15.75">
      <c r="A1" s="180" t="str">
        <f>'Balance sheet'!A1:F1</f>
        <v>Lafayette Utilities System (LAFA)</v>
      </c>
      <c r="B1" s="180"/>
      <c r="C1" s="180"/>
      <c r="D1" s="26"/>
      <c r="E1" s="26"/>
      <c r="F1" s="26"/>
    </row>
    <row r="2" spans="1:6" ht="15">
      <c r="A2" s="181" t="s">
        <v>0</v>
      </c>
      <c r="B2" s="181"/>
      <c r="C2" s="181"/>
      <c r="D2" s="26"/>
      <c r="E2" s="26"/>
      <c r="F2" s="26"/>
    </row>
    <row r="3" spans="1:6" ht="15">
      <c r="A3" s="181" t="s">
        <v>175</v>
      </c>
      <c r="B3" s="181"/>
      <c r="C3" s="181"/>
      <c r="D3" s="26"/>
      <c r="E3" s="26"/>
      <c r="F3" s="26"/>
    </row>
    <row r="4" spans="1:6" ht="15.75">
      <c r="A4" s="182" t="str">
        <f>'Balance sheet'!A4:F4</f>
        <v>For the 12 months ended 10/31/2015</v>
      </c>
      <c r="B4" s="182"/>
      <c r="C4" s="182"/>
      <c r="D4" s="27"/>
      <c r="E4" s="27"/>
      <c r="F4" s="27"/>
    </row>
    <row r="5" spans="1:6">
      <c r="A5" s="25"/>
      <c r="B5" s="25"/>
      <c r="C5" s="25"/>
      <c r="D5" s="25"/>
      <c r="E5" s="25"/>
      <c r="F5" s="25"/>
    </row>
    <row r="6" spans="1:6" ht="15">
      <c r="A6" s="183" t="s">
        <v>90</v>
      </c>
      <c r="B6" s="183"/>
      <c r="C6" s="183"/>
      <c r="D6" s="28"/>
      <c r="E6" s="28"/>
      <c r="F6" s="28"/>
    </row>
    <row r="7" spans="1:6">
      <c r="A7" s="41" t="s">
        <v>1</v>
      </c>
      <c r="B7" s="30"/>
      <c r="C7" s="32" t="s">
        <v>92</v>
      </c>
    </row>
    <row r="8" spans="1:6">
      <c r="A8" s="5" t="s">
        <v>2</v>
      </c>
      <c r="B8" s="31"/>
      <c r="C8" s="18" t="s">
        <v>7</v>
      </c>
    </row>
    <row r="9" spans="1:6">
      <c r="A9" s="23">
        <v>1</v>
      </c>
      <c r="B9" s="31" t="s">
        <v>91</v>
      </c>
      <c r="C9" s="52">
        <v>181202639</v>
      </c>
    </row>
    <row r="10" spans="1:6">
      <c r="A10" s="23">
        <v>2</v>
      </c>
      <c r="B10" s="31" t="s">
        <v>93</v>
      </c>
      <c r="C10" s="53">
        <v>123016086.31</v>
      </c>
      <c r="E10" s="190"/>
    </row>
    <row r="11" spans="1:6">
      <c r="A11" s="23">
        <v>3</v>
      </c>
      <c r="B11" s="31" t="s">
        <v>94</v>
      </c>
      <c r="C11" s="53">
        <v>6990835.29</v>
      </c>
    </row>
    <row r="12" spans="1:6">
      <c r="A12" s="24">
        <v>4</v>
      </c>
      <c r="B12" s="34" t="s">
        <v>95</v>
      </c>
      <c r="C12" s="54">
        <v>13913000</v>
      </c>
    </row>
    <row r="13" spans="1:6">
      <c r="A13" s="23">
        <v>5</v>
      </c>
      <c r="B13" s="31" t="s">
        <v>96</v>
      </c>
      <c r="C13" s="53">
        <f>185091+829652</f>
        <v>1014743</v>
      </c>
    </row>
    <row r="14" spans="1:6" ht="13.5" thickBot="1">
      <c r="A14" s="22">
        <v>6</v>
      </c>
      <c r="B14" s="19" t="s">
        <v>97</v>
      </c>
      <c r="C14" s="55">
        <v>16991681</v>
      </c>
    </row>
    <row r="15" spans="1:6" ht="13.5" thickBot="1">
      <c r="A15" s="42">
        <v>7</v>
      </c>
      <c r="B15" s="38" t="s">
        <v>98</v>
      </c>
      <c r="C15" s="56">
        <f>SUM(C10:C14)</f>
        <v>161926345.60000002</v>
      </c>
    </row>
    <row r="16" spans="1:6" ht="13.5" thickBot="1">
      <c r="A16" s="42">
        <v>8</v>
      </c>
      <c r="B16" s="39" t="s">
        <v>99</v>
      </c>
      <c r="C16" s="56">
        <f>+C9-C15</f>
        <v>19276293.399999976</v>
      </c>
    </row>
    <row r="17" spans="1:3" ht="13.5" thickBot="1">
      <c r="A17" s="22">
        <v>9</v>
      </c>
      <c r="B17" s="19" t="s">
        <v>100</v>
      </c>
      <c r="C17" s="74"/>
    </row>
    <row r="18" spans="1:3" ht="13.5" thickBot="1">
      <c r="A18" s="43">
        <v>10</v>
      </c>
      <c r="B18" s="40" t="s">
        <v>101</v>
      </c>
      <c r="C18" s="56">
        <f>+C17+C16</f>
        <v>19276293.399999976</v>
      </c>
    </row>
    <row r="19" spans="1:3">
      <c r="A19" s="23">
        <v>11</v>
      </c>
      <c r="B19" s="31" t="s">
        <v>102</v>
      </c>
      <c r="C19" s="75">
        <v>5515583</v>
      </c>
    </row>
    <row r="20" spans="1:3">
      <c r="A20" s="23">
        <v>12</v>
      </c>
      <c r="B20" s="31" t="s">
        <v>103</v>
      </c>
      <c r="C20" s="75">
        <v>816165</v>
      </c>
    </row>
    <row r="21" spans="1:3">
      <c r="A21" s="23">
        <v>13</v>
      </c>
      <c r="B21" s="31" t="s">
        <v>104</v>
      </c>
      <c r="C21" s="75"/>
    </row>
    <row r="22" spans="1:3" ht="13.5" thickBot="1">
      <c r="A22" s="22">
        <v>14</v>
      </c>
      <c r="B22" s="19" t="s">
        <v>105</v>
      </c>
      <c r="C22" s="74"/>
    </row>
    <row r="23" spans="1:3" ht="13.5" thickBot="1">
      <c r="A23" s="42">
        <v>15</v>
      </c>
      <c r="B23" s="38" t="s">
        <v>106</v>
      </c>
      <c r="C23" s="56">
        <f>+C18+C19-C20-C21-C22</f>
        <v>23975711.399999976</v>
      </c>
    </row>
    <row r="24" spans="1:3">
      <c r="A24" s="23">
        <v>16</v>
      </c>
      <c r="B24" s="31" t="s">
        <v>107</v>
      </c>
      <c r="C24" s="75">
        <v>9062766</v>
      </c>
    </row>
    <row r="25" spans="1:3">
      <c r="A25" s="23">
        <v>17</v>
      </c>
      <c r="B25" s="31" t="s">
        <v>108</v>
      </c>
      <c r="C25" s="75">
        <f>1083032+2437</f>
        <v>1085469</v>
      </c>
    </row>
    <row r="26" spans="1:3" ht="13.5" thickBot="1">
      <c r="A26" s="22">
        <v>18</v>
      </c>
      <c r="B26" s="19" t="s">
        <v>109</v>
      </c>
      <c r="C26" s="74">
        <v>0</v>
      </c>
    </row>
    <row r="27" spans="1:3" ht="13.5" thickBot="1">
      <c r="A27" s="42">
        <v>19</v>
      </c>
      <c r="B27" s="38" t="s">
        <v>110</v>
      </c>
      <c r="C27" s="56">
        <f>SUM(C24:C26)</f>
        <v>10148235</v>
      </c>
    </row>
    <row r="28" spans="1:3" ht="13.5" thickBot="1">
      <c r="A28" s="42">
        <v>20</v>
      </c>
      <c r="B28" s="38" t="s">
        <v>111</v>
      </c>
      <c r="C28" s="56">
        <f>+C23-C27</f>
        <v>13827476.399999976</v>
      </c>
    </row>
    <row r="29" spans="1:3">
      <c r="A29" s="23">
        <v>21</v>
      </c>
      <c r="B29" s="31" t="s">
        <v>112</v>
      </c>
      <c r="C29" s="75">
        <v>0</v>
      </c>
    </row>
    <row r="30" spans="1:3" ht="13.5" thickBot="1">
      <c r="A30" s="22">
        <v>22</v>
      </c>
      <c r="B30" s="19" t="s">
        <v>113</v>
      </c>
      <c r="C30" s="74">
        <v>0</v>
      </c>
    </row>
    <row r="31" spans="1:3" ht="13.5" thickBot="1">
      <c r="A31" s="42">
        <v>23</v>
      </c>
      <c r="B31" s="39" t="s">
        <v>114</v>
      </c>
      <c r="C31" s="59">
        <f>SUM(C28:C30)</f>
        <v>13827476.399999976</v>
      </c>
    </row>
    <row r="32" spans="1:3">
      <c r="A32" s="2"/>
      <c r="B32" s="2"/>
      <c r="C32" s="15"/>
    </row>
    <row r="33" spans="1:4">
      <c r="A33" s="2"/>
      <c r="B33" s="2"/>
      <c r="C33" s="15"/>
      <c r="D33" s="2"/>
    </row>
    <row r="34" spans="1:4">
      <c r="A34" s="2"/>
      <c r="B34" s="2"/>
      <c r="C34" s="15"/>
      <c r="D34" s="2"/>
    </row>
    <row r="35" spans="1:4">
      <c r="A35" s="2"/>
      <c r="B35" s="2"/>
      <c r="C35" s="15"/>
      <c r="D35" s="2"/>
    </row>
    <row r="36" spans="1:4">
      <c r="A36" s="2"/>
      <c r="B36" s="2"/>
      <c r="C36" s="15"/>
      <c r="D36" s="2"/>
    </row>
    <row r="37" spans="1:4">
      <c r="A37" s="2"/>
      <c r="B37" s="2"/>
      <c r="C37" s="15"/>
      <c r="D37" s="2"/>
    </row>
    <row r="38" spans="1:4">
      <c r="A38" s="2"/>
      <c r="B38" s="2"/>
      <c r="C38" s="15"/>
      <c r="D38" s="2"/>
    </row>
    <row r="39" spans="1:4">
      <c r="A39" s="2"/>
      <c r="B39" s="2"/>
      <c r="C39" s="15"/>
      <c r="D39" s="2"/>
    </row>
    <row r="40" spans="1:4">
      <c r="A40" s="2"/>
      <c r="B40" s="2"/>
      <c r="C40" s="15"/>
      <c r="D40" s="2"/>
    </row>
    <row r="41" spans="1:4">
      <c r="A41" s="2"/>
      <c r="B41" s="2"/>
      <c r="C41" s="15"/>
      <c r="D41" s="2"/>
    </row>
    <row r="42" spans="1:4">
      <c r="A42" s="2"/>
      <c r="B42" s="2"/>
      <c r="C42" s="15"/>
      <c r="D42" s="2"/>
    </row>
    <row r="43" spans="1:4">
      <c r="A43" s="2"/>
      <c r="B43" s="2"/>
      <c r="C43" s="15"/>
      <c r="D43" s="2"/>
    </row>
    <row r="44" spans="1:4">
      <c r="C44" s="8"/>
    </row>
    <row r="45" spans="1:4">
      <c r="C45" s="8"/>
    </row>
    <row r="46" spans="1:4">
      <c r="C46" s="8"/>
    </row>
    <row r="47" spans="1:4">
      <c r="C47" s="8"/>
    </row>
    <row r="48" spans="1:4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</sheetData>
  <mergeCells count="5">
    <mergeCell ref="A1:C1"/>
    <mergeCell ref="A2:C2"/>
    <mergeCell ref="A4:C4"/>
    <mergeCell ref="A6:C6"/>
    <mergeCell ref="A3:C3"/>
  </mergeCells>
  <phoneticPr fontId="0" type="noConversion"/>
  <pageMargins left="0.75" right="0.75" top="1" bottom="1" header="0.5" footer="0.5"/>
  <pageSetup scale="89" orientation="portrait" horizontalDpi="4294967293" r:id="rId1"/>
  <headerFooter alignWithMargins="0">
    <oddFooter>&amp;L&amp;Z&amp;F
&amp;D 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90" workbookViewId="0">
      <selection activeCell="D11" sqref="D11"/>
    </sheetView>
  </sheetViews>
  <sheetFormatPr defaultRowHeight="12.75"/>
  <cols>
    <col min="1" max="1" width="6.7109375" customWidth="1"/>
    <col min="2" max="2" width="29.28515625" customWidth="1"/>
    <col min="3" max="7" width="15.7109375" customWidth="1"/>
  </cols>
  <sheetData>
    <row r="1" spans="1:7" ht="15.75">
      <c r="A1" s="180" t="str">
        <f>'Balance sheet'!A1:F1</f>
        <v>Lafayette Utilities System (LAFA)</v>
      </c>
      <c r="B1" s="180"/>
      <c r="C1" s="180"/>
      <c r="D1" s="180"/>
      <c r="E1" s="180"/>
      <c r="F1" s="180"/>
      <c r="G1" s="180"/>
    </row>
    <row r="2" spans="1:7" ht="15">
      <c r="A2" s="181" t="s">
        <v>0</v>
      </c>
      <c r="B2" s="181"/>
      <c r="C2" s="181"/>
      <c r="D2" s="181"/>
      <c r="E2" s="181"/>
      <c r="F2" s="181"/>
      <c r="G2" s="181"/>
    </row>
    <row r="3" spans="1:7" ht="15">
      <c r="A3" s="181" t="s">
        <v>176</v>
      </c>
      <c r="B3" s="181"/>
      <c r="C3" s="181"/>
      <c r="D3" s="181"/>
      <c r="E3" s="181"/>
      <c r="F3" s="181"/>
      <c r="G3" s="181"/>
    </row>
    <row r="4" spans="1:7" ht="15.75">
      <c r="A4" s="182" t="str">
        <f>'Balance sheet'!A4:F4</f>
        <v>For the 12 months ended 10/31/2015</v>
      </c>
      <c r="B4" s="182"/>
      <c r="C4" s="182"/>
      <c r="D4" s="182"/>
      <c r="E4" s="182"/>
      <c r="F4" s="182"/>
      <c r="G4" s="182"/>
    </row>
    <row r="5" spans="1:7">
      <c r="A5" s="25"/>
      <c r="B5" s="25"/>
      <c r="C5" s="25"/>
    </row>
    <row r="6" spans="1:7" ht="15">
      <c r="A6" s="183" t="s">
        <v>21</v>
      </c>
      <c r="B6" s="183"/>
      <c r="C6" s="183"/>
      <c r="D6" s="183"/>
      <c r="E6" s="183"/>
      <c r="F6" s="183"/>
      <c r="G6" s="183"/>
    </row>
    <row r="7" spans="1:7">
      <c r="A7" s="21" t="s">
        <v>1</v>
      </c>
      <c r="B7" s="32"/>
      <c r="C7" s="32" t="s">
        <v>115</v>
      </c>
      <c r="D7" s="32"/>
      <c r="E7" s="32"/>
      <c r="F7" s="32"/>
      <c r="G7" s="32" t="s">
        <v>120</v>
      </c>
    </row>
    <row r="8" spans="1:7">
      <c r="A8" s="23" t="s">
        <v>2</v>
      </c>
      <c r="B8" s="18"/>
      <c r="C8" s="18" t="s">
        <v>116</v>
      </c>
      <c r="D8" s="18" t="s">
        <v>117</v>
      </c>
      <c r="E8" s="18" t="s">
        <v>118</v>
      </c>
      <c r="F8" s="18" t="s">
        <v>119</v>
      </c>
      <c r="G8" s="18" t="s">
        <v>116</v>
      </c>
    </row>
    <row r="9" spans="1:7" ht="20.100000000000001" customHeight="1">
      <c r="A9" s="24">
        <v>1</v>
      </c>
      <c r="B9" s="6" t="s">
        <v>121</v>
      </c>
      <c r="C9" s="78">
        <v>30762</v>
      </c>
      <c r="D9" s="78">
        <v>0</v>
      </c>
      <c r="E9" s="78">
        <v>0</v>
      </c>
      <c r="F9" s="78">
        <v>0</v>
      </c>
      <c r="G9" s="61">
        <f t="shared" ref="G9:G17" si="0">+C9+D9-E9-F9</f>
        <v>30762</v>
      </c>
    </row>
    <row r="10" spans="1:7" ht="12.75" customHeight="1">
      <c r="A10" s="24"/>
      <c r="B10" s="6"/>
      <c r="C10" s="60"/>
      <c r="D10" s="60"/>
      <c r="E10" s="60"/>
      <c r="F10" s="60"/>
      <c r="G10" s="61"/>
    </row>
    <row r="11" spans="1:7" ht="20.100000000000001" customHeight="1">
      <c r="A11" s="24">
        <v>2</v>
      </c>
      <c r="B11" s="6" t="s">
        <v>122</v>
      </c>
      <c r="C11" s="76">
        <v>91823382.819999993</v>
      </c>
      <c r="D11" s="76">
        <v>411161.92</v>
      </c>
      <c r="E11" s="76">
        <v>0</v>
      </c>
      <c r="F11" s="76"/>
      <c r="G11" s="62">
        <f t="shared" si="0"/>
        <v>92234544.739999995</v>
      </c>
    </row>
    <row r="12" spans="1:7" ht="20.100000000000001" customHeight="1">
      <c r="A12" s="24">
        <v>3</v>
      </c>
      <c r="B12" s="6" t="s">
        <v>123</v>
      </c>
      <c r="C12" s="76">
        <v>0</v>
      </c>
      <c r="D12" s="76">
        <v>0</v>
      </c>
      <c r="E12" s="76">
        <v>0</v>
      </c>
      <c r="F12" s="76">
        <v>0</v>
      </c>
      <c r="G12" s="62">
        <f t="shared" si="0"/>
        <v>0</v>
      </c>
    </row>
    <row r="13" spans="1:7" ht="20.100000000000001" customHeight="1">
      <c r="A13" s="24">
        <v>4</v>
      </c>
      <c r="B13" s="6" t="s">
        <v>124</v>
      </c>
      <c r="C13" s="76">
        <v>0</v>
      </c>
      <c r="D13" s="76">
        <v>0</v>
      </c>
      <c r="E13" s="76">
        <v>0</v>
      </c>
      <c r="F13" s="76">
        <v>0</v>
      </c>
      <c r="G13" s="62">
        <f t="shared" si="0"/>
        <v>0</v>
      </c>
    </row>
    <row r="14" spans="1:7" ht="20.100000000000001" customHeight="1" thickBot="1">
      <c r="A14" s="24">
        <v>5</v>
      </c>
      <c r="B14" s="6" t="s">
        <v>125</v>
      </c>
      <c r="C14" s="77">
        <v>123874078.76000001</v>
      </c>
      <c r="D14" s="77">
        <v>367187.93</v>
      </c>
      <c r="E14" s="77">
        <v>0</v>
      </c>
      <c r="F14" s="77"/>
      <c r="G14" s="63">
        <f t="shared" si="0"/>
        <v>124241266.69000001</v>
      </c>
    </row>
    <row r="15" spans="1:7" ht="20.100000000000001" customHeight="1" thickBot="1">
      <c r="A15" s="24">
        <v>6</v>
      </c>
      <c r="B15" s="44" t="s">
        <v>126</v>
      </c>
      <c r="C15" s="65">
        <f>SUM(C11:C14)</f>
        <v>215697461.57999998</v>
      </c>
      <c r="D15" s="66">
        <f>SUM(D11:D14)</f>
        <v>778349.85</v>
      </c>
      <c r="E15" s="66">
        <f>SUM(E11:E14)</f>
        <v>0</v>
      </c>
      <c r="F15" s="66">
        <f>SUM(F11:F14)</f>
        <v>0</v>
      </c>
      <c r="G15" s="59">
        <f t="shared" si="0"/>
        <v>216475811.42999998</v>
      </c>
    </row>
    <row r="16" spans="1:7" ht="12" customHeight="1">
      <c r="A16" s="24"/>
      <c r="B16" s="10"/>
      <c r="C16" s="64"/>
      <c r="D16" s="64"/>
      <c r="E16" s="64"/>
      <c r="F16" s="64"/>
      <c r="G16" s="64"/>
    </row>
    <row r="17" spans="1:7" ht="20.100000000000001" customHeight="1">
      <c r="A17" s="24">
        <v>7</v>
      </c>
      <c r="B17" s="6" t="s">
        <v>128</v>
      </c>
      <c r="C17" s="76">
        <v>68290221.689999998</v>
      </c>
      <c r="D17" s="76">
        <v>4209419.82</v>
      </c>
      <c r="E17" s="76">
        <v>152851.56</v>
      </c>
      <c r="F17" s="76">
        <v>0</v>
      </c>
      <c r="G17" s="62">
        <f t="shared" si="0"/>
        <v>72346789.949999988</v>
      </c>
    </row>
    <row r="18" spans="1:7" ht="20.100000000000001" customHeight="1">
      <c r="A18" s="24">
        <v>8</v>
      </c>
      <c r="B18" s="6" t="s">
        <v>129</v>
      </c>
      <c r="C18" s="76">
        <v>185478548.03</v>
      </c>
      <c r="D18" s="76">
        <v>7980040.7699999996</v>
      </c>
      <c r="E18" s="76">
        <v>393310.37</v>
      </c>
      <c r="F18" s="76">
        <v>0</v>
      </c>
      <c r="G18" s="62">
        <f>+C18+D18-E18-F18</f>
        <v>193065278.43000001</v>
      </c>
    </row>
    <row r="19" spans="1:7" ht="20.100000000000001" customHeight="1" thickBot="1">
      <c r="A19" s="24">
        <v>9</v>
      </c>
      <c r="B19" s="6" t="s">
        <v>130</v>
      </c>
      <c r="C19" s="77">
        <v>63860567.469999999</v>
      </c>
      <c r="D19" s="77">
        <v>1594273.5</v>
      </c>
      <c r="E19" s="77">
        <v>1694177.01</v>
      </c>
      <c r="F19" s="77">
        <v>0</v>
      </c>
      <c r="G19" s="63">
        <f>+C19+D19-E19-F19</f>
        <v>63760663.960000001</v>
      </c>
    </row>
    <row r="20" spans="1:7" ht="20.100000000000001" customHeight="1" thickBot="1">
      <c r="A20" s="24">
        <v>10</v>
      </c>
      <c r="B20" s="44" t="s">
        <v>131</v>
      </c>
      <c r="C20" s="65">
        <f>SUM(C15:C19)+C9</f>
        <v>533357560.76999998</v>
      </c>
      <c r="D20" s="65">
        <f>SUM(D15:D19)+D9</f>
        <v>14562083.939999999</v>
      </c>
      <c r="E20" s="65">
        <f>SUM(E15:E19)+E9</f>
        <v>2240338.94</v>
      </c>
      <c r="F20" s="65">
        <f>SUM(F15:F19)+F9</f>
        <v>0</v>
      </c>
      <c r="G20" s="59">
        <f>+C20+D20-E20-F20</f>
        <v>545679305.76999998</v>
      </c>
    </row>
    <row r="21" spans="1:7" ht="11.25" customHeight="1">
      <c r="A21" s="24"/>
      <c r="B21" s="10"/>
      <c r="C21" s="64"/>
      <c r="D21" s="64"/>
      <c r="E21" s="64"/>
      <c r="F21" s="64"/>
      <c r="G21" s="64"/>
    </row>
    <row r="22" spans="1:7" ht="20.100000000000001" customHeight="1">
      <c r="A22" s="24">
        <v>11</v>
      </c>
      <c r="B22" s="6" t="s">
        <v>132</v>
      </c>
      <c r="C22" s="76">
        <v>0</v>
      </c>
      <c r="D22" s="76">
        <v>0</v>
      </c>
      <c r="E22" s="76">
        <v>0</v>
      </c>
      <c r="F22" s="76">
        <v>0</v>
      </c>
      <c r="G22" s="62">
        <f>+C22+D22-E22-F22</f>
        <v>0</v>
      </c>
    </row>
    <row r="23" spans="1:7" ht="20.100000000000001" customHeight="1">
      <c r="A23" s="24">
        <v>12</v>
      </c>
      <c r="B23" s="6" t="s">
        <v>133</v>
      </c>
      <c r="C23" s="76">
        <v>0</v>
      </c>
      <c r="D23" s="76">
        <v>0</v>
      </c>
      <c r="E23" s="76">
        <v>0</v>
      </c>
      <c r="F23" s="76">
        <v>0</v>
      </c>
      <c r="G23" s="62">
        <f>+C23+D23-E23-F23</f>
        <v>0</v>
      </c>
    </row>
    <row r="24" spans="1:7" ht="20.100000000000001" customHeight="1" thickBot="1">
      <c r="A24" s="24">
        <v>13</v>
      </c>
      <c r="B24" s="6" t="s">
        <v>134</v>
      </c>
      <c r="C24" s="77">
        <v>0</v>
      </c>
      <c r="D24" s="77">
        <v>0</v>
      </c>
      <c r="E24" s="77">
        <v>0</v>
      </c>
      <c r="F24" s="77">
        <v>0</v>
      </c>
      <c r="G24" s="63">
        <f>+C24+D24-E24-F24</f>
        <v>0</v>
      </c>
    </row>
    <row r="25" spans="1:7" ht="20.100000000000001" customHeight="1" thickBot="1">
      <c r="A25" s="24">
        <v>14</v>
      </c>
      <c r="B25" s="44" t="s">
        <v>8</v>
      </c>
      <c r="C25" s="65">
        <f>SUM(C20:C24)</f>
        <v>533357560.76999998</v>
      </c>
      <c r="D25" s="66">
        <f>SUM(D20:D24)</f>
        <v>14562083.939999999</v>
      </c>
      <c r="E25" s="66">
        <f>SUM(E20:E24)</f>
        <v>2240338.94</v>
      </c>
      <c r="F25" s="66">
        <f>SUM(F20:F24)</f>
        <v>0</v>
      </c>
      <c r="G25" s="59">
        <f>+C25+D25-E25-F25</f>
        <v>545679305.76999998</v>
      </c>
    </row>
    <row r="26" spans="1:7" ht="11.25" customHeight="1">
      <c r="A26" s="24"/>
      <c r="B26" s="10"/>
      <c r="C26" s="67"/>
      <c r="D26" s="67"/>
      <c r="E26" s="67"/>
      <c r="F26" s="67"/>
      <c r="G26" s="67"/>
    </row>
    <row r="27" spans="1:7" ht="20.100000000000001" customHeight="1" thickBot="1">
      <c r="A27" s="24">
        <v>15</v>
      </c>
      <c r="B27" s="6" t="s">
        <v>135</v>
      </c>
      <c r="C27" s="77">
        <v>20091649.41</v>
      </c>
      <c r="D27" s="77">
        <v>1370876.72</v>
      </c>
      <c r="E27" s="77">
        <v>0</v>
      </c>
      <c r="F27" s="77">
        <v>13774562.800000001</v>
      </c>
      <c r="G27" s="63">
        <f>+C27+D27-E27-F27</f>
        <v>7687963.3299999982</v>
      </c>
    </row>
    <row r="28" spans="1:7" ht="20.100000000000001" customHeight="1" thickBot="1">
      <c r="A28" s="24">
        <v>16</v>
      </c>
      <c r="B28" s="44" t="s">
        <v>136</v>
      </c>
      <c r="C28" s="65">
        <f>SUM(C25:C27)</f>
        <v>553449210.17999995</v>
      </c>
      <c r="D28" s="66">
        <f>SUM(D25:D27)</f>
        <v>15932960.66</v>
      </c>
      <c r="E28" s="66">
        <f>SUM(E25:E27)</f>
        <v>2240338.94</v>
      </c>
      <c r="F28" s="66">
        <f>SUM(F25:F27)</f>
        <v>13774562.800000001</v>
      </c>
      <c r="G28" s="59">
        <f>+C28+D28-E28-F28</f>
        <v>553367269.0999999</v>
      </c>
    </row>
    <row r="29" spans="1:7" ht="20.100000000000001" customHeight="1">
      <c r="B29" t="s">
        <v>127</v>
      </c>
      <c r="G29" s="8" t="s">
        <v>170</v>
      </c>
    </row>
    <row r="30" spans="1:7">
      <c r="G30" s="169">
        <f>545679305.77+7687963.33-G28</f>
        <v>0</v>
      </c>
    </row>
    <row r="31" spans="1:7">
      <c r="G31" s="8"/>
    </row>
    <row r="32" spans="1:7">
      <c r="G32" s="8" t="s">
        <v>170</v>
      </c>
    </row>
  </sheetData>
  <mergeCells count="5">
    <mergeCell ref="A1:G1"/>
    <mergeCell ref="A2:G2"/>
    <mergeCell ref="A4:G4"/>
    <mergeCell ref="A6:G6"/>
    <mergeCell ref="A3:G3"/>
  </mergeCells>
  <phoneticPr fontId="0" type="noConversion"/>
  <pageMargins left="0.5" right="0.5" top="0.75" bottom="0.5" header="0.5" footer="0.5"/>
  <pageSetup scale="98" orientation="landscape" horizontalDpi="4294967293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80" workbookViewId="0">
      <selection sqref="A1:G1"/>
    </sheetView>
  </sheetViews>
  <sheetFormatPr defaultRowHeight="12.75"/>
  <cols>
    <col min="2" max="2" width="45" customWidth="1"/>
    <col min="3" max="3" width="12.140625" customWidth="1"/>
  </cols>
  <sheetData>
    <row r="1" spans="1:7" ht="15.75">
      <c r="A1" s="180" t="str">
        <f>'Balance sheet'!A1:F1</f>
        <v>Lafayette Utilities System (LAFA)</v>
      </c>
      <c r="B1" s="180"/>
      <c r="C1" s="180"/>
      <c r="D1" s="180"/>
      <c r="E1" s="180"/>
      <c r="F1" s="180"/>
      <c r="G1" s="180"/>
    </row>
    <row r="2" spans="1:7" ht="15">
      <c r="A2" s="181" t="s">
        <v>0</v>
      </c>
      <c r="B2" s="181"/>
      <c r="C2" s="181"/>
      <c r="D2" s="181"/>
      <c r="E2" s="181"/>
      <c r="F2" s="181"/>
      <c r="G2" s="181"/>
    </row>
    <row r="3" spans="1:7" ht="15">
      <c r="A3" s="181" t="s">
        <v>177</v>
      </c>
      <c r="B3" s="181"/>
      <c r="C3" s="181"/>
      <c r="D3" s="181"/>
      <c r="E3" s="181"/>
      <c r="F3" s="181"/>
      <c r="G3" s="181"/>
    </row>
    <row r="4" spans="1:7" ht="15.75">
      <c r="A4" s="182" t="str">
        <f>'Balance sheet'!A4:F4</f>
        <v>For the 12 months ended 10/31/2015</v>
      </c>
      <c r="B4" s="182"/>
      <c r="C4" s="182"/>
      <c r="D4" s="182"/>
      <c r="E4" s="182"/>
      <c r="F4" s="182"/>
      <c r="G4" s="182"/>
    </row>
    <row r="5" spans="1:7">
      <c r="A5" s="25"/>
      <c r="B5" s="25"/>
      <c r="C5" s="25"/>
    </row>
    <row r="6" spans="1:7">
      <c r="A6" t="s">
        <v>137</v>
      </c>
    </row>
    <row r="7" spans="1:7">
      <c r="A7" t="s">
        <v>5</v>
      </c>
    </row>
    <row r="8" spans="1:7">
      <c r="A8">
        <v>1</v>
      </c>
      <c r="B8" t="s">
        <v>138</v>
      </c>
      <c r="C8" s="172">
        <v>16991681</v>
      </c>
    </row>
    <row r="10" spans="1:7">
      <c r="A10" s="168" t="s">
        <v>243</v>
      </c>
    </row>
  </sheetData>
  <mergeCells count="4">
    <mergeCell ref="A1:G1"/>
    <mergeCell ref="A2:G2"/>
    <mergeCell ref="A4:G4"/>
    <mergeCell ref="A3:G3"/>
  </mergeCells>
  <phoneticPr fontId="0" type="noConversion"/>
  <pageMargins left="0.75" right="0.75" top="1" bottom="1" header="0.5" footer="0.5"/>
  <pageSetup scale="86" orientation="portrait" horizontalDpi="4294967293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F31" sqref="F31"/>
    </sheetView>
  </sheetViews>
  <sheetFormatPr defaultRowHeight="12.75"/>
  <cols>
    <col min="1" max="1" width="6.7109375" customWidth="1"/>
    <col min="2" max="2" width="29.5703125" customWidth="1"/>
    <col min="3" max="6" width="15.7109375" customWidth="1"/>
  </cols>
  <sheetData>
    <row r="1" spans="1:7" ht="15.75">
      <c r="A1" s="180" t="str">
        <f>'Balance sheet'!A1:F1</f>
        <v>Lafayette Utilities System (LAFA)</v>
      </c>
      <c r="B1" s="180"/>
      <c r="C1" s="180"/>
      <c r="D1" s="180"/>
      <c r="E1" s="180"/>
      <c r="F1" s="180"/>
      <c r="G1" s="9"/>
    </row>
    <row r="2" spans="1:7" ht="15">
      <c r="A2" s="181" t="s">
        <v>0</v>
      </c>
      <c r="B2" s="181"/>
      <c r="C2" s="181"/>
      <c r="D2" s="181"/>
      <c r="E2" s="181"/>
      <c r="F2" s="181"/>
      <c r="G2" s="9"/>
    </row>
    <row r="3" spans="1:7" ht="15">
      <c r="A3" s="181" t="s">
        <v>178</v>
      </c>
      <c r="B3" s="181"/>
      <c r="C3" s="181"/>
      <c r="D3" s="181"/>
      <c r="E3" s="181"/>
      <c r="F3" s="181"/>
      <c r="G3" s="9"/>
    </row>
    <row r="4" spans="1:7" ht="15.75">
      <c r="A4" s="182" t="str">
        <f>'Balance sheet'!A4:F4</f>
        <v>For the 12 months ended 10/31/2015</v>
      </c>
      <c r="B4" s="182"/>
      <c r="C4" s="182"/>
      <c r="D4" s="182"/>
      <c r="E4" s="182"/>
      <c r="F4" s="182"/>
      <c r="G4" s="20"/>
    </row>
    <row r="6" spans="1:7">
      <c r="A6" s="184" t="s">
        <v>140</v>
      </c>
      <c r="B6" s="184"/>
      <c r="C6" s="184"/>
      <c r="D6" s="184"/>
      <c r="E6" s="184"/>
      <c r="F6" s="184"/>
    </row>
    <row r="7" spans="1:7">
      <c r="A7" s="21" t="s">
        <v>1</v>
      </c>
      <c r="B7" s="17"/>
      <c r="C7" s="17" t="s">
        <v>179</v>
      </c>
      <c r="D7" s="17" t="s">
        <v>180</v>
      </c>
      <c r="E7" s="17" t="s">
        <v>182</v>
      </c>
      <c r="F7" s="17" t="s">
        <v>181</v>
      </c>
    </row>
    <row r="8" spans="1:7">
      <c r="A8" s="23" t="s">
        <v>5</v>
      </c>
      <c r="B8" s="18"/>
      <c r="C8" s="17" t="s">
        <v>139</v>
      </c>
      <c r="D8" s="18" t="s">
        <v>141</v>
      </c>
      <c r="E8" s="18" t="s">
        <v>142</v>
      </c>
      <c r="F8" s="18" t="s">
        <v>143</v>
      </c>
    </row>
    <row r="9" spans="1:7">
      <c r="A9" s="4">
        <v>1</v>
      </c>
      <c r="B9" s="2" t="s">
        <v>144</v>
      </c>
      <c r="C9" s="37"/>
      <c r="D9" s="33"/>
      <c r="E9" s="33"/>
      <c r="F9" s="33"/>
    </row>
    <row r="10" spans="1:7">
      <c r="A10" s="5"/>
      <c r="B10" s="1" t="s">
        <v>145</v>
      </c>
      <c r="C10" s="51">
        <v>8795</v>
      </c>
      <c r="D10" s="79">
        <f>2733733.87-C10</f>
        <v>2724938.87</v>
      </c>
      <c r="E10" s="79">
        <v>1513964.16</v>
      </c>
      <c r="F10" s="83">
        <f>SUM(C10:E10)</f>
        <v>4247698.03</v>
      </c>
    </row>
    <row r="11" spans="1:7">
      <c r="A11" s="5">
        <v>2</v>
      </c>
      <c r="B11" s="1" t="s">
        <v>146</v>
      </c>
      <c r="C11" s="45">
        <v>0</v>
      </c>
      <c r="D11" s="75">
        <v>0</v>
      </c>
      <c r="E11" s="75">
        <v>0</v>
      </c>
      <c r="F11" s="84">
        <f>SUM(C11:E11)</f>
        <v>0</v>
      </c>
    </row>
    <row r="12" spans="1:7">
      <c r="A12" s="4">
        <v>3</v>
      </c>
      <c r="B12" s="2" t="s">
        <v>147</v>
      </c>
      <c r="C12" s="49"/>
      <c r="D12" s="74"/>
      <c r="E12" s="74"/>
      <c r="F12" s="85"/>
    </row>
    <row r="13" spans="1:7">
      <c r="A13" s="5"/>
      <c r="B13" s="71" t="s">
        <v>148</v>
      </c>
      <c r="C13" s="45">
        <v>0</v>
      </c>
      <c r="D13" s="75" t="s">
        <v>241</v>
      </c>
      <c r="E13" s="75">
        <v>0</v>
      </c>
      <c r="F13" s="84">
        <f>SUM(C13:E13)</f>
        <v>0</v>
      </c>
    </row>
    <row r="14" spans="1:7">
      <c r="A14" s="16">
        <v>4</v>
      </c>
      <c r="B14" s="35" t="s">
        <v>149</v>
      </c>
      <c r="C14" s="49"/>
      <c r="D14" s="74"/>
      <c r="E14" s="74"/>
      <c r="F14" s="85"/>
    </row>
    <row r="15" spans="1:7">
      <c r="A15" s="5"/>
      <c r="B15" s="72" t="s">
        <v>150</v>
      </c>
      <c r="C15" s="45">
        <f>325302.87+544414.28</f>
        <v>869717.15</v>
      </c>
      <c r="D15" s="75">
        <f>47658.11+57170.9</f>
        <v>104829.01000000001</v>
      </c>
      <c r="E15" s="75">
        <f>2899388.79+1054243.97+451</f>
        <v>3954083.76</v>
      </c>
      <c r="F15" s="84">
        <f>SUM(C15:E15)</f>
        <v>4928629.92</v>
      </c>
    </row>
    <row r="16" spans="1:7">
      <c r="A16" s="7">
        <v>5</v>
      </c>
      <c r="B16" s="36" t="s">
        <v>151</v>
      </c>
      <c r="C16" s="48">
        <v>87732143.480000004</v>
      </c>
      <c r="D16" s="80">
        <v>0</v>
      </c>
      <c r="E16" s="80">
        <v>0</v>
      </c>
      <c r="F16" s="86">
        <f>SUM(C16:E16)</f>
        <v>87732143.480000004</v>
      </c>
    </row>
    <row r="17" spans="1:7">
      <c r="A17" s="4">
        <v>6</v>
      </c>
      <c r="B17" s="2" t="s">
        <v>152</v>
      </c>
      <c r="C17" s="49"/>
      <c r="D17" s="74"/>
      <c r="E17" s="74"/>
      <c r="F17" s="85"/>
    </row>
    <row r="18" spans="1:7" ht="13.5" thickBot="1">
      <c r="A18" s="5"/>
      <c r="B18" s="71" t="s">
        <v>153</v>
      </c>
      <c r="C18" s="49">
        <v>0</v>
      </c>
      <c r="D18" s="74">
        <v>0</v>
      </c>
      <c r="E18" s="74">
        <v>0</v>
      </c>
      <c r="F18" s="85">
        <f>SUM(C18:E18)</f>
        <v>0</v>
      </c>
    </row>
    <row r="19" spans="1:7" ht="13.5" thickBot="1">
      <c r="A19" s="6">
        <v>7</v>
      </c>
      <c r="B19" s="68" t="s">
        <v>154</v>
      </c>
      <c r="C19" s="65">
        <f>SUM(C10:C18)</f>
        <v>88610655.63000001</v>
      </c>
      <c r="D19" s="69">
        <f>SUM(D10:D18)</f>
        <v>2829767.88</v>
      </c>
      <c r="E19" s="69">
        <f>SUM(E10:E18)</f>
        <v>5468047.9199999999</v>
      </c>
      <c r="F19" s="70">
        <f>SUM(C19:E19)</f>
        <v>96908471.430000007</v>
      </c>
    </row>
    <row r="20" spans="1:7">
      <c r="A20" s="4">
        <v>8</v>
      </c>
      <c r="B20" s="19" t="s">
        <v>155</v>
      </c>
      <c r="C20" s="81"/>
      <c r="D20" s="81"/>
      <c r="E20" s="81"/>
      <c r="F20" s="33"/>
    </row>
    <row r="21" spans="1:7">
      <c r="A21" s="5"/>
      <c r="B21" s="73" t="s">
        <v>156</v>
      </c>
      <c r="C21" s="87" t="s">
        <v>172</v>
      </c>
      <c r="D21" s="75">
        <v>7351427.9400000004</v>
      </c>
      <c r="E21" s="75">
        <v>54491.6</v>
      </c>
      <c r="F21" s="58">
        <f>SUM(D21:E21)</f>
        <v>7405919.54</v>
      </c>
      <c r="G21" t="s">
        <v>170</v>
      </c>
    </row>
    <row r="22" spans="1:7">
      <c r="A22" s="4">
        <v>9</v>
      </c>
      <c r="B22" s="19" t="s">
        <v>157</v>
      </c>
      <c r="C22" s="88"/>
      <c r="D22" s="74"/>
      <c r="E22" s="74"/>
      <c r="F22" s="57"/>
    </row>
    <row r="23" spans="1:7">
      <c r="A23" s="5"/>
      <c r="B23" s="73" t="s">
        <v>158</v>
      </c>
      <c r="C23" s="87" t="s">
        <v>172</v>
      </c>
      <c r="D23" s="75">
        <v>6477622.25</v>
      </c>
      <c r="E23" s="75">
        <v>5421928.5300000003</v>
      </c>
      <c r="F23" s="58">
        <f>+D23+E23</f>
        <v>11899550.780000001</v>
      </c>
    </row>
    <row r="24" spans="1:7">
      <c r="A24" s="4">
        <v>10</v>
      </c>
      <c r="B24" s="19" t="s">
        <v>159</v>
      </c>
      <c r="C24" s="88"/>
      <c r="D24" s="74"/>
      <c r="E24" s="74"/>
      <c r="F24" s="57"/>
    </row>
    <row r="25" spans="1:7">
      <c r="A25" s="5"/>
      <c r="B25" s="73" t="s">
        <v>160</v>
      </c>
      <c r="C25" s="87" t="s">
        <v>172</v>
      </c>
      <c r="D25" s="75">
        <v>2627171.04</v>
      </c>
      <c r="E25" s="75">
        <v>0</v>
      </c>
      <c r="F25" s="58">
        <f>+D25+E25</f>
        <v>2627171.04</v>
      </c>
    </row>
    <row r="26" spans="1:7">
      <c r="A26" s="4">
        <v>11</v>
      </c>
      <c r="B26" s="19" t="s">
        <v>161</v>
      </c>
      <c r="C26" s="88"/>
      <c r="D26" s="74"/>
      <c r="E26" s="74"/>
      <c r="F26" s="57"/>
    </row>
    <row r="27" spans="1:7">
      <c r="A27" s="5"/>
      <c r="B27" s="73" t="s">
        <v>162</v>
      </c>
      <c r="C27" s="87" t="s">
        <v>172</v>
      </c>
      <c r="D27" s="75">
        <v>99986.91</v>
      </c>
      <c r="E27" s="75">
        <v>0</v>
      </c>
      <c r="F27" s="58">
        <f>+D27+E27</f>
        <v>99986.91</v>
      </c>
    </row>
    <row r="28" spans="1:7">
      <c r="A28" s="6">
        <v>12</v>
      </c>
      <c r="B28" s="34" t="s">
        <v>163</v>
      </c>
      <c r="C28" s="82" t="s">
        <v>172</v>
      </c>
      <c r="D28" s="80">
        <v>17743.25</v>
      </c>
      <c r="E28" s="80">
        <v>0</v>
      </c>
      <c r="F28" s="58">
        <f>+D28+E28</f>
        <v>17743.25</v>
      </c>
    </row>
    <row r="29" spans="1:7">
      <c r="A29" s="6">
        <v>13</v>
      </c>
      <c r="B29" s="34" t="s">
        <v>164</v>
      </c>
      <c r="C29" s="82" t="s">
        <v>172</v>
      </c>
      <c r="D29" s="80">
        <v>11048078.65</v>
      </c>
      <c r="E29" s="80">
        <v>0</v>
      </c>
      <c r="F29" s="58">
        <f>+D29+E29</f>
        <v>11048078.65</v>
      </c>
    </row>
    <row r="30" spans="1:7" ht="13.5" thickBot="1">
      <c r="A30" s="4">
        <v>14</v>
      </c>
      <c r="B30" s="19" t="s">
        <v>165</v>
      </c>
      <c r="C30" s="89"/>
      <c r="D30" s="81"/>
      <c r="E30" s="81"/>
      <c r="F30" s="33"/>
    </row>
    <row r="31" spans="1:7" ht="13.5" thickBot="1">
      <c r="A31" s="5"/>
      <c r="B31" s="71" t="s">
        <v>166</v>
      </c>
      <c r="C31" s="65" t="s">
        <v>173</v>
      </c>
      <c r="D31" s="69">
        <f>SUM(D19:D29)</f>
        <v>30451797.920000002</v>
      </c>
      <c r="E31" s="69">
        <f>SUM(E19:E29)</f>
        <v>10944468.050000001</v>
      </c>
      <c r="F31" s="70">
        <f>SUM(F19:F30)</f>
        <v>130006921.60000002</v>
      </c>
      <c r="G31" s="191"/>
    </row>
    <row r="32" spans="1:7">
      <c r="C32" s="8"/>
      <c r="D32" s="8"/>
      <c r="E32" s="8"/>
      <c r="F32" s="8"/>
    </row>
    <row r="33" spans="2:6">
      <c r="B33" s="185" t="s">
        <v>167</v>
      </c>
      <c r="C33" s="186"/>
      <c r="D33" s="170">
        <v>467</v>
      </c>
      <c r="E33" s="8"/>
      <c r="F33" s="8"/>
    </row>
    <row r="34" spans="2:6">
      <c r="B34" s="3" t="s">
        <v>168</v>
      </c>
      <c r="C34" s="29"/>
      <c r="D34" s="171">
        <v>39</v>
      </c>
      <c r="E34" s="8"/>
      <c r="F34" s="8"/>
    </row>
    <row r="35" spans="2:6">
      <c r="C35" s="8"/>
      <c r="D35" s="8"/>
      <c r="E35" s="8"/>
      <c r="F35" s="8"/>
    </row>
    <row r="36" spans="2:6">
      <c r="B36" t="s">
        <v>169</v>
      </c>
    </row>
    <row r="37" spans="2:6">
      <c r="B37" t="s">
        <v>171</v>
      </c>
    </row>
  </sheetData>
  <mergeCells count="6">
    <mergeCell ref="A6:F6"/>
    <mergeCell ref="B33:C33"/>
    <mergeCell ref="A1:F1"/>
    <mergeCell ref="A2:F2"/>
    <mergeCell ref="A4:F4"/>
    <mergeCell ref="A3:F3"/>
  </mergeCells>
  <phoneticPr fontId="0" type="noConversion"/>
  <pageMargins left="0.75" right="0.75" top="1" bottom="1" header="0.5" footer="0.5"/>
  <pageSetup scale="83" orientation="portrait" horizontalDpi="429496729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Balance sheet</vt:lpstr>
      <vt:lpstr>Income Statement</vt:lpstr>
      <vt:lpstr>Electric Plant</vt:lpstr>
      <vt:lpstr>Taxes</vt:lpstr>
      <vt:lpstr>Op &amp; Maint</vt:lpstr>
      <vt:lpstr>Notes</vt:lpstr>
      <vt:lpstr>'Income Statement'!Print_Area</vt:lpstr>
    </vt:vector>
  </TitlesOfParts>
  <Company>Michigan Public Power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Horstmanshof</dc:creator>
  <cp:lastModifiedBy>Derik Godeaux</cp:lastModifiedBy>
  <cp:lastPrinted>2009-03-12T15:44:21Z</cp:lastPrinted>
  <dcterms:created xsi:type="dcterms:W3CDTF">2005-04-15T13:36:01Z</dcterms:created>
  <dcterms:modified xsi:type="dcterms:W3CDTF">2016-04-25T16:08:40Z</dcterms:modified>
</cp:coreProperties>
</file>