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420" yWindow="1230" windowWidth="9570" windowHeight="11010" tabRatio="297" firstSheet="1" activeTab="1"/>
  </bookViews>
  <sheets>
    <sheet name="Nonlevelized-IOU" sheetId="1" r:id="rId1"/>
    <sheet name="Balancing Authority Charges" sheetId="2" r:id="rId2"/>
  </sheets>
  <definedNames>
    <definedName name="_xlnm.Print_Area" localSheetId="1">'Balancing Authority Charges'!$A$1:$G$9</definedName>
    <definedName name="_xlnm.Print_Area" localSheetId="0">'Nonlevelized-IOU'!$A$1:$K$311</definedName>
  </definedNames>
  <calcPr calcId="145621"/>
</workbook>
</file>

<file path=xl/calcChain.xml><?xml version="1.0" encoding="utf-8"?>
<calcChain xmlns="http://schemas.openxmlformats.org/spreadsheetml/2006/main">
  <c r="F3" i="2" l="1"/>
  <c r="F4" i="2"/>
  <c r="D8" i="2"/>
  <c r="D148" i="1" l="1"/>
  <c r="D152" i="1" s="1"/>
  <c r="I216" i="1" l="1"/>
  <c r="D228" i="1" l="1"/>
  <c r="I23" i="1" l="1"/>
  <c r="D162" i="1" l="1"/>
  <c r="I238" i="1" l="1"/>
  <c r="D249" i="1"/>
  <c r="D156" i="1"/>
  <c r="D112" i="1"/>
  <c r="D85" i="1"/>
  <c r="D88" i="1"/>
  <c r="D80" i="1" l="1"/>
  <c r="G6" i="2" l="1"/>
  <c r="G5" i="2"/>
  <c r="G4" i="2"/>
  <c r="G3" i="2"/>
  <c r="G8" i="2" s="1"/>
  <c r="I268" i="1" l="1"/>
  <c r="D15" i="1" s="1"/>
  <c r="D111" i="1"/>
  <c r="D114" i="1" s="1"/>
  <c r="N218" i="1"/>
  <c r="N223" i="1"/>
  <c r="I207" i="1"/>
  <c r="D14" i="1"/>
  <c r="D82" i="1"/>
  <c r="G225" i="1"/>
  <c r="G227" i="1"/>
  <c r="G228" i="1"/>
  <c r="D235" i="1"/>
  <c r="G233" i="1" s="1"/>
  <c r="I215" i="1"/>
  <c r="I217" i="1" s="1"/>
  <c r="D93" i="1"/>
  <c r="D94" i="1"/>
  <c r="D95" i="1"/>
  <c r="D96" i="1"/>
  <c r="G249" i="1"/>
  <c r="I244" i="1"/>
  <c r="I246" i="1" s="1"/>
  <c r="D251" i="1" s="1"/>
  <c r="D252" i="1" s="1"/>
  <c r="G250" i="1"/>
  <c r="D172" i="1"/>
  <c r="D176" i="1" s="1"/>
  <c r="D180" i="1" s="1"/>
  <c r="I30" i="1"/>
  <c r="D229" i="1"/>
  <c r="I151" i="1"/>
  <c r="D106" i="1"/>
  <c r="D97" i="1"/>
  <c r="D169" i="1"/>
  <c r="D158" i="1"/>
  <c r="K272" i="1"/>
  <c r="H200" i="1"/>
  <c r="K135" i="1"/>
  <c r="K68" i="1"/>
  <c r="F15" i="1"/>
  <c r="F16" i="1" s="1"/>
  <c r="F17" i="1" s="1"/>
  <c r="I41" i="1"/>
  <c r="I42" i="1"/>
  <c r="I144" i="1"/>
  <c r="C71" i="1"/>
  <c r="F149" i="1"/>
  <c r="F85" i="1"/>
  <c r="F101" i="1" s="1"/>
  <c r="F166" i="1" s="1"/>
  <c r="F167" i="1"/>
  <c r="I259" i="1"/>
  <c r="I231" i="1"/>
  <c r="F104" i="1"/>
  <c r="C275" i="1"/>
  <c r="F86" i="1"/>
  <c r="C203" i="1"/>
  <c r="C138" i="1"/>
  <c r="F163" i="1"/>
  <c r="B157" i="1"/>
  <c r="B155" i="1"/>
  <c r="C150" i="1"/>
  <c r="F147" i="1"/>
  <c r="F148" i="1" s="1"/>
  <c r="F108" i="1"/>
  <c r="B89" i="1"/>
  <c r="B97" i="1" s="1"/>
  <c r="B88" i="1"/>
  <c r="B96" i="1" s="1"/>
  <c r="B87" i="1"/>
  <c r="B95" i="1" s="1"/>
  <c r="B86" i="1"/>
  <c r="B94" i="1" s="1"/>
  <c r="B85" i="1"/>
  <c r="B93" i="1" s="1"/>
  <c r="D90" i="1"/>
  <c r="F89" i="1"/>
  <c r="F88" i="1"/>
  <c r="G87" i="1"/>
  <c r="F87" i="1"/>
  <c r="G85" i="1"/>
  <c r="I219" i="1" l="1"/>
  <c r="N224" i="1"/>
  <c r="I210" i="1"/>
  <c r="I212" i="1" s="1"/>
  <c r="D98" i="1"/>
  <c r="D116" i="1" s="1"/>
  <c r="E250" i="1"/>
  <c r="I250" i="1" s="1"/>
  <c r="E251" i="1"/>
  <c r="I251" i="1" s="1"/>
  <c r="E249" i="1"/>
  <c r="I249" i="1" s="1"/>
  <c r="G78" i="1" l="1"/>
  <c r="I220" i="1"/>
  <c r="I221" i="1" s="1"/>
  <c r="G112" i="1" s="1"/>
  <c r="I112" i="1" s="1"/>
  <c r="E226" i="1"/>
  <c r="G226" i="1" s="1"/>
  <c r="G229" i="1" s="1"/>
  <c r="I229" i="1" s="1"/>
  <c r="I233" i="1" s="1"/>
  <c r="K233" i="1" s="1"/>
  <c r="G81" i="1" s="1"/>
  <c r="G14" i="1"/>
  <c r="G15" i="1" s="1"/>
  <c r="I78" i="1"/>
  <c r="G86" i="1"/>
  <c r="I252" i="1"/>
  <c r="G80" i="1" l="1"/>
  <c r="I80" i="1" s="1"/>
  <c r="G143" i="1"/>
  <c r="I143" i="1" s="1"/>
  <c r="I14" i="1"/>
  <c r="G108" i="1"/>
  <c r="I86" i="1"/>
  <c r="I94" i="1" s="1"/>
  <c r="D173" i="1"/>
  <c r="D183" i="1"/>
  <c r="G16" i="1"/>
  <c r="I15" i="1"/>
  <c r="G89" i="1"/>
  <c r="I81" i="1"/>
  <c r="G88" i="1" l="1"/>
  <c r="I88" i="1" s="1"/>
  <c r="I96" i="1" s="1"/>
  <c r="G145" i="1"/>
  <c r="I145" i="1" s="1"/>
  <c r="G149" i="1"/>
  <c r="I149" i="1" s="1"/>
  <c r="I89" i="1"/>
  <c r="I97" i="1" s="1"/>
  <c r="G150" i="1"/>
  <c r="I16" i="1"/>
  <c r="G17" i="1"/>
  <c r="I17" i="1" s="1"/>
  <c r="D179" i="1"/>
  <c r="D181" i="1" s="1"/>
  <c r="D186" i="1" s="1"/>
  <c r="D195" i="1" s="1"/>
  <c r="G146" i="1"/>
  <c r="G155" i="1"/>
  <c r="I155" i="1" s="1"/>
  <c r="I108" i="1"/>
  <c r="I82" i="1"/>
  <c r="G82" i="1" s="1"/>
  <c r="I98" i="1" l="1"/>
  <c r="G98" i="1" s="1"/>
  <c r="G102" i="1" s="1"/>
  <c r="I18" i="1"/>
  <c r="I90" i="1"/>
  <c r="G113" i="1"/>
  <c r="I113" i="1" s="1"/>
  <c r="G165" i="1"/>
  <c r="G156" i="1"/>
  <c r="G147" i="1"/>
  <c r="I146" i="1"/>
  <c r="G157" i="1"/>
  <c r="I157" i="1" s="1"/>
  <c r="I150" i="1"/>
  <c r="G180" i="1" l="1"/>
  <c r="I180" i="1" s="1"/>
  <c r="G148" i="1"/>
  <c r="I148" i="1" s="1"/>
  <c r="I147" i="1"/>
  <c r="G167" i="1"/>
  <c r="I167" i="1" s="1"/>
  <c r="G168" i="1"/>
  <c r="I168" i="1" s="1"/>
  <c r="I165" i="1"/>
  <c r="I156" i="1"/>
  <c r="I158" i="1" s="1"/>
  <c r="G162" i="1"/>
  <c r="G103" i="1"/>
  <c r="I102" i="1"/>
  <c r="I152" i="1" l="1"/>
  <c r="I111" i="1" s="1"/>
  <c r="I114" i="1" s="1"/>
  <c r="G104" i="1"/>
  <c r="I104" i="1" s="1"/>
  <c r="G105" i="1"/>
  <c r="I105" i="1" s="1"/>
  <c r="I103" i="1"/>
  <c r="I162" i="1"/>
  <c r="G163" i="1"/>
  <c r="I163" i="1" s="1"/>
  <c r="I169" i="1" l="1"/>
  <c r="I106" i="1"/>
  <c r="I116" i="1" s="1"/>
  <c r="I183" i="1" s="1"/>
  <c r="I179" i="1" s="1"/>
  <c r="I181" i="1" s="1"/>
  <c r="I186" i="1" l="1"/>
  <c r="I195" i="1" s="1"/>
  <c r="I11" i="1" s="1"/>
  <c r="I20" i="1" s="1"/>
  <c r="D32" i="1" s="1"/>
  <c r="D38" i="1" l="1"/>
  <c r="I37" i="1"/>
  <c r="I38" i="1"/>
  <c r="D37" i="1"/>
  <c r="D36" i="1"/>
  <c r="D33" i="1"/>
  <c r="I36" i="1"/>
</calcChain>
</file>

<file path=xl/sharedStrings.xml><?xml version="1.0" encoding="utf-8"?>
<sst xmlns="http://schemas.openxmlformats.org/spreadsheetml/2006/main" count="495" uniqueCount="382">
  <si>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</si>
  <si>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</si>
  <si>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</si>
  <si>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</si>
  <si>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</si>
  <si>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</si>
  <si>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</si>
  <si>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</si>
  <si>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</si>
  <si>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</si>
  <si>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</si>
  <si>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</si>
  <si>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</si>
  <si>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</si>
  <si>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</si>
  <si>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</si>
  <si>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</si>
  <si>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</si>
  <si>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</si>
  <si>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</si>
  <si>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</si>
  <si>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</si>
  <si>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</si>
  <si>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</si>
  <si>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</si>
  <si>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</si>
  <si>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</si>
  <si>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</si>
  <si>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</si>
  <si>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</si>
  <si>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</si>
  <si>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</si>
  <si>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</si>
  <si>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</si>
  <si>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</si>
  <si>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</si>
  <si>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</si>
  <si>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</si>
  <si>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</si>
  <si>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</si>
  <si>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</si>
  <si>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</si>
  <si>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</si>
  <si>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</si>
  <si>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</si>
  <si>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</si>
  <si>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</si>
  <si>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</si>
  <si>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</si>
  <si>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</si>
  <si>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</si>
  <si>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</si>
  <si>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</si>
  <si>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NET PLANT IN SERVICE</t>
  </si>
  <si>
    <t>NP=</t>
  </si>
  <si>
    <t>273.8.k</t>
  </si>
  <si>
    <t>NP</t>
  </si>
  <si>
    <t>275.2.k</t>
  </si>
  <si>
    <t>277.9.k</t>
  </si>
  <si>
    <t>234.8.c</t>
  </si>
  <si>
    <t xml:space="preserve">LAND HELD FOR FUTURE USE </t>
  </si>
  <si>
    <t>214.x.d  (Note G)</t>
  </si>
  <si>
    <t xml:space="preserve">  Materials &amp; Supplies  (Note G)</t>
  </si>
  <si>
    <t>TE</t>
  </si>
  <si>
    <t>GP</t>
  </si>
  <si>
    <t xml:space="preserve">  Transmission </t>
  </si>
  <si>
    <t xml:space="preserve">     Less Account 565</t>
  </si>
  <si>
    <t xml:space="preserve">  A&amp;G</t>
  </si>
  <si>
    <t xml:space="preserve">     Less FERC Annual Fees</t>
  </si>
  <si>
    <t xml:space="preserve">  Transmission Lease Payments</t>
  </si>
  <si>
    <t>336.7.b</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</si>
  <si>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</si>
  <si>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</si>
  <si>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</si>
  <si>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</si>
  <si>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</si>
  <si>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</si>
  <si>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</si>
  <si>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</si>
  <si>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</si>
  <si>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</si>
  <si>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</si>
  <si>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</si>
  <si>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</si>
  <si>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</si>
  <si>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</si>
  <si>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</si>
  <si>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</si>
  <si>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</si>
  <si>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</si>
  <si>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</si>
  <si>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</si>
  <si>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</si>
  <si>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</si>
  <si>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</si>
  <si>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</si>
  <si>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</si>
  <si>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</si>
  <si>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</si>
  <si>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</si>
  <si>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</si>
  <si>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</si>
  <si>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</si>
  <si>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</si>
  <si>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</si>
  <si>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</si>
  <si>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</si>
  <si>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</si>
  <si>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</si>
  <si>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</si>
  <si>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</si>
  <si>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</si>
  <si>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</si>
  <si>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</si>
  <si>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</si>
  <si>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</si>
  <si>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</si>
  <si>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</si>
  <si>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</si>
  <si>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</si>
  <si>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</si>
  <si>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</si>
  <si>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</si>
  <si>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</si>
  <si>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</si>
  <si>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</si>
  <si>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</si>
  <si>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</si>
  <si>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</si>
  <si>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</si>
  <si>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</si>
  <si>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</si>
  <si>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</si>
  <si>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</si>
  <si>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</si>
  <si>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</si>
  <si>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</si>
  <si>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</si>
  <si>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</si>
  <si>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</si>
  <si>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</si>
  <si>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</si>
  <si>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</si>
  <si>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</si>
  <si>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</si>
  <si>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</si>
  <si>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</si>
  <si>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Account No. 281 (enter negative)</t>
  </si>
  <si>
    <t xml:space="preserve">  Account No. 282 (enter negative)</t>
  </si>
  <si>
    <t xml:space="preserve">  Account No. 283 (enter negative)</t>
  </si>
  <si>
    <t xml:space="preserve">  Account No. 255 (enter negative)</t>
  </si>
  <si>
    <t xml:space="preserve">  Account No. 190 </t>
  </si>
  <si>
    <t>RATE BASE  (sum lines 18, 24, 25, &amp; 29)</t>
  </si>
  <si>
    <t xml:space="preserve">  Prepayments (Account 165)</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</si>
  <si>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</si>
  <si>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</si>
  <si>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</si>
  <si>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</si>
  <si>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</si>
  <si>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</si>
  <si>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</si>
  <si>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</si>
  <si>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</si>
  <si>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</si>
  <si>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</si>
  <si>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</si>
  <si>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</si>
  <si>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</si>
  <si>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</si>
  <si>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(line 1 minus line 6)</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</si>
  <si>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</si>
  <si>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</si>
  <si>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</si>
  <si>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</si>
  <si>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</si>
  <si>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</si>
  <si>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</si>
  <si>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 xml:space="preserve">      1 / (1 - T)  = (from line 21)</t>
  </si>
  <si>
    <t xml:space="preserve">       and FIT, SIT &amp; p are as given in footnote K.</t>
  </si>
  <si>
    <t>Income Tax Calculation = line 22 * line 28</t>
  </si>
  <si>
    <t>REV. REQUIREMENT  (sum lines 8, 12, 20, 27, 28)</t>
  </si>
  <si>
    <t>ITC adjustment (line 23 * line 24)</t>
  </si>
  <si>
    <t>(line 25 plus line 26)</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</si>
  <si>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</si>
  <si>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</si>
  <si>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</si>
  <si>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</si>
  <si>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</si>
  <si>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</si>
  <si>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</si>
  <si>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</si>
  <si>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</si>
  <si>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</si>
  <si>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</si>
  <si>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</si>
  <si>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</si>
  <si>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</si>
  <si>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</si>
  <si>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</si>
  <si>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</si>
  <si>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</si>
  <si>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page 1 of 5</t>
  </si>
  <si>
    <t>page 2 of 5</t>
  </si>
  <si>
    <t>page 3 of 5</t>
  </si>
  <si>
    <t>page 4 of 5</t>
  </si>
  <si>
    <t>page 5 of 5</t>
  </si>
  <si>
    <t>219.20-24.c</t>
  </si>
  <si>
    <t>219.25.c</t>
  </si>
  <si>
    <t>219.26.c</t>
  </si>
  <si>
    <t>201.3.d</t>
  </si>
  <si>
    <t>201.3.e</t>
  </si>
  <si>
    <t>(330.x.n)</t>
  </si>
  <si>
    <t>U</t>
  </si>
  <si>
    <t>267.8.h</t>
  </si>
  <si>
    <t>Long Term Interest (117, sum of 62.c through 67.c)</t>
  </si>
  <si>
    <t>Proprietary Capital (112.16.c)</t>
  </si>
  <si>
    <t>Less Account 216.1 (112.12.c)  (enter negative)</t>
  </si>
  <si>
    <t xml:space="preserve">  Long Term Debt (112, sum of  18.c through 21.c)</t>
  </si>
  <si>
    <t>111.57.c</t>
  </si>
  <si>
    <t>207.58.g</t>
  </si>
  <si>
    <t>207.75.g</t>
  </si>
  <si>
    <t>1a</t>
  </si>
  <si>
    <t xml:space="preserve">  Account No. 456.1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</si>
  <si>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</si>
  <si>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Account 456.1 entry shall be the annual total of the quarterly values reported at Form 1, 330.x.n.</t>
  </si>
  <si>
    <t>V</t>
  </si>
  <si>
    <t>205.46.g</t>
  </si>
  <si>
    <t>205.5.g &amp; 207.99.g</t>
  </si>
  <si>
    <t>321.112.b</t>
  </si>
  <si>
    <t>321.96.b</t>
  </si>
  <si>
    <t>323.197.b</t>
  </si>
  <si>
    <t>336.11.b</t>
  </si>
  <si>
    <t>354.20.b</t>
  </si>
  <si>
    <t>354.21.b</t>
  </si>
  <si>
    <t>354.23.b</t>
  </si>
  <si>
    <t>227.8.c &amp; .16.c</t>
  </si>
  <si>
    <t>36a</t>
  </si>
  <si>
    <t>W</t>
  </si>
  <si>
    <t>X</t>
  </si>
  <si>
    <t>REV. REQUIREMENT TO BE COLLECTED UNDER ATTACHMENT O</t>
  </si>
  <si>
    <t>included in Attachment GG]</t>
  </si>
  <si>
    <t xml:space="preserve">[Revenue Requirement for facilities included on page 2, line 2, and also  </t>
  </si>
  <si>
    <t xml:space="preserve">  [Rate Base (page 2, line 30) * Rate of Return (page 4, line 30)]</t>
  </si>
  <si>
    <t>References to data from FERC Form 1 are indicated as:   #.y.x  (page, line, column)</t>
  </si>
  <si>
    <t>General Note:   References to pages in this formulary rate are indicated as:  (page#, line#, col.#)</t>
  </si>
  <si>
    <t>(Note E)</t>
  </si>
  <si>
    <t xml:space="preserve">       where WCLTD=(page 4, line 27) and R= (page 4, line 30)</t>
  </si>
  <si>
    <t>FERC Annual Charge ($/MWh)</t>
  </si>
  <si>
    <t>(line 1- line 7)</t>
  </si>
  <si>
    <t>(line 2- line 8)</t>
  </si>
  <si>
    <t>(line 3 - line 9)</t>
  </si>
  <si>
    <t>(line 4 - line 10)</t>
  </si>
  <si>
    <t>(line 5 - line 11)</t>
  </si>
  <si>
    <t>ADJUSTMENTS TO RATE BASE  (Note F)</t>
  </si>
  <si>
    <t xml:space="preserve">  Less Contract Demand from Grandfathered Interzonal Transactions over one year (enter negative)  (Note S)</t>
  </si>
  <si>
    <t xml:space="preserve">     Less LSE Expenses included in Transmission O&amp;M Accounts  (Note V)</t>
  </si>
  <si>
    <t xml:space="preserve">     Plus Transmission Related Reg. Comm.  Exp.  (Note I)</t>
  </si>
  <si>
    <t>TAXES OTHER THAN INCOME TAXES  (Note J)</t>
  </si>
  <si>
    <t>(Note K)</t>
  </si>
  <si>
    <t>Less transmission plant excluded from ISO rates  (Note M)</t>
  </si>
  <si>
    <t>Total transmission plant  (page 2, line 2, column 3)</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</si>
  <si>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</si>
  <si>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</si>
  <si>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</si>
  <si>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</si>
  <si>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</si>
  <si>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</si>
  <si>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</si>
  <si>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</si>
  <si>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 25, 26.b</t>
  </si>
  <si>
    <t>COMMON PLANT ALLOCATOR  (CE)  (Note O)</t>
  </si>
  <si>
    <t xml:space="preserve">  Preferred Stock  (112.3.c)</t>
  </si>
  <si>
    <t>ACCOUNT 456.1 (OTHER ELECTRIC REVENUES)  (Note U)</t>
  </si>
  <si>
    <t>TOTAL ADJUSTMENTS  (sum lines 19 - 23)</t>
  </si>
  <si>
    <t>TOTAL WORKING CAPITAL  (sum lines 26 - 28)</t>
  </si>
  <si>
    <t>TOTAL NET PLANT  (sum lines 13-17)</t>
  </si>
  <si>
    <t>TOTAL GROSS PLANT  (sum lines 1-5)</t>
  </si>
  <si>
    <t>TOTAL ACCUM. DEPRECIATION  (sum lines 7-11)</t>
  </si>
  <si>
    <t>TOTAL DEPRECIATION  (sum lines 9 - 11)</t>
  </si>
  <si>
    <t>Rate Formula Template</t>
  </si>
  <si>
    <t>Utilizing FERC Form 1 Data</t>
  </si>
  <si>
    <t>Inputs Required:</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</si>
  <si>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</si>
  <si>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</si>
  <si>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</si>
  <si>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</si>
  <si>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Removes transmission plant determined by Commission order to be state-jurisdictional according to the seven-factor test (until Form 1 balances are adjusted to reflect application of seven-factor test).</t>
  </si>
  <si>
    <t>Debt cost rate = long-term interest (line 21) / long term debt (line 27).  Preferred cost rate = preferred dividends (line 22) / preferred outstanding (line 28).   ROE will be supported in the original filing and no change in ROE may be made absent a filing with FERC.</t>
  </si>
  <si>
    <t>Line 33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</si>
  <si>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</si>
  <si>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</si>
  <si>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</si>
  <si>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</si>
  <si>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Please fill out info requested in the box below</t>
  </si>
  <si>
    <t>Schedule 1 Recoverable Expenses</t>
  </si>
  <si>
    <t>Acct 561.1 - 561.3, 561.BA included in Line 7</t>
  </si>
  <si>
    <t>Acct 561.BA for Schedule 24</t>
  </si>
  <si>
    <t>Acct 561.1 - 561.3 available for Schedule 1</t>
  </si>
  <si>
    <t>Revenue Credits for Sched 1 Acct 561.1 - 561.3</t>
  </si>
  <si>
    <t>transactions &lt;1 yr</t>
  </si>
  <si>
    <t>non-firm</t>
  </si>
  <si>
    <t>transactions w/ load not in divisor</t>
  </si>
  <si>
    <t>total Revenue Credits</t>
  </si>
  <si>
    <t>Net Schedule 1 Expenses (Acct 561.1-561.3 minus Credits)</t>
  </si>
  <si>
    <t>TOTAL O&amp;M  (sum lines 1, 3, 5a, 6, 7 less lines 1a, 2, 4, 5)</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</si>
  <si>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</si>
  <si>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LESS ATTACHMENT GG ADJUSTMENT [Attachment GG, page 2, line 3, column 10]   (Note W)</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</si>
  <si>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</si>
  <si>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Peak as would be reported on page 401, column d of Form 1 at the time of the applicable pricing zone coincident monthly peaks.</t>
  </si>
  <si>
    <t>Labeled LF on page 328 of Form 1 at the time of the applicable pricing zone coincident monthly peaks.</t>
  </si>
  <si>
    <t>30a</t>
  </si>
  <si>
    <t>included in Attachment MM]</t>
  </si>
  <si>
    <t>(line 29 - line 30 - line 30a)</t>
  </si>
  <si>
    <t>36b</t>
  </si>
  <si>
    <t xml:space="preserve">  Total of (a)-(b)-(c)-(d)</t>
  </si>
  <si>
    <t>Y</t>
  </si>
  <si>
    <t>Z</t>
  </si>
  <si>
    <t>GROSS PLANT IN SERVICE  (Note AA)</t>
  </si>
  <si>
    <t>ACCUMULATED DEPRECIATION  (Note AA)</t>
  </si>
  <si>
    <t>219.28.c &amp; 200.21.c</t>
  </si>
  <si>
    <t>O&amp;M  (Note BB)</t>
  </si>
  <si>
    <t>DEPRECIATION AND AMORTIZATION EXPENSE (Note AA)</t>
  </si>
  <si>
    <t>336.10.f &amp; 336.1.f</t>
  </si>
  <si>
    <t xml:space="preserve">Account Nos. 561.4 and 561.8 consist of RTO expenses billed to load-serving entities and are not included in Transmission Owner revenue requirements.  </t>
  </si>
  <si>
    <t>AA</t>
  </si>
  <si>
    <t>Plant in Service, Accumulated Depreciation, and Depreciation Expense amounts exclude Asset Retirement Obligation amounts unless authorized by FERC.</t>
  </si>
  <si>
    <t>Schedule 10-FERC charges should not be included in O&amp;M recovered under this Attachment O.</t>
  </si>
  <si>
    <t>BB</t>
  </si>
  <si>
    <t>Amortized Investment Tax Credit (266.8.f) (enter negative)</t>
  </si>
  <si>
    <t>Labeled LF, LU, IF, IU on pages 310-311 of Form 1 at the time of the applicable pricing zone coincident monthly peaks.</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</si>
  <si>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</si>
  <si>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</si>
  <si>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</si>
  <si>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</si>
  <si>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</si>
  <si>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</si>
  <si>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</si>
  <si>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INDIANAPOLIS POWER &amp; LIGHT COMPANY</t>
  </si>
  <si>
    <t>Zero - Our Land Held for Future Use in not Transmission Related</t>
  </si>
  <si>
    <t xml:space="preserve">ok </t>
  </si>
  <si>
    <t>As noted in 2010 schedule, can only use p2 line 23 or this line.  We chose to use p2 line 23.</t>
  </si>
  <si>
    <t>Confirm Rate with Cathy Brewster @ MISO</t>
  </si>
  <si>
    <t>Displayed % may not total 100% because of rounding.</t>
  </si>
  <si>
    <t>Amount is Zero in 2012</t>
  </si>
  <si>
    <t>for line 35a</t>
  </si>
  <si>
    <t>per Doug Hopkins w/p.  Used in previous years.</t>
  </si>
  <si>
    <t>FERC</t>
  </si>
  <si>
    <t>IPL Cost</t>
  </si>
  <si>
    <t>Labor Component</t>
  </si>
  <si>
    <t>Percentage Of Labor</t>
  </si>
  <si>
    <t>Schedule 24</t>
  </si>
  <si>
    <t>Account</t>
  </si>
  <si>
    <t>Center</t>
  </si>
  <si>
    <t>Center Name</t>
  </si>
  <si>
    <t>Annual Cost</t>
  </si>
  <si>
    <t>Of Total Annual Cost</t>
  </si>
  <si>
    <t>For Schedule 24 BA</t>
  </si>
  <si>
    <t>BA Charge</t>
  </si>
  <si>
    <t>Transmission Operations</t>
  </si>
  <si>
    <t>Supply Coordination</t>
  </si>
  <si>
    <t>Balancing Authority</t>
  </si>
  <si>
    <t>Schedule 24 BA</t>
  </si>
  <si>
    <t>N/A in 2012</t>
  </si>
  <si>
    <t xml:space="preserve">per Doug Hopkins w/p. </t>
  </si>
  <si>
    <t>See Scheddule GG</t>
  </si>
  <si>
    <t>See Scheddule MM - N/A</t>
  </si>
  <si>
    <t>P351.x.h</t>
  </si>
  <si>
    <t>For the 12 months ended 12/31/2013</t>
  </si>
  <si>
    <t>p263.6,16,17.i</t>
  </si>
  <si>
    <t>p263.7,18.i</t>
  </si>
  <si>
    <t>p263.3.i</t>
  </si>
  <si>
    <t>p263.4.i</t>
  </si>
  <si>
    <t>p263.8,9.i</t>
  </si>
  <si>
    <t>per FERC page 300.22.b</t>
  </si>
  <si>
    <t>ACCOUNT 454 (RENT FROM ELECTRIC PROPERTY)  (Note R) (300.19.b)</t>
  </si>
  <si>
    <t>If amts reflected on Line 4 they should be supported by schedules.</t>
  </si>
  <si>
    <t>If amts reflected on Line 5 they should be supported by schedules.</t>
  </si>
  <si>
    <t>p401b.x.d</t>
  </si>
  <si>
    <t>p310.x.f</t>
  </si>
  <si>
    <t>p328-329.x.h</t>
  </si>
  <si>
    <t>p321.88,92.b</t>
  </si>
  <si>
    <t xml:space="preserve">     Less EPRI &amp; Reg. Comm. Exp. &amp; Non-safety  Ad.  (Note I)(p323.191.b &amp; p351.x.h)</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</si>
</sst>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quot;$&quot;* #,##0_);_(&quot;$&quot;* \(#,##0\);_(&quot;$&quot;* &quot;-&quot;??_);_(@_)"/>
  </numFmts>
  <fonts count="23">
    <font>
      <sz val="12"/>
      <name val="Arial MT"/>
    </font>
    <font>
      <sz val="11"/>
      <color theme="1"/>
      <name val="Calibri"/>
      <family val="2"/>
      <scheme val="minor"/>
    </font>
    <font>
      <sz val="12"/>
      <name val="Times New Roman"/>
      <family val="1"/>
    </font>
    <font>
      <b/>
      <sz val="12"/>
      <name val="Times New Roman"/>
      <family val="1"/>
    </font>
    <font>
      <sz val="12"/>
      <color indexed="10"/>
      <name val="Times New Roman"/>
      <family val="1"/>
    </font>
    <font>
      <strike/>
      <sz val="12"/>
      <color indexed="10"/>
      <name val="Times New Roman"/>
      <family val="1"/>
    </font>
    <font>
      <b/>
      <sz val="12"/>
      <color indexed="48"/>
      <name val="Times New Roman"/>
      <family val="1"/>
    </font>
    <font>
      <sz val="10"/>
      <name val="Arial"/>
      <family val="2"/>
    </font>
    <font>
      <sz val="12"/>
      <color indexed="17"/>
      <name val="Arial MT"/>
    </font>
    <font>
      <strike/>
      <sz val="12"/>
      <color indexed="53"/>
      <name val="Arial MT"/>
    </font>
    <font>
      <u/>
      <sz val="12"/>
      <color indexed="17"/>
      <name val="Arial MT"/>
    </font>
    <font>
      <sz val="12"/>
      <name val="Arial MT"/>
    </font>
    <font>
      <b/>
      <sz val="12"/>
      <color indexed="10"/>
      <name val="Times New Roman"/>
      <family val="1"/>
    </font>
    <font>
      <sz val="12"/>
      <color indexed="12"/>
      <name val="Times New Roman"/>
      <family val="1"/>
    </font>
    <font>
      <sz val="12"/>
      <name val="Arial"/>
      <family val="2"/>
    </font>
    <font>
      <u/>
      <sz val="12"/>
      <name val="Arial"/>
      <family val="2"/>
    </font>
    <font>
      <sz val="12"/>
      <color indexed="12"/>
      <name val="Arial"/>
      <family val="2"/>
    </font>
    <font>
      <sz val="12"/>
      <color indexed="10"/>
      <name val="Arial"/>
      <family val="2"/>
    </font>
    <font>
      <sz val="12"/>
      <color rgb="FFFF0000"/>
      <name val="Arial MT"/>
    </font>
    <font>
      <b/>
      <sz val="14"/>
      <color rgb="FFFF0000"/>
      <name val="Times New Roman"/>
      <family val="1"/>
    </font>
    <font>
      <sz val="12"/>
      <color rgb="FF92D050"/>
      <name val="Times New Roman"/>
      <family val="1"/>
    </font>
    <font>
      <sz val="12"/>
      <color theme="0"/>
      <name val="Times New Roman"/>
      <family val="1"/>
    </font>
    <font>
      <b/>
      <sz val="12"/>
      <color theme="0"/>
      <name val="Times New Roman"/>
      <family val="1"/>
    </font>
  </fonts>
  <fills count="4">
    <fill>
      <patternFill patternType="none"/>
    </fill>
    <fill>
      <patternFill patternType="gray125"/>
    </fill>
    <fill>
      <patternFill patternType="solid">
        <fgColor indexed="43"/>
        <bgColor indexed="64"/>
      </patternFill>
    </fill>
    <fill>
      <patternFill patternType="solid">
        <fgColor rgb="FFFFFF00"/>
        <bgColor indexed="64"/>
      </patternFill>
    </fill>
  </fills>
  <borders count="11">
    <border>
      <left/>
      <right/>
      <top/>
      <bottom/>
      <diagonal/>
    </border>
    <border>
      <left/>
      <right/>
      <top/>
      <bottom style="medium">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173" fontId="0" fillId="0" borderId="0" applyProtection="0"/>
    <xf numFmtId="44" fontId="7" fillId="0" borderId="0" applyFont="0" applyFill="0" applyBorder="0" applyAlignment="0" applyProtection="0"/>
    <xf numFmtId="173" fontId="11" fillId="0" borderId="0" applyProtection="0"/>
    <xf numFmtId="0" fontId="1" fillId="0" borderId="0"/>
    <xf numFmtId="43" fontId="1" fillId="0" borderId="0" applyFont="0" applyFill="0" applyBorder="0" applyAlignment="0" applyProtection="0"/>
  </cellStyleXfs>
  <cellXfs count="205">
    <xf numFmtId="173" fontId="0" fillId="0" borderId="0" xfId="0" applyAlignment="1"/>
    <xf numFmtId="173" fontId="2" fillId="0" borderId="0" xfId="0" applyFont="1" applyAlignment="1"/>
    <xf numFmtId="0" fontId="2" fillId="0" borderId="0" xfId="0" applyNumberFormat="1" applyFont="1" applyAlignment="1" applyProtection="1">
      <protection locked="0"/>
    </xf>
    <xf numFmtId="0" fontId="2" fillId="0" borderId="0" xfId="0" applyNumberFormat="1" applyFont="1" applyAlignment="1" applyProtection="1">
      <alignment horizontal="left"/>
      <protection locked="0"/>
    </xf>
    <xf numFmtId="0" fontId="2" fillId="0" borderId="0" xfId="0" applyNumberFormat="1" applyFont="1" applyProtection="1">
      <protection locked="0"/>
    </xf>
    <xf numFmtId="0" fontId="2" fillId="0" borderId="0" xfId="0" applyNumberFormat="1" applyFont="1" applyAlignment="1" applyProtection="1">
      <alignment horizontal="center"/>
      <protection locked="0"/>
    </xf>
    <xf numFmtId="0" fontId="2" fillId="0" borderId="0" xfId="0" applyNumberFormat="1" applyFont="1" applyFill="1" applyAlignment="1" applyProtection="1">
      <alignment horizontal="right"/>
      <protection locked="0"/>
    </xf>
    <xf numFmtId="0" fontId="2" fillId="0" borderId="0" xfId="0" applyNumberFormat="1" applyFont="1" applyAlignment="1" applyProtection="1">
      <alignment horizontal="right"/>
      <protection locked="0"/>
    </xf>
    <xf numFmtId="0" fontId="2" fillId="0" borderId="0" xfId="0" applyNumberFormat="1" applyFont="1" applyAlignment="1"/>
    <xf numFmtId="0" fontId="2" fillId="0" borderId="0" xfId="0" applyNumberFormat="1" applyFont="1"/>
    <xf numFmtId="173" fontId="2" fillId="0" borderId="0" xfId="0" applyFont="1" applyFill="1" applyAlignment="1"/>
    <xf numFmtId="0" fontId="2" fillId="0" borderId="0" xfId="0" applyNumberFormat="1" applyFont="1" applyFill="1" applyAlignment="1">
      <alignment horizontal="center"/>
    </xf>
    <xf numFmtId="0" fontId="2" fillId="0" borderId="0" xfId="0" applyNumberFormat="1" applyFont="1" applyFill="1"/>
    <xf numFmtId="0" fontId="2" fillId="2" borderId="0" xfId="0" applyNumberFormat="1" applyFont="1" applyFill="1"/>
    <xf numFmtId="3" fontId="2" fillId="0" borderId="0" xfId="0" applyNumberFormat="1" applyFont="1" applyAlignment="1"/>
    <xf numFmtId="49" fontId="2" fillId="0" borderId="0" xfId="0" applyNumberFormat="1" applyFont="1"/>
    <xf numFmtId="0" fontId="2" fillId="0" borderId="1" xfId="0" applyNumberFormat="1" applyFont="1" applyBorder="1" applyAlignment="1" applyProtection="1">
      <alignment horizontal="center"/>
      <protection locked="0"/>
    </xf>
    <xf numFmtId="3" fontId="2" fillId="0" borderId="0" xfId="0" applyNumberFormat="1" applyFont="1"/>
    <xf numFmtId="3" fontId="2" fillId="0" borderId="0" xfId="0" applyNumberFormat="1" applyFont="1" applyFill="1" applyAlignment="1"/>
    <xf numFmtId="0" fontId="2" fillId="0" borderId="1" xfId="0" applyNumberFormat="1" applyFont="1" applyBorder="1" applyAlignment="1" applyProtection="1">
      <alignment horizontal="centerContinuous"/>
      <protection locked="0"/>
    </xf>
    <xf numFmtId="166" fontId="2" fillId="0" borderId="0" xfId="0" applyNumberFormat="1" applyFont="1" applyAlignment="1"/>
    <xf numFmtId="3" fontId="2" fillId="0" borderId="0" xfId="0" applyNumberFormat="1" applyFont="1" applyFill="1" applyBorder="1"/>
    <xf numFmtId="3" fontId="2" fillId="2" borderId="0" xfId="0" applyNumberFormat="1" applyFont="1" applyFill="1" applyAlignment="1"/>
    <xf numFmtId="3" fontId="2" fillId="0" borderId="1" xfId="0" applyNumberFormat="1" applyFont="1" applyBorder="1" applyAlignment="1"/>
    <xf numFmtId="3" fontId="2" fillId="0" borderId="0" xfId="0" applyNumberFormat="1" applyFont="1" applyAlignment="1">
      <alignment horizontal="fill"/>
    </xf>
    <xf numFmtId="42" fontId="2" fillId="0" borderId="2" xfId="0" applyNumberFormat="1" applyFont="1" applyBorder="1" applyAlignment="1" applyProtection="1">
      <alignment horizontal="right"/>
      <protection locked="0"/>
    </xf>
    <xf numFmtId="0" fontId="2" fillId="0" borderId="0" xfId="0" applyNumberFormat="1" applyFont="1" applyFill="1" applyProtection="1">
      <protection locked="0"/>
    </xf>
    <xf numFmtId="3" fontId="2" fillId="2" borderId="0" xfId="0" applyNumberFormat="1" applyFont="1" applyFill="1"/>
    <xf numFmtId="3" fontId="2" fillId="2" borderId="0" xfId="0" applyNumberFormat="1" applyFont="1" applyFill="1" applyBorder="1"/>
    <xf numFmtId="3" fontId="2" fillId="2" borderId="1" xfId="0" applyNumberFormat="1" applyFont="1" applyFill="1" applyBorder="1"/>
    <xf numFmtId="168" fontId="2" fillId="0" borderId="0" xfId="0" applyNumberFormat="1" applyFont="1"/>
    <xf numFmtId="168" fontId="2" fillId="0" borderId="0" xfId="0" applyNumberFormat="1" applyFont="1" applyAlignment="1">
      <alignment horizontal="center"/>
    </xf>
    <xf numFmtId="173" fontId="2" fillId="0" borderId="0" xfId="0" applyFont="1" applyAlignment="1">
      <alignment horizontal="center"/>
    </xf>
    <xf numFmtId="0" fontId="2" fillId="0" borderId="0" xfId="0" applyNumberFormat="1" applyFont="1" applyAlignment="1">
      <alignment horizontal="left"/>
    </xf>
    <xf numFmtId="172" fontId="2" fillId="0" borderId="0" xfId="0" applyNumberFormat="1" applyFont="1" applyAlignment="1"/>
    <xf numFmtId="172" fontId="2" fillId="2" borderId="0" xfId="0" applyNumberFormat="1" applyFont="1" applyFill="1" applyProtection="1">
      <protection locked="0"/>
    </xf>
    <xf numFmtId="172" fontId="2" fillId="0" borderId="0" xfId="0" applyNumberFormat="1" applyFont="1" applyProtection="1">
      <protection locked="0"/>
    </xf>
    <xf numFmtId="0" fontId="2" fillId="0" borderId="0" xfId="0" applyNumberFormat="1" applyFont="1" applyFill="1" applyAlignment="1">
      <alignment horizontal="right"/>
    </xf>
    <xf numFmtId="0"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horizontal="center"/>
    </xf>
    <xf numFmtId="3" fontId="3" fillId="0" borderId="0" xfId="0" applyNumberFormat="1" applyFont="1" applyAlignment="1">
      <alignment horizontal="center"/>
    </xf>
    <xf numFmtId="0" fontId="3" fillId="0" borderId="0" xfId="0" applyNumberFormat="1" applyFont="1" applyAlignment="1" applyProtection="1">
      <alignment horizontal="center"/>
      <protection locked="0"/>
    </xf>
    <xf numFmtId="173" fontId="3" fillId="0" borderId="0" xfId="0" applyFont="1" applyAlignment="1">
      <alignment horizontal="center"/>
    </xf>
    <xf numFmtId="3" fontId="3" fillId="0" borderId="0" xfId="0" applyNumberFormat="1" applyFont="1" applyAlignment="1"/>
    <xf numFmtId="0" fontId="3" fillId="0" borderId="0" xfId="0" applyNumberFormat="1" applyFont="1" applyAlignment="1"/>
    <xf numFmtId="165" fontId="2" fillId="0" borderId="0" xfId="0" applyNumberFormat="1" applyFont="1" applyAlignment="1"/>
    <xf numFmtId="3" fontId="2" fillId="2" borderId="1" xfId="0" applyNumberFormat="1" applyFont="1" applyFill="1" applyBorder="1" applyAlignment="1"/>
    <xf numFmtId="164" fontId="2" fillId="0" borderId="0" xfId="0" applyNumberFormat="1" applyFont="1" applyAlignment="1">
      <alignment horizontal="center"/>
    </xf>
    <xf numFmtId="164" fontId="2" fillId="0" borderId="0" xfId="0" applyNumberFormat="1" applyFont="1" applyFill="1" applyAlignment="1">
      <alignment horizontal="center"/>
    </xf>
    <xf numFmtId="165" fontId="2" fillId="0" borderId="0" xfId="0" applyNumberFormat="1" applyFont="1" applyFill="1" applyAlignment="1">
      <alignment horizontal="right"/>
    </xf>
    <xf numFmtId="3" fontId="2" fillId="2" borderId="0" xfId="0" applyNumberFormat="1" applyFont="1" applyFill="1" applyBorder="1" applyAlignment="1"/>
    <xf numFmtId="173" fontId="2" fillId="0" borderId="1" xfId="0" applyFont="1" applyBorder="1" applyAlignment="1"/>
    <xf numFmtId="3" fontId="2" fillId="0" borderId="2" xfId="0" applyNumberFormat="1" applyFont="1" applyBorder="1" applyAlignment="1"/>
    <xf numFmtId="3" fontId="2" fillId="0" borderId="0" xfId="0" applyNumberFormat="1" applyFont="1" applyBorder="1" applyAlignment="1"/>
    <xf numFmtId="3" fontId="2" fillId="0" borderId="0" xfId="0" applyNumberFormat="1" applyFont="1" applyFill="1" applyAlignment="1">
      <alignment horizontal="right"/>
    </xf>
    <xf numFmtId="0" fontId="3" fillId="0" borderId="0" xfId="0" applyNumberFormat="1" applyFont="1" applyFill="1" applyAlignment="1" applyProtection="1">
      <alignment horizontal="center"/>
      <protection locked="0"/>
    </xf>
    <xf numFmtId="0" fontId="2" fillId="0" borderId="0" xfId="0" applyNumberFormat="1" applyFont="1" applyFill="1" applyAlignment="1"/>
    <xf numFmtId="171" fontId="2" fillId="0" borderId="0" xfId="0" applyNumberFormat="1" applyFont="1" applyFill="1" applyAlignment="1">
      <alignment horizontal="left"/>
    </xf>
    <xf numFmtId="165" fontId="2" fillId="0" borderId="0" xfId="0" applyNumberFormat="1" applyFont="1" applyFill="1" applyAlignment="1"/>
    <xf numFmtId="166" fontId="2" fillId="0" borderId="0" xfId="0" applyNumberFormat="1" applyFont="1" applyFill="1" applyAlignment="1">
      <alignment horizontal="right"/>
    </xf>
    <xf numFmtId="166" fontId="2" fillId="0" borderId="0" xfId="0" applyNumberFormat="1" applyFont="1" applyAlignment="1">
      <alignment horizontal="center"/>
    </xf>
    <xf numFmtId="164" fontId="2" fillId="0" borderId="0" xfId="0" applyNumberFormat="1" applyFont="1" applyAlignment="1">
      <alignment horizontal="left"/>
    </xf>
    <xf numFmtId="10" fontId="2" fillId="0" borderId="0" xfId="0" applyNumberFormat="1" applyFont="1" applyFill="1" applyAlignment="1">
      <alignment horizontal="right"/>
    </xf>
    <xf numFmtId="169" fontId="2" fillId="0" borderId="0" xfId="0" applyNumberFormat="1" applyFont="1" applyFill="1" applyAlignment="1">
      <alignment horizontal="right"/>
    </xf>
    <xf numFmtId="10" fontId="2" fillId="0" borderId="0" xfId="0" applyNumberFormat="1" applyFont="1" applyAlignment="1">
      <alignment horizontal="left"/>
    </xf>
    <xf numFmtId="3" fontId="2" fillId="0" borderId="0" xfId="0" applyNumberFormat="1" applyFont="1" applyFill="1" applyAlignment="1">
      <alignment horizontal="left"/>
    </xf>
    <xf numFmtId="164" fontId="2" fillId="0" borderId="0" xfId="0" applyNumberFormat="1" applyFont="1" applyAlignment="1" applyProtection="1">
      <alignment horizontal="left"/>
      <protection locked="0"/>
    </xf>
    <xf numFmtId="167" fontId="2" fillId="0" borderId="0" xfId="0" applyNumberFormat="1" applyFont="1" applyAlignment="1"/>
    <xf numFmtId="0" fontId="2" fillId="0" borderId="0" xfId="0" applyNumberFormat="1" applyFont="1" applyFill="1" applyAlignment="1" applyProtection="1">
      <protection locked="0"/>
    </xf>
    <xf numFmtId="0" fontId="2" fillId="0" borderId="1" xfId="0" applyNumberFormat="1" applyFont="1" applyFill="1" applyBorder="1" applyProtection="1">
      <protection locked="0"/>
    </xf>
    <xf numFmtId="0" fontId="2" fillId="0" borderId="1" xfId="0" applyNumberFormat="1" applyFont="1" applyFill="1" applyBorder="1"/>
    <xf numFmtId="3" fontId="2" fillId="0" borderId="0" xfId="0" applyNumberFormat="1" applyFont="1" applyFill="1" applyAlignment="1">
      <alignment horizontal="center"/>
    </xf>
    <xf numFmtId="49" fontId="2" fillId="0" borderId="0" xfId="0" applyNumberFormat="1" applyFont="1" applyFill="1"/>
    <xf numFmtId="49" fontId="2" fillId="0" borderId="0" xfId="0" applyNumberFormat="1" applyFont="1" applyFill="1" applyAlignment="1"/>
    <xf numFmtId="49" fontId="2" fillId="0" borderId="0" xfId="0" applyNumberFormat="1" applyFont="1" applyFill="1" applyAlignment="1">
      <alignment horizontal="center"/>
    </xf>
    <xf numFmtId="165" fontId="2" fillId="0" borderId="0" xfId="0" applyNumberFormat="1" applyFont="1" applyFill="1"/>
    <xf numFmtId="166" fontId="2" fillId="0" borderId="0" xfId="0" applyNumberFormat="1" applyFont="1" applyFill="1"/>
    <xf numFmtId="3" fontId="2" fillId="0" borderId="0" xfId="0" applyNumberFormat="1" applyFont="1" applyAlignment="1">
      <alignment horizontal="center"/>
    </xf>
    <xf numFmtId="3" fontId="2" fillId="0" borderId="1" xfId="0" applyNumberFormat="1" applyFont="1" applyBorder="1" applyAlignment="1">
      <alignment horizontal="center"/>
    </xf>
    <xf numFmtId="4" fontId="2" fillId="0" borderId="0" xfId="0" applyNumberFormat="1" applyFont="1" applyAlignment="1"/>
    <xf numFmtId="3" fontId="2" fillId="0" borderId="0" xfId="0" applyNumberFormat="1" applyFont="1" applyBorder="1" applyAlignment="1">
      <alignment horizontal="center"/>
    </xf>
    <xf numFmtId="166" fontId="2" fillId="0" borderId="0" xfId="0" applyNumberFormat="1" applyFont="1" applyAlignment="1" applyProtection="1">
      <alignment horizontal="center"/>
      <protection locked="0"/>
    </xf>
    <xf numFmtId="166" fontId="2" fillId="0" borderId="0" xfId="0" applyNumberFormat="1" applyFont="1" applyFill="1" applyAlignment="1"/>
    <xf numFmtId="0" fontId="2" fillId="0" borderId="1" xfId="0" applyNumberFormat="1" applyFont="1" applyBorder="1" applyAlignment="1"/>
    <xf numFmtId="170" fontId="2" fillId="2" borderId="0" xfId="0" applyNumberFormat="1" applyFont="1" applyFill="1" applyAlignment="1"/>
    <xf numFmtId="42" fontId="2" fillId="2" borderId="0" xfId="0" applyNumberFormat="1" applyFont="1" applyFill="1" applyAlignment="1"/>
    <xf numFmtId="3" fontId="2" fillId="0" borderId="0" xfId="0" applyNumberFormat="1" applyFont="1" applyFill="1" applyAlignment="1" applyProtection="1">
      <protection locked="0"/>
    </xf>
    <xf numFmtId="9" fontId="2" fillId="0" borderId="0" xfId="0" applyNumberFormat="1" applyFont="1" applyAlignment="1"/>
    <xf numFmtId="169" fontId="2" fillId="0" borderId="0" xfId="0" applyNumberFormat="1" applyFont="1" applyAlignment="1"/>
    <xf numFmtId="3" fontId="2" fillId="0" borderId="0" xfId="0" quotePrefix="1" applyNumberFormat="1" applyFont="1" applyAlignment="1"/>
    <xf numFmtId="169" fontId="2" fillId="2" borderId="0" xfId="0" applyNumberFormat="1" applyFont="1" applyFill="1" applyAlignment="1"/>
    <xf numFmtId="169" fontId="2" fillId="0" borderId="1" xfId="0" applyNumberFormat="1" applyFont="1" applyBorder="1" applyAlignment="1"/>
    <xf numFmtId="0" fontId="2" fillId="0" borderId="0" xfId="0" applyNumberFormat="1" applyFont="1" applyBorder="1" applyAlignment="1" applyProtection="1">
      <alignment horizontal="center"/>
      <protection locked="0"/>
    </xf>
    <xf numFmtId="0" fontId="4" fillId="0" borderId="0" xfId="0" applyNumberFormat="1" applyFont="1" applyProtection="1">
      <protection locked="0"/>
    </xf>
    <xf numFmtId="173" fontId="4" fillId="0" borderId="0" xfId="0" applyFont="1" applyAlignment="1"/>
    <xf numFmtId="173" fontId="2" fillId="0" borderId="0" xfId="0" applyFont="1" applyFill="1" applyAlignment="1" applyProtection="1"/>
    <xf numFmtId="38" fontId="2" fillId="2" borderId="0" xfId="0" applyNumberFormat="1" applyFont="1" applyFill="1" applyBorder="1" applyProtection="1">
      <protection locked="0"/>
    </xf>
    <xf numFmtId="38" fontId="2" fillId="0" borderId="0" xfId="0" applyNumberFormat="1" applyFont="1" applyAlignment="1" applyProtection="1"/>
    <xf numFmtId="0" fontId="2" fillId="0" borderId="1" xfId="0" applyNumberFormat="1" applyFont="1" applyBorder="1"/>
    <xf numFmtId="38" fontId="2" fillId="2" borderId="1" xfId="0" applyNumberFormat="1" applyFont="1" applyFill="1" applyBorder="1" applyProtection="1">
      <protection locked="0"/>
    </xf>
    <xf numFmtId="38" fontId="2" fillId="0" borderId="0" xfId="0" applyNumberFormat="1" applyFont="1" applyAlignment="1"/>
    <xf numFmtId="38" fontId="2" fillId="0" borderId="0" xfId="0" applyNumberFormat="1" applyFont="1" applyFill="1" applyBorder="1" applyProtection="1"/>
    <xf numFmtId="170" fontId="2" fillId="0" borderId="0" xfId="0" applyNumberFormat="1" applyFont="1" applyFill="1" applyBorder="1" applyProtection="1"/>
    <xf numFmtId="1" fontId="2" fillId="0" borderId="0" xfId="0" applyNumberFormat="1" applyFont="1" applyFill="1" applyProtection="1"/>
    <xf numFmtId="168" fontId="2" fillId="0" borderId="0" xfId="0" applyNumberFormat="1" applyFont="1" applyProtection="1">
      <protection locked="0"/>
    </xf>
    <xf numFmtId="170" fontId="2" fillId="2" borderId="0" xfId="0" applyNumberFormat="1" applyFont="1" applyFill="1" applyBorder="1" applyProtection="1"/>
    <xf numFmtId="1" fontId="2" fillId="0" borderId="0" xfId="0" applyNumberFormat="1" applyFont="1" applyFill="1" applyAlignment="1" applyProtection="1"/>
    <xf numFmtId="170" fontId="2" fillId="2" borderId="0" xfId="0" applyNumberFormat="1" applyFont="1" applyFill="1" applyBorder="1" applyAlignment="1" applyProtection="1">
      <protection locked="0"/>
    </xf>
    <xf numFmtId="3" fontId="2" fillId="0" borderId="0" xfId="0" applyNumberFormat="1" applyFont="1" applyAlignment="1" applyProtection="1"/>
    <xf numFmtId="3" fontId="2" fillId="0" borderId="0" xfId="0" applyNumberFormat="1" applyFont="1" applyFill="1" applyAlignment="1" applyProtection="1">
      <alignment horizontal="right"/>
      <protection locked="0"/>
    </xf>
    <xf numFmtId="173" fontId="2" fillId="0" borderId="0" xfId="0" applyNumberFormat="1" applyFont="1" applyAlignment="1" applyProtection="1">
      <protection locked="0"/>
    </xf>
    <xf numFmtId="170" fontId="2" fillId="0" borderId="0" xfId="0" applyNumberFormat="1" applyFont="1" applyFill="1" applyBorder="1" applyAlignment="1" applyProtection="1"/>
    <xf numFmtId="3" fontId="2" fillId="0" borderId="0" xfId="0" applyNumberFormat="1" applyFont="1" applyFill="1" applyAlignment="1" applyProtection="1"/>
    <xf numFmtId="170" fontId="2" fillId="0" borderId="0" xfId="0" applyNumberFormat="1" applyFont="1" applyProtection="1">
      <protection locked="0"/>
    </xf>
    <xf numFmtId="0" fontId="2" fillId="0" borderId="0" xfId="0" applyNumberFormat="1" applyFont="1" applyFill="1" applyAlignment="1" applyProtection="1">
      <alignment horizontal="center"/>
      <protection locked="0"/>
    </xf>
    <xf numFmtId="172" fontId="2" fillId="0" borderId="0" xfId="0" applyNumberFormat="1" applyFont="1" applyFill="1" applyProtection="1">
      <protection locked="0"/>
    </xf>
    <xf numFmtId="3" fontId="5" fillId="0" borderId="0" xfId="0" applyNumberFormat="1" applyFont="1" applyAlignment="1"/>
    <xf numFmtId="3" fontId="2" fillId="0" borderId="0" xfId="0" applyNumberFormat="1" applyFont="1" applyFill="1" applyBorder="1" applyAlignment="1"/>
    <xf numFmtId="0" fontId="2" fillId="0" borderId="0" xfId="0" applyNumberFormat="1" applyFont="1" applyBorder="1" applyProtection="1">
      <protection locked="0"/>
    </xf>
    <xf numFmtId="0" fontId="2" fillId="0" borderId="0" xfId="0" applyNumberFormat="1" applyFont="1" applyBorder="1" applyAlignment="1" applyProtection="1">
      <protection locked="0"/>
    </xf>
    <xf numFmtId="173" fontId="2" fillId="2" borderId="0" xfId="0" applyFont="1" applyFill="1" applyAlignment="1"/>
    <xf numFmtId="0" fontId="2" fillId="0" borderId="0" xfId="0" applyNumberFormat="1" applyFont="1" applyAlignment="1" applyProtection="1">
      <alignment horizontal="left" indent="8"/>
      <protection locked="0"/>
    </xf>
    <xf numFmtId="0" fontId="2" fillId="2" borderId="0" xfId="0" applyNumberFormat="1" applyFont="1" applyFill="1" applyProtection="1">
      <protection locked="0"/>
    </xf>
    <xf numFmtId="173" fontId="2" fillId="0" borderId="0" xfId="0" applyFont="1" applyFill="1" applyBorder="1" applyAlignment="1"/>
    <xf numFmtId="49" fontId="2" fillId="0" borderId="0" xfId="0" applyNumberFormat="1" applyFont="1" applyFill="1" applyBorder="1" applyAlignment="1"/>
    <xf numFmtId="0" fontId="2" fillId="0" borderId="0" xfId="0" applyNumberFormat="1" applyFont="1" applyFill="1" applyBorder="1"/>
    <xf numFmtId="173" fontId="2" fillId="0" borderId="0" xfId="0" applyFont="1" applyBorder="1" applyAlignment="1"/>
    <xf numFmtId="0" fontId="2" fillId="0" borderId="0" xfId="0" applyNumberFormat="1" applyFont="1" applyAlignment="1" applyProtection="1">
      <alignment horizontal="center" vertical="top" wrapText="1"/>
      <protection locked="0"/>
    </xf>
    <xf numFmtId="0" fontId="2" fillId="0" borderId="0" xfId="0" applyNumberFormat="1" applyFont="1" applyFill="1" applyAlignment="1" applyProtection="1">
      <alignment vertical="top" wrapText="1"/>
      <protection locked="0"/>
    </xf>
    <xf numFmtId="10" fontId="2" fillId="2" borderId="0" xfId="0" applyNumberFormat="1" applyFont="1" applyFill="1" applyAlignment="1" applyProtection="1">
      <alignment vertical="top" wrapText="1"/>
      <protection locked="0"/>
    </xf>
    <xf numFmtId="173" fontId="2" fillId="0" borderId="0" xfId="0" applyFont="1" applyAlignment="1">
      <alignment horizontal="center" vertical="top" wrapText="1"/>
    </xf>
    <xf numFmtId="173" fontId="2" fillId="0" borderId="0" xfId="0" applyFont="1" applyFill="1" applyAlignment="1">
      <alignment horizontal="center" vertical="top" wrapText="1"/>
    </xf>
    <xf numFmtId="0" fontId="2" fillId="0" borderId="0" xfId="0" applyNumberFormat="1" applyFont="1" applyFill="1" applyAlignment="1" applyProtection="1">
      <alignment horizontal="left" vertical="top" wrapText="1" indent="8"/>
      <protection locked="0"/>
    </xf>
    <xf numFmtId="170" fontId="2" fillId="2" borderId="1" xfId="0" applyNumberFormat="1" applyFont="1" applyFill="1" applyBorder="1" applyAlignment="1" applyProtection="1">
      <protection locked="0"/>
    </xf>
    <xf numFmtId="0" fontId="2" fillId="0" borderId="0" xfId="0" applyNumberFormat="1" applyFont="1" applyFill="1" applyAlignment="1">
      <alignment horizontal="left"/>
    </xf>
    <xf numFmtId="172" fontId="2" fillId="0" borderId="0" xfId="0" applyNumberFormat="1" applyFont="1" applyFill="1" applyAlignment="1"/>
    <xf numFmtId="42" fontId="2" fillId="0" borderId="0" xfId="0" applyNumberFormat="1" applyFont="1" applyFill="1"/>
    <xf numFmtId="173" fontId="6" fillId="0" borderId="0" xfId="0" applyFont="1" applyAlignment="1"/>
    <xf numFmtId="0" fontId="0" fillId="0" borderId="0" xfId="0" applyNumberFormat="1" applyFont="1" applyAlignment="1"/>
    <xf numFmtId="173" fontId="0" fillId="0" borderId="0" xfId="0" applyFont="1" applyAlignment="1"/>
    <xf numFmtId="3" fontId="0" fillId="0" borderId="0" xfId="0" applyNumberFormat="1" applyFont="1" applyAlignment="1"/>
    <xf numFmtId="173" fontId="0" fillId="0" borderId="3" xfId="0" applyBorder="1" applyAlignment="1"/>
    <xf numFmtId="173" fontId="0" fillId="0" borderId="0" xfId="0" applyFont="1" applyBorder="1" applyAlignment="1"/>
    <xf numFmtId="3" fontId="0" fillId="0" borderId="0" xfId="0" applyNumberFormat="1" applyFont="1" applyBorder="1" applyAlignment="1"/>
    <xf numFmtId="0" fontId="0" fillId="0" borderId="0" xfId="0" applyNumberFormat="1" applyFont="1" applyBorder="1" applyAlignment="1"/>
    <xf numFmtId="173" fontId="0" fillId="0" borderId="4" xfId="0" applyFont="1" applyBorder="1" applyAlignment="1"/>
    <xf numFmtId="174" fontId="0" fillId="2" borderId="3" xfId="1" applyNumberFormat="1" applyFont="1" applyFill="1" applyBorder="1" applyAlignment="1"/>
    <xf numFmtId="3" fontId="8" fillId="0" borderId="0" xfId="0" applyNumberFormat="1" applyFont="1" applyBorder="1" applyAlignment="1"/>
    <xf numFmtId="170" fontId="0" fillId="2" borderId="5" xfId="0" applyNumberFormat="1" applyFill="1" applyBorder="1" applyAlignment="1"/>
    <xf numFmtId="173" fontId="8" fillId="0" borderId="0" xfId="0" applyFont="1" applyAlignment="1"/>
    <xf numFmtId="173" fontId="9" fillId="0" borderId="0" xfId="0" applyFont="1" applyAlignment="1"/>
    <xf numFmtId="173" fontId="0" fillId="0" borderId="4" xfId="0" applyBorder="1" applyAlignment="1"/>
    <xf numFmtId="170" fontId="0" fillId="0" borderId="3" xfId="0" applyNumberFormat="1" applyBorder="1" applyAlignment="1"/>
    <xf numFmtId="0" fontId="0" fillId="0" borderId="3" xfId="0" applyNumberFormat="1" applyFont="1" applyBorder="1" applyAlignment="1"/>
    <xf numFmtId="173" fontId="10" fillId="0" borderId="0" xfId="0" applyFont="1" applyBorder="1"/>
    <xf numFmtId="173" fontId="8" fillId="0" borderId="0" xfId="0" applyFont="1" applyBorder="1"/>
    <xf numFmtId="173" fontId="0" fillId="0" borderId="0" xfId="0" applyBorder="1" applyAlignment="1"/>
    <xf numFmtId="173" fontId="8" fillId="0" borderId="0" xfId="0" applyFont="1" applyBorder="1" applyAlignment="1">
      <alignment horizontal="left" wrapText="1"/>
    </xf>
    <xf numFmtId="173" fontId="8" fillId="0" borderId="0" xfId="0" applyFont="1" applyBorder="1" applyAlignment="1"/>
    <xf numFmtId="170" fontId="0" fillId="0" borderId="5" xfId="0" applyNumberFormat="1" applyFont="1" applyBorder="1" applyAlignment="1"/>
    <xf numFmtId="173" fontId="8" fillId="0" borderId="6" xfId="0" applyFont="1" applyBorder="1" applyAlignment="1"/>
    <xf numFmtId="3" fontId="0" fillId="0" borderId="6" xfId="0" applyNumberFormat="1" applyFont="1" applyBorder="1" applyAlignment="1"/>
    <xf numFmtId="0" fontId="0" fillId="0" borderId="6" xfId="0" applyNumberFormat="1" applyFont="1" applyBorder="1" applyAlignment="1"/>
    <xf numFmtId="173" fontId="0" fillId="0" borderId="6" xfId="0" applyFont="1" applyBorder="1" applyAlignment="1"/>
    <xf numFmtId="173" fontId="0" fillId="0" borderId="7" xfId="0" applyFont="1" applyBorder="1" applyAlignment="1"/>
    <xf numFmtId="174" fontId="0" fillId="2" borderId="5" xfId="1" applyNumberFormat="1" applyFont="1" applyFill="1" applyBorder="1" applyAlignment="1"/>
    <xf numFmtId="3" fontId="2" fillId="0" borderId="2" xfId="0" applyNumberFormat="1" applyFont="1" applyFill="1" applyBorder="1" applyAlignment="1"/>
    <xf numFmtId="0" fontId="2" fillId="0" borderId="0" xfId="2" applyNumberFormat="1" applyFont="1" applyFill="1"/>
    <xf numFmtId="0" fontId="2" fillId="0" borderId="0" xfId="2" applyNumberFormat="1" applyFont="1"/>
    <xf numFmtId="0" fontId="2" fillId="0" borderId="0" xfId="0" applyNumberFormat="1" applyFont="1" applyFill="1" applyBorder="1" applyAlignment="1" applyProtection="1">
      <protection locked="0"/>
    </xf>
    <xf numFmtId="0" fontId="2" fillId="0" borderId="0" xfId="0" applyNumberFormat="1" applyFont="1" applyFill="1" applyBorder="1" applyProtection="1">
      <protection locked="0"/>
    </xf>
    <xf numFmtId="0" fontId="2" fillId="0" borderId="1" xfId="0" applyNumberFormat="1" applyFont="1" applyFill="1" applyBorder="1" applyAlignment="1" applyProtection="1">
      <protection locked="0"/>
    </xf>
    <xf numFmtId="0" fontId="2" fillId="2" borderId="0" xfId="0" quotePrefix="1" applyNumberFormat="1" applyFont="1" applyFill="1" applyAlignment="1" applyProtection="1">
      <alignment horizontal="right"/>
      <protection locked="0"/>
    </xf>
    <xf numFmtId="173" fontId="2" fillId="0" borderId="0" xfId="0" quotePrefix="1" applyFont="1" applyAlignment="1">
      <alignment horizontal="left"/>
    </xf>
    <xf numFmtId="173" fontId="12" fillId="0" borderId="0" xfId="0" quotePrefix="1" applyFont="1" applyAlignment="1">
      <alignment horizontal="left"/>
    </xf>
    <xf numFmtId="173" fontId="13" fillId="0" borderId="0" xfId="0" quotePrefix="1" applyFont="1" applyAlignment="1">
      <alignment horizontal="left"/>
    </xf>
    <xf numFmtId="0" fontId="14" fillId="0" borderId="0" xfId="0" applyNumberFormat="1" applyFont="1" applyAlignment="1">
      <alignment horizontal="center"/>
    </xf>
    <xf numFmtId="0" fontId="14" fillId="0" borderId="0" xfId="0" applyNumberFormat="1" applyFont="1" applyAlignment="1"/>
    <xf numFmtId="0" fontId="15" fillId="0" borderId="0" xfId="0" applyNumberFormat="1" applyFont="1" applyAlignment="1">
      <alignment horizontal="center"/>
    </xf>
    <xf numFmtId="0" fontId="15" fillId="0" borderId="0" xfId="0" applyNumberFormat="1" applyFont="1" applyAlignment="1"/>
    <xf numFmtId="170" fontId="16" fillId="0" borderId="0" xfId="0" applyNumberFormat="1" applyFont="1" applyAlignment="1">
      <alignment horizontal="right"/>
    </xf>
    <xf numFmtId="170" fontId="14" fillId="0" borderId="0" xfId="0" applyNumberFormat="1" applyFont="1" applyAlignment="1"/>
    <xf numFmtId="170" fontId="14" fillId="0" borderId="0" xfId="0" applyNumberFormat="1" applyFont="1" applyAlignment="1">
      <alignment horizontal="right"/>
    </xf>
    <xf numFmtId="0" fontId="17" fillId="0" borderId="0" xfId="0" applyNumberFormat="1" applyFont="1" applyAlignment="1">
      <alignment horizontal="center"/>
    </xf>
    <xf numFmtId="0" fontId="17" fillId="0" borderId="0" xfId="0" applyNumberFormat="1" applyFont="1" applyAlignment="1">
      <alignment horizontal="left"/>
    </xf>
    <xf numFmtId="173" fontId="18" fillId="0" borderId="0" xfId="0" applyFont="1" applyBorder="1" applyAlignment="1"/>
    <xf numFmtId="173" fontId="19" fillId="0" borderId="0" xfId="0" applyFont="1" applyAlignment="1"/>
    <xf numFmtId="173" fontId="19" fillId="0" borderId="0" xfId="0" quotePrefix="1" applyFont="1" applyAlignment="1">
      <alignment horizontal="left"/>
    </xf>
    <xf numFmtId="170" fontId="2" fillId="0" borderId="0" xfId="0" applyNumberFormat="1" applyFont="1" applyAlignment="1"/>
    <xf numFmtId="0" fontId="20" fillId="0" borderId="0" xfId="0" applyNumberFormat="1" applyFont="1" applyFill="1"/>
    <xf numFmtId="173" fontId="21" fillId="0" borderId="0" xfId="0" applyFont="1" applyAlignment="1"/>
    <xf numFmtId="173" fontId="22" fillId="0" borderId="0" xfId="0" quotePrefix="1" applyFont="1" applyAlignment="1">
      <alignment horizontal="left"/>
    </xf>
    <xf numFmtId="173" fontId="21" fillId="0" borderId="0" xfId="0" quotePrefix="1" applyFont="1" applyAlignment="1">
      <alignment horizontal="left"/>
    </xf>
    <xf numFmtId="0" fontId="2" fillId="0" borderId="0" xfId="0" applyNumberFormat="1" applyFont="1" applyFill="1" applyAlignment="1">
      <alignment vertical="top" wrapText="1"/>
    </xf>
    <xf numFmtId="0" fontId="2" fillId="0" borderId="0" xfId="0" applyNumberFormat="1" applyFont="1" applyFill="1" applyAlignment="1" applyProtection="1">
      <alignment vertical="top" wrapText="1"/>
      <protection locked="0"/>
    </xf>
    <xf numFmtId="0" fontId="2" fillId="0" borderId="0" xfId="0" applyNumberFormat="1" applyFont="1" applyFill="1" applyAlignment="1">
      <alignment horizontal="right"/>
    </xf>
    <xf numFmtId="0" fontId="0" fillId="0" borderId="8" xfId="0" applyNumberFormat="1" applyBorder="1" applyAlignment="1">
      <alignment horizontal="center"/>
    </xf>
    <xf numFmtId="0" fontId="0" fillId="0" borderId="9" xfId="0" applyNumberFormat="1" applyFont="1" applyBorder="1" applyAlignment="1">
      <alignment horizontal="center"/>
    </xf>
    <xf numFmtId="0" fontId="0" fillId="0" borderId="10" xfId="0" applyNumberFormat="1" applyFont="1" applyBorder="1" applyAlignment="1">
      <alignment horizontal="center"/>
    </xf>
    <xf numFmtId="0" fontId="2" fillId="0" borderId="0" xfId="0" applyNumberFormat="1" applyFont="1" applyFill="1" applyAlignment="1">
      <alignment horizontal="left" wrapText="1"/>
    </xf>
    <xf numFmtId="0" fontId="14" fillId="3" borderId="0" xfId="0" applyNumberFormat="1" applyFont="1" applyFill="1" applyAlignment="1">
      <alignment horizontal="center"/>
    </xf>
    <xf numFmtId="0" fontId="15" fillId="3" borderId="0" xfId="0" applyNumberFormat="1" applyFont="1" applyFill="1" applyAlignment="1">
      <alignment horizontal="center"/>
    </xf>
    <xf numFmtId="9" fontId="14" fillId="3" borderId="0" xfId="0" applyNumberFormat="1" applyFont="1" applyFill="1" applyAlignment="1">
      <alignment horizontal="center"/>
    </xf>
    <xf numFmtId="9" fontId="16" fillId="3" borderId="0" xfId="0" applyNumberFormat="1" applyFont="1" applyFill="1" applyAlignment="1">
      <alignment horizontal="center"/>
    </xf>
  </cellXfs>
  <cellStyles count="5">
    <cellStyle name="Comma 2" xfId="4"/>
    <cellStyle name="Currency" xfId="1" builtinId="4"/>
    <cellStyle name="Normal" xfId="0" builtinId="0"/>
    <cellStyle name="Normal 2" xfId="3"/>
    <cellStyle name="Normal_Attachment O &amp; GG Final 11_11_09" xfId="2"/>
  </cellStyles>
  <dxfs count="1">
    <dxf>
      <font>
        <strike/>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3333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2"/>
  <sheetViews>
    <sheetView zoomScale="85" zoomScaleNormal="85" zoomScaleSheetLayoutView="85" workbookViewId="0">
      <selection activeCell="C12" sqref="C12"/>
    </sheetView>
  </sheetViews>
  <sheetFormatPr defaultColWidth="8.88671875" defaultRowHeight="15.75"/>
  <cols>
    <col min="1" max="1" width="4.21875" style="1" customWidth="1"/>
    <col min="2" max="2" width="28.5546875" style="1" customWidth="1"/>
    <col min="3" max="3" width="33.88671875" style="1" customWidth="1"/>
    <col min="4" max="4" width="12.33203125" style="1" customWidth="1"/>
    <col min="5" max="5" width="4.77734375" style="1" customWidth="1"/>
    <col min="6" max="6" width="4.6640625" style="1" customWidth="1"/>
    <col min="7" max="7" width="10.21875" style="1" customWidth="1"/>
    <col min="8" max="8" width="3.77734375" style="1" customWidth="1"/>
    <col min="9" max="9" width="12.44140625" style="1" customWidth="1"/>
    <col min="10" max="10" width="1.44140625" style="1" customWidth="1"/>
    <col min="11" max="11" width="8.77734375" style="10" customWidth="1"/>
    <col min="12" max="12" width="11.5546875" style="1" customWidth="1"/>
    <col min="13" max="13" width="10.88671875" style="1" customWidth="1"/>
    <col min="14" max="14" width="14.21875" style="1" customWidth="1"/>
    <col min="15" max="15" width="8.88671875" style="1"/>
    <col min="16" max="16" width="11.21875" style="1" bestFit="1" customWidth="1"/>
    <col min="17" max="17" width="10.33203125" style="1" customWidth="1"/>
    <col min="18" max="18" width="8.88671875" style="1"/>
    <col min="19" max="19" width="10.21875" style="1" customWidth="1"/>
    <col min="20" max="16384" width="8.88671875" style="1"/>
  </cols>
  <sheetData>
    <row r="1" spans="1:12">
      <c r="B1" s="2"/>
      <c r="C1" s="2"/>
      <c r="D1" s="3"/>
      <c r="E1" s="2"/>
      <c r="F1" s="2"/>
      <c r="G1" s="2"/>
      <c r="H1" s="4"/>
      <c r="I1" s="7"/>
      <c r="J1" s="7"/>
      <c r="K1" s="6"/>
    </row>
    <row r="2" spans="1:12">
      <c r="B2" s="2"/>
      <c r="C2" s="2"/>
      <c r="D2" s="3"/>
      <c r="E2" s="2"/>
      <c r="F2" s="2"/>
      <c r="G2" s="2"/>
      <c r="H2" s="4"/>
      <c r="I2" s="4"/>
      <c r="J2" s="9"/>
      <c r="K2" s="37" t="s">
        <v>201</v>
      </c>
    </row>
    <row r="3" spans="1:12">
      <c r="B3" s="2"/>
      <c r="C3" s="2"/>
      <c r="D3" s="3"/>
      <c r="E3" s="2"/>
      <c r="F3" s="2"/>
      <c r="G3" s="2"/>
      <c r="H3" s="4"/>
      <c r="I3" s="4"/>
      <c r="J3" s="9"/>
      <c r="K3" s="12"/>
    </row>
    <row r="4" spans="1:12">
      <c r="B4" s="2" t="s">
        <v>0</v>
      </c>
      <c r="C4" s="2"/>
      <c r="D4" s="3" t="s">
        <v>279</v>
      </c>
      <c r="E4" s="2"/>
      <c r="F4" s="2"/>
      <c r="G4" s="2"/>
      <c r="H4" s="123"/>
      <c r="I4" s="121"/>
      <c r="J4" s="13"/>
      <c r="K4" s="173" t="s">
        <v>367</v>
      </c>
    </row>
    <row r="5" spans="1:12">
      <c r="B5" s="2"/>
      <c r="C5" s="14" t="s">
        <v>2</v>
      </c>
      <c r="D5" s="14" t="s">
        <v>280</v>
      </c>
      <c r="E5" s="14"/>
      <c r="F5" s="14"/>
      <c r="G5" s="14"/>
      <c r="H5" s="4"/>
      <c r="I5" s="4"/>
      <c r="J5" s="9"/>
      <c r="K5" s="12"/>
    </row>
    <row r="6" spans="1:12">
      <c r="B6" s="9"/>
      <c r="C6" s="9"/>
      <c r="D6" s="9"/>
      <c r="E6" s="9"/>
      <c r="F6" s="9"/>
      <c r="G6" s="9"/>
      <c r="H6" s="9"/>
      <c r="I6" s="9"/>
      <c r="J6" s="9"/>
      <c r="K6" s="12"/>
    </row>
    <row r="7" spans="1:12">
      <c r="A7" s="5"/>
      <c r="B7" s="9"/>
      <c r="C7" s="73" t="s">
        <v>337</v>
      </c>
      <c r="E7" s="9"/>
      <c r="F7" s="9"/>
      <c r="G7" s="9"/>
      <c r="H7" s="9"/>
      <c r="I7" s="9"/>
      <c r="J7" s="9"/>
      <c r="K7" s="12"/>
    </row>
    <row r="8" spans="1:12">
      <c r="A8" s="5"/>
      <c r="B8" s="9"/>
      <c r="C8" s="9"/>
      <c r="D8" s="15"/>
      <c r="E8" s="9"/>
      <c r="F8" s="9"/>
      <c r="G8" s="9"/>
      <c r="H8" s="9"/>
      <c r="I8" s="9"/>
      <c r="J8" s="9"/>
      <c r="K8" s="12"/>
    </row>
    <row r="9" spans="1:12">
      <c r="A9" s="5" t="s">
        <v>4</v>
      </c>
      <c r="B9" s="9"/>
      <c r="C9" s="9"/>
      <c r="D9" s="15"/>
      <c r="E9" s="9"/>
      <c r="F9" s="9"/>
      <c r="G9" s="9"/>
      <c r="H9" s="9"/>
      <c r="I9" s="5" t="s">
        <v>5</v>
      </c>
      <c r="J9" s="9"/>
      <c r="K9" s="12"/>
    </row>
    <row r="10" spans="1:12" ht="16.5" thickBot="1">
      <c r="A10" s="16" t="s">
        <v>6</v>
      </c>
      <c r="B10" s="9"/>
      <c r="C10" s="9"/>
      <c r="D10" s="9"/>
      <c r="E10" s="9"/>
      <c r="F10" s="9"/>
      <c r="G10" s="9"/>
      <c r="H10" s="9"/>
      <c r="I10" s="16" t="s">
        <v>7</v>
      </c>
      <c r="J10" s="9"/>
      <c r="K10" s="12"/>
    </row>
    <row r="11" spans="1:12">
      <c r="A11" s="5">
        <v>1</v>
      </c>
      <c r="B11" s="9" t="s">
        <v>289</v>
      </c>
      <c r="C11" s="9"/>
      <c r="D11" s="17"/>
      <c r="E11" s="9"/>
      <c r="F11" s="9"/>
      <c r="G11" s="9"/>
      <c r="H11" s="9"/>
      <c r="I11" s="137">
        <f>+I195</f>
        <v>33587231.535486959</v>
      </c>
      <c r="J11" s="9"/>
      <c r="K11" s="12"/>
    </row>
    <row r="12" spans="1:12">
      <c r="A12" s="5"/>
      <c r="B12" s="9"/>
      <c r="C12" s="9"/>
      <c r="D12" s="9"/>
      <c r="E12" s="9"/>
      <c r="F12" s="9"/>
      <c r="G12" s="9"/>
      <c r="H12" s="9"/>
      <c r="I12" s="17"/>
      <c r="J12" s="9"/>
      <c r="K12" s="12"/>
    </row>
    <row r="13" spans="1:12" ht="16.5" thickBot="1">
      <c r="A13" s="5" t="s">
        <v>2</v>
      </c>
      <c r="B13" s="8" t="s">
        <v>8</v>
      </c>
      <c r="C13" s="18" t="s">
        <v>198</v>
      </c>
      <c r="D13" s="16" t="s">
        <v>9</v>
      </c>
      <c r="E13" s="14"/>
      <c r="F13" s="19" t="s">
        <v>10</v>
      </c>
      <c r="G13" s="19"/>
      <c r="H13" s="9"/>
      <c r="I13" s="17"/>
      <c r="J13" s="9"/>
      <c r="K13" s="12"/>
    </row>
    <row r="14" spans="1:12">
      <c r="A14" s="5">
        <v>2</v>
      </c>
      <c r="B14" s="8" t="s">
        <v>12</v>
      </c>
      <c r="C14" s="14" t="s">
        <v>165</v>
      </c>
      <c r="D14" s="14">
        <f>I261</f>
        <v>5345754</v>
      </c>
      <c r="E14" s="14"/>
      <c r="F14" s="14" t="s">
        <v>11</v>
      </c>
      <c r="G14" s="20">
        <f>I212</f>
        <v>1</v>
      </c>
      <c r="H14" s="14"/>
      <c r="I14" s="14">
        <f>+G14*D14</f>
        <v>5345754</v>
      </c>
      <c r="J14" s="9"/>
      <c r="K14" s="12"/>
    </row>
    <row r="15" spans="1:12">
      <c r="A15" s="5">
        <v>3</v>
      </c>
      <c r="B15" s="8" t="s">
        <v>222</v>
      </c>
      <c r="C15" s="14" t="s">
        <v>166</v>
      </c>
      <c r="D15" s="14">
        <f>I268</f>
        <v>6005223</v>
      </c>
      <c r="E15" s="14"/>
      <c r="F15" s="14" t="str">
        <f t="shared" ref="F15:G17" si="0">+F14</f>
        <v>TP</v>
      </c>
      <c r="G15" s="20">
        <f t="shared" si="0"/>
        <v>1</v>
      </c>
      <c r="H15" s="14"/>
      <c r="I15" s="14">
        <f>+G15*D15</f>
        <v>6005223</v>
      </c>
      <c r="J15" s="9"/>
      <c r="K15" s="12"/>
    </row>
    <row r="16" spans="1:12">
      <c r="A16" s="5">
        <v>4</v>
      </c>
      <c r="B16" s="21" t="s">
        <v>155</v>
      </c>
      <c r="C16" s="14"/>
      <c r="D16" s="22">
        <v>0</v>
      </c>
      <c r="E16" s="14"/>
      <c r="F16" s="14" t="str">
        <f t="shared" si="0"/>
        <v>TP</v>
      </c>
      <c r="G16" s="20">
        <f t="shared" si="0"/>
        <v>1</v>
      </c>
      <c r="H16" s="14"/>
      <c r="I16" s="14">
        <f>+G16*D16</f>
        <v>0</v>
      </c>
      <c r="J16" s="9"/>
      <c r="L16" s="190" t="s">
        <v>375</v>
      </c>
    </row>
    <row r="17" spans="1:14" ht="16.5" thickBot="1">
      <c r="A17" s="5">
        <v>5</v>
      </c>
      <c r="B17" s="21" t="s">
        <v>156</v>
      </c>
      <c r="C17" s="14"/>
      <c r="D17" s="22">
        <v>0</v>
      </c>
      <c r="E17" s="14"/>
      <c r="F17" s="14" t="str">
        <f t="shared" si="0"/>
        <v>TP</v>
      </c>
      <c r="G17" s="20">
        <f t="shared" si="0"/>
        <v>1</v>
      </c>
      <c r="H17" s="14"/>
      <c r="I17" s="23">
        <f>+G17*D17</f>
        <v>0</v>
      </c>
      <c r="J17" s="9"/>
      <c r="L17" s="190" t="s">
        <v>376</v>
      </c>
    </row>
    <row r="18" spans="1:14">
      <c r="A18" s="5">
        <v>6</v>
      </c>
      <c r="B18" s="8" t="s">
        <v>145</v>
      </c>
      <c r="C18" s="9"/>
      <c r="D18" s="24" t="s">
        <v>2</v>
      </c>
      <c r="E18" s="14"/>
      <c r="F18" s="14"/>
      <c r="G18" s="20"/>
      <c r="H18" s="14"/>
      <c r="I18" s="14">
        <f>SUM(I14:I17)</f>
        <v>11350977</v>
      </c>
      <c r="J18" s="9"/>
      <c r="K18" s="12"/>
    </row>
    <row r="19" spans="1:14">
      <c r="A19" s="5"/>
      <c r="B19" s="8"/>
      <c r="C19" s="9"/>
      <c r="I19" s="14"/>
      <c r="J19" s="9"/>
      <c r="K19" s="12"/>
    </row>
    <row r="20" spans="1:14" ht="16.5" thickBot="1">
      <c r="A20" s="5">
        <v>7</v>
      </c>
      <c r="B20" s="8" t="s">
        <v>13</v>
      </c>
      <c r="C20" s="9" t="s">
        <v>169</v>
      </c>
      <c r="D20" s="24" t="s">
        <v>2</v>
      </c>
      <c r="E20" s="14"/>
      <c r="F20" s="14"/>
      <c r="G20" s="14"/>
      <c r="H20" s="14"/>
      <c r="I20" s="25">
        <f>+I11-I18</f>
        <v>22236254.535486959</v>
      </c>
      <c r="J20" s="9"/>
      <c r="K20" s="12"/>
    </row>
    <row r="21" spans="1:14" ht="16.5" thickTop="1">
      <c r="A21" s="5"/>
      <c r="C21" s="9"/>
      <c r="D21" s="24"/>
      <c r="E21" s="14"/>
      <c r="F21" s="14"/>
      <c r="G21" s="14"/>
      <c r="H21" s="14"/>
      <c r="J21" s="9"/>
      <c r="K21" s="12"/>
    </row>
    <row r="22" spans="1:14">
      <c r="A22" s="5"/>
      <c r="B22" s="8" t="s">
        <v>14</v>
      </c>
      <c r="C22" s="9"/>
      <c r="D22" s="17"/>
      <c r="E22" s="9"/>
      <c r="F22" s="9"/>
      <c r="G22" s="9"/>
      <c r="H22" s="9"/>
      <c r="I22" s="17"/>
      <c r="J22" s="9"/>
      <c r="K22" s="12"/>
    </row>
    <row r="23" spans="1:14">
      <c r="A23" s="5">
        <v>8</v>
      </c>
      <c r="B23" s="8" t="s">
        <v>15</v>
      </c>
      <c r="D23" s="17" t="s">
        <v>377</v>
      </c>
      <c r="E23" s="9"/>
      <c r="F23" s="9"/>
      <c r="G23" s="26" t="s">
        <v>16</v>
      </c>
      <c r="H23" s="9"/>
      <c r="I23" s="27">
        <f>1000*(2600+2564+2247+1935+2372+2592+2793+2807+2809+2095+2187+2537)/12</f>
        <v>2461500</v>
      </c>
      <c r="J23" s="9"/>
      <c r="K23" s="12"/>
      <c r="N23" s="189"/>
    </row>
    <row r="24" spans="1:14">
      <c r="A24" s="5">
        <v>9</v>
      </c>
      <c r="B24" s="8" t="s">
        <v>167</v>
      </c>
      <c r="C24" s="14"/>
      <c r="D24" s="14" t="s">
        <v>378</v>
      </c>
      <c r="E24" s="14"/>
      <c r="F24" s="14"/>
      <c r="G24" s="18" t="s">
        <v>17</v>
      </c>
      <c r="H24" s="14"/>
      <c r="I24" s="27">
        <v>0</v>
      </c>
      <c r="J24" s="9"/>
      <c r="K24" s="12"/>
    </row>
    <row r="25" spans="1:14">
      <c r="A25" s="5">
        <v>10</v>
      </c>
      <c r="B25" s="21" t="s">
        <v>168</v>
      </c>
      <c r="C25" s="9"/>
      <c r="D25" s="9" t="s">
        <v>379</v>
      </c>
      <c r="E25" s="9"/>
      <c r="G25" s="26" t="s">
        <v>18</v>
      </c>
      <c r="H25" s="9"/>
      <c r="I25" s="27">
        <v>0</v>
      </c>
      <c r="J25" s="9"/>
      <c r="K25" s="12"/>
    </row>
    <row r="26" spans="1:14">
      <c r="A26" s="5">
        <v>11</v>
      </c>
      <c r="B26" s="8" t="s">
        <v>157</v>
      </c>
      <c r="C26" s="9"/>
      <c r="D26" s="9" t="s">
        <v>379</v>
      </c>
      <c r="E26" s="9"/>
      <c r="G26" s="26" t="s">
        <v>19</v>
      </c>
      <c r="H26" s="9"/>
      <c r="I26" s="28">
        <v>0</v>
      </c>
      <c r="J26" s="9"/>
      <c r="K26" s="12"/>
    </row>
    <row r="27" spans="1:14">
      <c r="A27" s="5">
        <v>12</v>
      </c>
      <c r="B27" s="21" t="s">
        <v>144</v>
      </c>
      <c r="C27" s="9"/>
      <c r="D27" s="9"/>
      <c r="E27" s="9"/>
      <c r="F27" s="9"/>
      <c r="G27" s="4"/>
      <c r="H27" s="9"/>
      <c r="I27" s="28">
        <v>0</v>
      </c>
      <c r="J27" s="9"/>
      <c r="K27" s="12"/>
    </row>
    <row r="28" spans="1:14">
      <c r="A28" s="5">
        <v>13</v>
      </c>
      <c r="B28" s="21" t="s">
        <v>254</v>
      </c>
      <c r="C28" s="9"/>
      <c r="D28" s="9"/>
      <c r="E28" s="9"/>
      <c r="F28" s="9"/>
      <c r="G28" s="26"/>
      <c r="H28" s="9"/>
      <c r="I28" s="28">
        <v>0</v>
      </c>
      <c r="J28" s="9"/>
      <c r="K28" s="12"/>
    </row>
    <row r="29" spans="1:14" ht="16.5" thickBot="1">
      <c r="A29" s="5">
        <v>14</v>
      </c>
      <c r="B29" s="21" t="s">
        <v>185</v>
      </c>
      <c r="C29" s="9"/>
      <c r="D29" s="9"/>
      <c r="E29" s="9"/>
      <c r="F29" s="9"/>
      <c r="G29" s="4"/>
      <c r="H29" s="9"/>
      <c r="I29" s="29">
        <v>0</v>
      </c>
      <c r="J29" s="9"/>
      <c r="K29" s="12"/>
    </row>
    <row r="30" spans="1:14">
      <c r="A30" s="5">
        <v>15</v>
      </c>
      <c r="B30" s="2" t="s">
        <v>158</v>
      </c>
      <c r="C30" s="9"/>
      <c r="D30" s="9"/>
      <c r="E30" s="9"/>
      <c r="F30" s="9"/>
      <c r="G30" s="9"/>
      <c r="H30" s="9"/>
      <c r="I30" s="17">
        <f>SUM(I23:I29)</f>
        <v>2461500</v>
      </c>
      <c r="J30" s="9"/>
      <c r="K30" s="12"/>
    </row>
    <row r="31" spans="1:14">
      <c r="A31" s="5"/>
      <c r="B31" s="8"/>
      <c r="C31" s="9"/>
      <c r="D31" s="9"/>
      <c r="E31" s="9"/>
      <c r="F31" s="9"/>
      <c r="G31" s="9"/>
      <c r="H31" s="9"/>
      <c r="I31" s="17"/>
      <c r="J31" s="9"/>
      <c r="K31" s="12"/>
    </row>
    <row r="32" spans="1:14">
      <c r="A32" s="5">
        <v>16</v>
      </c>
      <c r="B32" s="8" t="s">
        <v>20</v>
      </c>
      <c r="C32" s="9" t="s">
        <v>159</v>
      </c>
      <c r="D32" s="30">
        <f>IF(I30&gt;0,I20/I30,0)</f>
        <v>9.0336195553471299</v>
      </c>
      <c r="E32" s="9"/>
      <c r="F32" s="9"/>
      <c r="G32" s="9"/>
      <c r="H32" s="9"/>
      <c r="J32" s="9"/>
      <c r="K32" s="12"/>
    </row>
    <row r="33" spans="1:11">
      <c r="A33" s="5">
        <v>17</v>
      </c>
      <c r="B33" s="8" t="s">
        <v>146</v>
      </c>
      <c r="C33" s="9" t="s">
        <v>160</v>
      </c>
      <c r="D33" s="30">
        <f>+D32/12</f>
        <v>0.75280162961226083</v>
      </c>
      <c r="E33" s="9"/>
      <c r="F33" s="9"/>
      <c r="G33" s="9"/>
      <c r="H33" s="9"/>
      <c r="J33" s="9"/>
      <c r="K33" s="12"/>
    </row>
    <row r="34" spans="1:11">
      <c r="A34" s="5"/>
      <c r="B34" s="8"/>
      <c r="C34" s="9"/>
      <c r="D34" s="30"/>
      <c r="E34" s="9"/>
      <c r="F34" s="9"/>
      <c r="G34" s="9"/>
      <c r="H34" s="9"/>
      <c r="J34" s="9"/>
      <c r="K34" s="12"/>
    </row>
    <row r="35" spans="1:11">
      <c r="A35" s="5"/>
      <c r="B35" s="8"/>
      <c r="C35" s="9"/>
      <c r="D35" s="31" t="s">
        <v>21</v>
      </c>
      <c r="E35" s="9"/>
      <c r="F35" s="9"/>
      <c r="G35" s="9"/>
      <c r="H35" s="9"/>
      <c r="I35" s="32" t="s">
        <v>22</v>
      </c>
      <c r="J35" s="9"/>
      <c r="K35" s="12"/>
    </row>
    <row r="36" spans="1:11">
      <c r="A36" s="5">
        <v>18</v>
      </c>
      <c r="B36" s="8" t="s">
        <v>23</v>
      </c>
      <c r="C36" s="33" t="s">
        <v>161</v>
      </c>
      <c r="D36" s="30">
        <f>+D32/52</f>
        <v>0.17372345298744479</v>
      </c>
      <c r="E36" s="9"/>
      <c r="F36" s="9"/>
      <c r="G36" s="9"/>
      <c r="H36" s="9"/>
      <c r="I36" s="34">
        <f>+D32/52</f>
        <v>0.17372345298744479</v>
      </c>
      <c r="J36" s="9"/>
      <c r="K36" s="12"/>
    </row>
    <row r="37" spans="1:11">
      <c r="A37" s="5">
        <v>19</v>
      </c>
      <c r="B37" s="8" t="s">
        <v>24</v>
      </c>
      <c r="C37" s="135" t="s">
        <v>290</v>
      </c>
      <c r="D37" s="30">
        <f>+D32/260</f>
        <v>3.4744690597488963E-2</v>
      </c>
      <c r="E37" s="9" t="s">
        <v>25</v>
      </c>
      <c r="G37" s="9"/>
      <c r="H37" s="9"/>
      <c r="I37" s="34">
        <f>+D32/365</f>
        <v>2.4749642617389395E-2</v>
      </c>
      <c r="J37" s="9"/>
      <c r="K37" s="12"/>
    </row>
    <row r="38" spans="1:11">
      <c r="A38" s="5">
        <v>20</v>
      </c>
      <c r="B38" s="8" t="s">
        <v>26</v>
      </c>
      <c r="C38" s="135" t="s">
        <v>291</v>
      </c>
      <c r="D38" s="30">
        <f>+D32/4160*1000</f>
        <v>2.1715431623430601</v>
      </c>
      <c r="E38" s="9" t="s">
        <v>27</v>
      </c>
      <c r="G38" s="9"/>
      <c r="H38" s="9"/>
      <c r="I38" s="136">
        <f>+D32/8760*1000</f>
        <v>1.0312351090578915</v>
      </c>
      <c r="J38" s="9"/>
      <c r="K38" s="12" t="s">
        <v>2</v>
      </c>
    </row>
    <row r="39" spans="1:11">
      <c r="A39" s="5"/>
      <c r="B39" s="8"/>
      <c r="C39" s="9" t="s">
        <v>28</v>
      </c>
      <c r="D39" s="9"/>
      <c r="E39" s="9" t="s">
        <v>29</v>
      </c>
      <c r="G39" s="9"/>
      <c r="H39" s="9"/>
      <c r="J39" s="9"/>
      <c r="K39" s="12" t="s">
        <v>2</v>
      </c>
    </row>
    <row r="40" spans="1:11">
      <c r="A40" s="5"/>
      <c r="B40" s="8"/>
      <c r="C40" s="9"/>
      <c r="D40" s="9"/>
      <c r="E40" s="9"/>
      <c r="G40" s="9"/>
      <c r="H40" s="9"/>
      <c r="J40" s="9"/>
      <c r="K40" s="12" t="s">
        <v>2</v>
      </c>
    </row>
    <row r="41" spans="1:11">
      <c r="A41" s="5">
        <v>21</v>
      </c>
      <c r="B41" s="8" t="s">
        <v>247</v>
      </c>
      <c r="C41" s="9" t="s">
        <v>245</v>
      </c>
      <c r="D41" s="35">
        <v>0</v>
      </c>
      <c r="E41" s="36" t="s">
        <v>30</v>
      </c>
      <c r="F41" s="36"/>
      <c r="G41" s="36"/>
      <c r="H41" s="36"/>
      <c r="I41" s="36">
        <f>D41</f>
        <v>0</v>
      </c>
      <c r="J41" s="36" t="s">
        <v>30</v>
      </c>
      <c r="K41" s="12"/>
    </row>
    <row r="42" spans="1:11">
      <c r="A42" s="5">
        <v>22</v>
      </c>
      <c r="B42" s="8"/>
      <c r="C42" s="9"/>
      <c r="D42" s="35">
        <v>0</v>
      </c>
      <c r="E42" s="36" t="s">
        <v>31</v>
      </c>
      <c r="F42" s="36"/>
      <c r="G42" s="36"/>
      <c r="H42" s="36"/>
      <c r="I42" s="36">
        <f>D42</f>
        <v>0</v>
      </c>
      <c r="J42" s="36" t="s">
        <v>31</v>
      </c>
      <c r="K42" s="12"/>
    </row>
    <row r="43" spans="1:11" s="10" customFormat="1">
      <c r="A43" s="115"/>
      <c r="B43" s="57"/>
      <c r="C43" s="12"/>
      <c r="D43" s="116"/>
      <c r="E43" s="116"/>
      <c r="F43" s="116"/>
      <c r="G43" s="116"/>
      <c r="H43" s="116"/>
      <c r="I43" s="116"/>
      <c r="J43" s="116"/>
      <c r="K43" s="12"/>
    </row>
    <row r="44" spans="1:11" s="10" customFormat="1">
      <c r="A44" s="115"/>
      <c r="B44" s="57"/>
      <c r="C44" s="12"/>
      <c r="D44" s="116"/>
      <c r="E44" s="116"/>
      <c r="F44" s="116"/>
      <c r="G44" s="116"/>
      <c r="H44" s="116"/>
      <c r="I44" s="116"/>
      <c r="J44" s="116"/>
      <c r="K44" s="12"/>
    </row>
    <row r="45" spans="1:11" s="10" customFormat="1">
      <c r="A45" s="115"/>
      <c r="B45" s="57"/>
      <c r="C45" s="12"/>
      <c r="D45" s="116"/>
      <c r="E45" s="116"/>
      <c r="F45" s="116"/>
      <c r="G45" s="116"/>
      <c r="H45" s="116"/>
      <c r="I45" s="116"/>
      <c r="J45" s="116"/>
      <c r="K45" s="12"/>
    </row>
    <row r="46" spans="1:11" s="10" customFormat="1">
      <c r="A46" s="115"/>
      <c r="B46" s="57"/>
      <c r="C46" s="12"/>
      <c r="D46" s="116"/>
      <c r="E46" s="116"/>
      <c r="F46" s="116"/>
      <c r="G46" s="116"/>
      <c r="H46" s="116"/>
      <c r="I46" s="116"/>
      <c r="J46" s="116"/>
      <c r="K46" s="12"/>
    </row>
    <row r="47" spans="1:11" s="10" customFormat="1">
      <c r="A47" s="115"/>
      <c r="B47" s="57"/>
      <c r="C47" s="12"/>
      <c r="D47" s="116"/>
      <c r="E47" s="116"/>
      <c r="F47" s="116"/>
      <c r="G47" s="116"/>
      <c r="H47" s="116"/>
      <c r="I47" s="116"/>
      <c r="J47" s="116"/>
      <c r="K47" s="12"/>
    </row>
    <row r="48" spans="1:11" s="10" customFormat="1">
      <c r="A48" s="115"/>
      <c r="B48" s="57"/>
      <c r="C48" s="12"/>
      <c r="D48" s="116"/>
      <c r="E48" s="116"/>
      <c r="F48" s="116"/>
      <c r="G48" s="116"/>
      <c r="H48" s="116"/>
      <c r="I48" s="116"/>
      <c r="J48" s="116"/>
      <c r="K48" s="12"/>
    </row>
    <row r="49" spans="1:11" s="10" customFormat="1">
      <c r="A49" s="115"/>
      <c r="B49" s="57"/>
      <c r="C49" s="12"/>
      <c r="D49" s="116"/>
      <c r="E49" s="116"/>
      <c r="F49" s="116"/>
      <c r="G49" s="116"/>
      <c r="H49" s="116"/>
      <c r="I49" s="116"/>
      <c r="J49" s="116"/>
      <c r="K49" s="12"/>
    </row>
    <row r="50" spans="1:11" s="10" customFormat="1">
      <c r="A50" s="115"/>
      <c r="B50" s="57"/>
      <c r="C50" s="12"/>
      <c r="D50" s="116"/>
      <c r="E50" s="116"/>
      <c r="F50" s="116"/>
      <c r="G50" s="116"/>
      <c r="H50" s="116"/>
      <c r="I50" s="116"/>
      <c r="J50" s="116"/>
      <c r="K50" s="12"/>
    </row>
    <row r="51" spans="1:11" s="10" customFormat="1">
      <c r="A51" s="115"/>
      <c r="B51" s="57"/>
      <c r="C51" s="12"/>
      <c r="D51" s="116"/>
      <c r="E51" s="116"/>
      <c r="F51" s="116"/>
      <c r="G51" s="116"/>
      <c r="H51" s="116"/>
      <c r="I51" s="116"/>
      <c r="J51" s="116"/>
      <c r="K51" s="12"/>
    </row>
    <row r="52" spans="1:11" s="10" customFormat="1">
      <c r="A52" s="115"/>
      <c r="B52" s="57"/>
      <c r="C52" s="12"/>
      <c r="D52" s="116"/>
      <c r="E52" s="116"/>
      <c r="F52" s="116"/>
      <c r="G52" s="116"/>
      <c r="H52" s="116"/>
      <c r="I52" s="116"/>
      <c r="J52" s="116"/>
      <c r="K52" s="12"/>
    </row>
    <row r="53" spans="1:11" s="10" customFormat="1">
      <c r="A53" s="115"/>
      <c r="B53" s="57"/>
      <c r="C53" s="12"/>
      <c r="D53" s="116"/>
      <c r="E53" s="116"/>
      <c r="F53" s="116"/>
      <c r="G53" s="116"/>
      <c r="H53" s="116"/>
      <c r="I53" s="116"/>
      <c r="J53" s="116"/>
      <c r="K53" s="12"/>
    </row>
    <row r="54" spans="1:11" s="10" customFormat="1">
      <c r="A54" s="115"/>
      <c r="B54" s="57"/>
      <c r="C54" s="12"/>
      <c r="D54" s="116"/>
      <c r="E54" s="116"/>
      <c r="F54" s="116"/>
      <c r="G54" s="116"/>
      <c r="H54" s="116"/>
      <c r="I54" s="116"/>
      <c r="J54" s="116"/>
      <c r="K54" s="12"/>
    </row>
    <row r="55" spans="1:11" s="10" customFormat="1">
      <c r="A55" s="115"/>
      <c r="B55" s="57"/>
      <c r="C55" s="12"/>
      <c r="D55" s="116"/>
      <c r="E55" s="116"/>
      <c r="F55" s="116"/>
      <c r="G55" s="116"/>
      <c r="H55" s="116"/>
      <c r="I55" s="116"/>
      <c r="J55" s="116"/>
      <c r="K55" s="12"/>
    </row>
    <row r="56" spans="1:11" s="10" customFormat="1">
      <c r="A56" s="115"/>
      <c r="B56" s="57"/>
      <c r="C56" s="12"/>
      <c r="D56" s="116"/>
      <c r="E56" s="116"/>
      <c r="F56" s="116"/>
      <c r="G56" s="116"/>
      <c r="H56" s="116"/>
      <c r="I56" s="116"/>
      <c r="J56" s="116"/>
      <c r="K56" s="12"/>
    </row>
    <row r="57" spans="1:11" s="10" customFormat="1">
      <c r="A57" s="115"/>
      <c r="B57" s="57"/>
      <c r="C57" s="12"/>
      <c r="D57" s="116"/>
      <c r="E57" s="116"/>
      <c r="F57" s="116"/>
      <c r="G57" s="116"/>
      <c r="H57" s="116"/>
      <c r="I57" s="116"/>
      <c r="J57" s="116"/>
      <c r="K57" s="12"/>
    </row>
    <row r="58" spans="1:11" s="10" customFormat="1">
      <c r="A58" s="115"/>
      <c r="B58" s="57"/>
      <c r="C58" s="12"/>
      <c r="D58" s="116"/>
      <c r="E58" s="116"/>
      <c r="F58" s="116"/>
      <c r="G58" s="116"/>
      <c r="H58" s="116"/>
      <c r="I58" s="116"/>
      <c r="J58" s="116"/>
      <c r="K58" s="12"/>
    </row>
    <row r="59" spans="1:11" s="10" customFormat="1">
      <c r="A59" s="115"/>
      <c r="B59" s="57"/>
      <c r="C59" s="12"/>
      <c r="D59" s="116"/>
      <c r="E59" s="116"/>
      <c r="F59" s="116"/>
      <c r="G59" s="116"/>
      <c r="H59" s="116"/>
      <c r="I59" s="116"/>
      <c r="J59" s="116"/>
      <c r="K59" s="12"/>
    </row>
    <row r="60" spans="1:11" s="10" customFormat="1">
      <c r="A60" s="115"/>
      <c r="B60" s="57"/>
      <c r="C60" s="12"/>
      <c r="D60" s="116"/>
      <c r="E60" s="116"/>
      <c r="F60" s="116"/>
      <c r="G60" s="116"/>
      <c r="H60" s="116"/>
      <c r="I60" s="116"/>
      <c r="J60" s="116"/>
      <c r="K60" s="12"/>
    </row>
    <row r="61" spans="1:11" s="10" customFormat="1">
      <c r="A61" s="115"/>
      <c r="B61" s="57"/>
      <c r="C61" s="12"/>
      <c r="D61" s="116"/>
      <c r="E61" s="116"/>
      <c r="F61" s="116"/>
      <c r="G61" s="116"/>
      <c r="H61" s="116"/>
      <c r="I61" s="116"/>
      <c r="J61" s="116"/>
      <c r="K61" s="12"/>
    </row>
    <row r="62" spans="1:11" s="10" customFormat="1">
      <c r="A62" s="115"/>
      <c r="B62" s="57"/>
      <c r="C62" s="12"/>
      <c r="D62" s="116"/>
      <c r="E62" s="116"/>
      <c r="F62" s="116"/>
      <c r="G62" s="116"/>
      <c r="H62" s="116"/>
      <c r="I62" s="116"/>
      <c r="J62" s="116"/>
      <c r="K62" s="12"/>
    </row>
    <row r="63" spans="1:11" s="10" customFormat="1">
      <c r="A63" s="115"/>
      <c r="B63" s="57"/>
      <c r="C63" s="12"/>
      <c r="D63" s="116"/>
      <c r="E63" s="116"/>
      <c r="F63" s="116"/>
      <c r="G63" s="116"/>
      <c r="H63" s="116"/>
      <c r="I63" s="116"/>
      <c r="J63" s="116"/>
      <c r="K63" s="12"/>
    </row>
    <row r="64" spans="1:11" s="10" customFormat="1">
      <c r="A64" s="115"/>
      <c r="B64" s="57"/>
      <c r="C64" s="12"/>
      <c r="D64" s="116"/>
      <c r="E64" s="116"/>
      <c r="F64" s="116"/>
      <c r="G64" s="116"/>
      <c r="H64" s="116"/>
      <c r="I64" s="116"/>
      <c r="J64" s="116"/>
      <c r="K64" s="12"/>
    </row>
    <row r="65" spans="1:15" s="10" customFormat="1">
      <c r="A65" s="115"/>
      <c r="B65" s="57"/>
      <c r="C65" s="12"/>
      <c r="D65" s="116"/>
      <c r="E65" s="116"/>
      <c r="F65" s="116"/>
      <c r="G65" s="116"/>
      <c r="H65" s="116"/>
      <c r="I65" s="116"/>
      <c r="J65" s="116"/>
      <c r="K65" s="12"/>
    </row>
    <row r="66" spans="1:15">
      <c r="B66" s="2"/>
      <c r="C66" s="2"/>
      <c r="D66" s="3"/>
      <c r="E66" s="2"/>
      <c r="F66" s="2"/>
      <c r="G66" s="2"/>
      <c r="H66" s="4"/>
      <c r="I66" s="4"/>
      <c r="J66" s="196" t="s">
        <v>202</v>
      </c>
      <c r="K66" s="196"/>
    </row>
    <row r="67" spans="1:15">
      <c r="B67" s="2"/>
      <c r="C67" s="2"/>
      <c r="D67" s="3"/>
      <c r="E67" s="2"/>
      <c r="F67" s="2"/>
      <c r="G67" s="2"/>
      <c r="H67" s="4"/>
      <c r="I67" s="4"/>
      <c r="J67" s="9"/>
      <c r="K67" s="37"/>
    </row>
    <row r="68" spans="1:15">
      <c r="B68" s="2" t="s">
        <v>0</v>
      </c>
      <c r="C68" s="2"/>
      <c r="D68" s="3" t="s">
        <v>279</v>
      </c>
      <c r="E68" s="2"/>
      <c r="F68" s="2"/>
      <c r="G68" s="2"/>
      <c r="H68" s="4"/>
      <c r="I68" s="4"/>
      <c r="J68" s="9"/>
      <c r="K68" s="37" t="str">
        <f>K4</f>
        <v>For the 12 months ended 12/31/2013</v>
      </c>
    </row>
    <row r="69" spans="1:15">
      <c r="B69" s="2"/>
      <c r="C69" s="14" t="s">
        <v>2</v>
      </c>
      <c r="D69" s="14" t="s">
        <v>280</v>
      </c>
      <c r="E69" s="14"/>
      <c r="F69" s="14"/>
      <c r="G69" s="14"/>
      <c r="H69" s="4"/>
      <c r="I69" s="4"/>
      <c r="J69" s="9"/>
      <c r="K69" s="12"/>
    </row>
    <row r="70" spans="1:15">
      <c r="B70" s="2"/>
      <c r="C70" s="14"/>
      <c r="D70" s="14"/>
      <c r="E70" s="14"/>
      <c r="F70" s="14"/>
      <c r="G70" s="14"/>
      <c r="H70" s="4"/>
      <c r="I70" s="4"/>
      <c r="J70" s="9"/>
      <c r="K70" s="12"/>
    </row>
    <row r="71" spans="1:15">
      <c r="B71" s="8"/>
      <c r="C71" s="14" t="str">
        <f>C7</f>
        <v>INDIANAPOLIS POWER &amp; LIGHT COMPANY</v>
      </c>
      <c r="E71" s="14"/>
      <c r="F71" s="14"/>
      <c r="G71" s="14"/>
      <c r="H71" s="14"/>
      <c r="I71" s="14"/>
      <c r="J71" s="14"/>
      <c r="K71" s="18"/>
    </row>
    <row r="72" spans="1:15">
      <c r="B72" s="38" t="s">
        <v>32</v>
      </c>
      <c r="C72" s="38" t="s">
        <v>33</v>
      </c>
      <c r="D72" s="38" t="s">
        <v>34</v>
      </c>
      <c r="E72" s="14" t="s">
        <v>2</v>
      </c>
      <c r="F72" s="14"/>
      <c r="G72" s="39" t="s">
        <v>35</v>
      </c>
      <c r="H72" s="14"/>
      <c r="I72" s="40" t="s">
        <v>36</v>
      </c>
      <c r="J72" s="14"/>
      <c r="K72" s="11"/>
    </row>
    <row r="73" spans="1:15">
      <c r="B73" s="8"/>
      <c r="C73" s="41" t="s">
        <v>37</v>
      </c>
      <c r="D73" s="14"/>
      <c r="E73" s="14"/>
      <c r="F73" s="14"/>
      <c r="G73" s="5"/>
      <c r="H73" s="14"/>
      <c r="I73" s="42" t="s">
        <v>38</v>
      </c>
      <c r="J73" s="14"/>
      <c r="K73" s="11"/>
    </row>
    <row r="74" spans="1:15">
      <c r="A74" s="5" t="s">
        <v>4</v>
      </c>
      <c r="B74" s="8"/>
      <c r="C74" s="43" t="s">
        <v>39</v>
      </c>
      <c r="D74" s="42" t="s">
        <v>40</v>
      </c>
      <c r="E74" s="44"/>
      <c r="F74" s="42" t="s">
        <v>41</v>
      </c>
      <c r="H74" s="44"/>
      <c r="I74" s="5" t="s">
        <v>42</v>
      </c>
      <c r="J74" s="14"/>
      <c r="K74" s="11"/>
    </row>
    <row r="75" spans="1:15" ht="16.5" thickBot="1">
      <c r="A75" s="16" t="s">
        <v>6</v>
      </c>
      <c r="B75" s="45" t="s">
        <v>43</v>
      </c>
      <c r="C75" s="14"/>
      <c r="D75" s="14"/>
      <c r="E75" s="14"/>
      <c r="F75" s="14"/>
      <c r="G75" s="14"/>
      <c r="H75" s="14"/>
      <c r="I75" s="14"/>
      <c r="J75" s="14"/>
      <c r="K75" s="18"/>
    </row>
    <row r="76" spans="1:15">
      <c r="A76" s="5"/>
      <c r="B76" s="8" t="s">
        <v>317</v>
      </c>
      <c r="C76" s="14"/>
      <c r="D76" s="14"/>
      <c r="E76" s="14"/>
      <c r="F76" s="14"/>
      <c r="G76" s="14"/>
      <c r="H76" s="14"/>
      <c r="I76" s="14"/>
      <c r="J76" s="14"/>
      <c r="K76" s="18"/>
    </row>
    <row r="77" spans="1:15">
      <c r="A77" s="5">
        <v>1</v>
      </c>
      <c r="B77" s="8" t="s">
        <v>44</v>
      </c>
      <c r="C77" s="18" t="s">
        <v>226</v>
      </c>
      <c r="D77" s="22">
        <v>2653028975</v>
      </c>
      <c r="E77" s="14"/>
      <c r="F77" s="14" t="s">
        <v>45</v>
      </c>
      <c r="G77" s="46" t="s">
        <v>2</v>
      </c>
      <c r="H77" s="14"/>
      <c r="I77" s="14" t="s">
        <v>2</v>
      </c>
      <c r="J77" s="14"/>
      <c r="K77" s="18"/>
    </row>
    <row r="78" spans="1:15">
      <c r="A78" s="5">
        <v>2</v>
      </c>
      <c r="B78" s="8" t="s">
        <v>46</v>
      </c>
      <c r="C78" s="18" t="s">
        <v>219</v>
      </c>
      <c r="D78" s="22">
        <v>256892484</v>
      </c>
      <c r="E78" s="14"/>
      <c r="F78" s="14" t="s">
        <v>11</v>
      </c>
      <c r="G78" s="46">
        <f>I212</f>
        <v>1</v>
      </c>
      <c r="H78" s="14"/>
      <c r="I78" s="14">
        <f>+G78*D78</f>
        <v>256892484</v>
      </c>
      <c r="J78" s="14"/>
      <c r="K78" s="18"/>
      <c r="M78" s="10"/>
      <c r="N78" s="10"/>
      <c r="O78" s="10"/>
    </row>
    <row r="79" spans="1:15">
      <c r="A79" s="5">
        <v>3</v>
      </c>
      <c r="B79" s="8" t="s">
        <v>47</v>
      </c>
      <c r="C79" s="18" t="s">
        <v>220</v>
      </c>
      <c r="D79" s="22">
        <v>1283390522</v>
      </c>
      <c r="E79" s="14"/>
      <c r="F79" s="14" t="s">
        <v>45</v>
      </c>
      <c r="G79" s="46" t="s">
        <v>2</v>
      </c>
      <c r="H79" s="14"/>
      <c r="I79" s="14" t="s">
        <v>2</v>
      </c>
      <c r="J79" s="14"/>
      <c r="K79" s="18"/>
    </row>
    <row r="80" spans="1:15">
      <c r="A80" s="5">
        <v>4</v>
      </c>
      <c r="B80" s="8" t="s">
        <v>48</v>
      </c>
      <c r="C80" s="18" t="s">
        <v>227</v>
      </c>
      <c r="D80" s="22">
        <f>96686604+194462228</f>
        <v>291148832</v>
      </c>
      <c r="E80" s="14"/>
      <c r="F80" s="14" t="s">
        <v>49</v>
      </c>
      <c r="G80" s="46">
        <f>I229</f>
        <v>5.2442247557313269E-2</v>
      </c>
      <c r="H80" s="14"/>
      <c r="I80" s="14">
        <f>+G80*D80</f>
        <v>15268499.123766612</v>
      </c>
      <c r="J80" s="14"/>
      <c r="K80" s="18"/>
    </row>
    <row r="81" spans="1:11" ht="16.5" thickBot="1">
      <c r="A81" s="5">
        <v>5</v>
      </c>
      <c r="B81" s="8" t="s">
        <v>50</v>
      </c>
      <c r="C81" s="18" t="s">
        <v>51</v>
      </c>
      <c r="D81" s="47">
        <v>0</v>
      </c>
      <c r="E81" s="14"/>
      <c r="F81" s="14" t="s">
        <v>100</v>
      </c>
      <c r="G81" s="46">
        <f>K233</f>
        <v>5.2442247557313269E-2</v>
      </c>
      <c r="H81" s="14"/>
      <c r="I81" s="23">
        <f>+G81*D81</f>
        <v>0</v>
      </c>
      <c r="J81" s="14"/>
      <c r="K81" s="18"/>
    </row>
    <row r="82" spans="1:11">
      <c r="A82" s="5">
        <v>6</v>
      </c>
      <c r="B82" s="2" t="s">
        <v>276</v>
      </c>
      <c r="C82" s="18"/>
      <c r="D82" s="14">
        <f>SUM(D77:D81)</f>
        <v>4484460813</v>
      </c>
      <c r="E82" s="14"/>
      <c r="F82" s="14" t="s">
        <v>52</v>
      </c>
      <c r="G82" s="48">
        <f>IF(I82&gt;0,I82/D82,0)</f>
        <v>6.068978958067809E-2</v>
      </c>
      <c r="H82" s="14"/>
      <c r="I82" s="14">
        <f>SUM(I77:I81)</f>
        <v>272160983.1237666</v>
      </c>
      <c r="J82" s="14"/>
      <c r="K82" s="49"/>
    </row>
    <row r="83" spans="1:11">
      <c r="B83" s="8"/>
      <c r="C83" s="18"/>
      <c r="D83" s="14"/>
      <c r="E83" s="14"/>
      <c r="F83" s="14"/>
      <c r="G83" s="48"/>
      <c r="H83" s="14"/>
      <c r="I83" s="14"/>
      <c r="J83" s="14"/>
      <c r="K83" s="49"/>
    </row>
    <row r="84" spans="1:11">
      <c r="B84" s="8" t="s">
        <v>318</v>
      </c>
      <c r="C84" s="18"/>
      <c r="D84" s="14"/>
      <c r="E84" s="14"/>
      <c r="F84" s="14"/>
      <c r="G84" s="14"/>
      <c r="H84" s="14"/>
      <c r="I84" s="14"/>
      <c r="J84" s="14"/>
      <c r="K84" s="18"/>
    </row>
    <row r="85" spans="1:11">
      <c r="A85" s="5">
        <v>7</v>
      </c>
      <c r="B85" s="8" t="str">
        <f>+B77</f>
        <v xml:space="preserve">  Production</v>
      </c>
      <c r="C85" s="18" t="s">
        <v>206</v>
      </c>
      <c r="D85" s="22">
        <f>1294674185+120115234</f>
        <v>1414789419</v>
      </c>
      <c r="E85" s="14"/>
      <c r="F85" s="14" t="str">
        <f>+F77</f>
        <v>NA</v>
      </c>
      <c r="G85" s="46" t="str">
        <f>+G77</f>
        <v xml:space="preserve"> </v>
      </c>
      <c r="H85" s="14"/>
      <c r="I85" s="14" t="s">
        <v>2</v>
      </c>
      <c r="J85" s="14"/>
      <c r="K85" s="18"/>
    </row>
    <row r="86" spans="1:11">
      <c r="A86" s="5">
        <v>8</v>
      </c>
      <c r="B86" s="8" t="str">
        <f>+B78</f>
        <v xml:space="preserve">  Transmission</v>
      </c>
      <c r="C86" s="18" t="s">
        <v>207</v>
      </c>
      <c r="D86" s="22">
        <v>153165740</v>
      </c>
      <c r="E86" s="14"/>
      <c r="F86" s="14" t="str">
        <f t="shared" ref="F86:G89" si="1">+F78</f>
        <v>TP</v>
      </c>
      <c r="G86" s="46">
        <f t="shared" si="1"/>
        <v>1</v>
      </c>
      <c r="H86" s="14"/>
      <c r="I86" s="14">
        <f>+G86*D86</f>
        <v>153165740</v>
      </c>
      <c r="J86" s="14"/>
      <c r="K86" s="18"/>
    </row>
    <row r="87" spans="1:11">
      <c r="A87" s="5">
        <v>9</v>
      </c>
      <c r="B87" s="8" t="str">
        <f>+B79</f>
        <v xml:space="preserve">  Distribution</v>
      </c>
      <c r="C87" s="18" t="s">
        <v>208</v>
      </c>
      <c r="D87" s="22">
        <v>1037528513</v>
      </c>
      <c r="E87" s="14"/>
      <c r="F87" s="14" t="str">
        <f t="shared" si="1"/>
        <v>NA</v>
      </c>
      <c r="G87" s="46" t="str">
        <f t="shared" si="1"/>
        <v xml:space="preserve"> </v>
      </c>
      <c r="H87" s="14"/>
      <c r="I87" s="14" t="s">
        <v>2</v>
      </c>
      <c r="J87" s="14"/>
      <c r="K87" s="18"/>
    </row>
    <row r="88" spans="1:11">
      <c r="A88" s="5">
        <v>10</v>
      </c>
      <c r="B88" s="8" t="str">
        <f>+B80</f>
        <v xml:space="preserve">  General &amp; Intangible</v>
      </c>
      <c r="C88" s="18" t="s">
        <v>319</v>
      </c>
      <c r="D88" s="22">
        <f>74000489+82167367</f>
        <v>156167856</v>
      </c>
      <c r="E88" s="14"/>
      <c r="F88" s="14" t="str">
        <f t="shared" si="1"/>
        <v>W/S</v>
      </c>
      <c r="G88" s="46">
        <f t="shared" si="1"/>
        <v>5.2442247557313269E-2</v>
      </c>
      <c r="H88" s="14"/>
      <c r="I88" s="14">
        <f>+G88*D88</f>
        <v>8189793.3648468507</v>
      </c>
      <c r="J88" s="14"/>
      <c r="K88" s="18"/>
    </row>
    <row r="89" spans="1:11" ht="16.5" thickBot="1">
      <c r="A89" s="5">
        <v>11</v>
      </c>
      <c r="B89" s="8" t="str">
        <f>+B81</f>
        <v xml:space="preserve">  Common</v>
      </c>
      <c r="C89" s="18" t="s">
        <v>51</v>
      </c>
      <c r="D89" s="47">
        <v>0</v>
      </c>
      <c r="E89" s="14"/>
      <c r="F89" s="14" t="str">
        <f t="shared" si="1"/>
        <v>CE</v>
      </c>
      <c r="G89" s="46">
        <f t="shared" si="1"/>
        <v>5.2442247557313269E-2</v>
      </c>
      <c r="H89" s="14"/>
      <c r="I89" s="23">
        <f>+G89*D89</f>
        <v>0</v>
      </c>
      <c r="J89" s="14"/>
      <c r="K89" s="18"/>
    </row>
    <row r="90" spans="1:11">
      <c r="A90" s="5">
        <v>12</v>
      </c>
      <c r="B90" s="8" t="s">
        <v>277</v>
      </c>
      <c r="C90" s="14"/>
      <c r="D90" s="14">
        <f>SUM(D85:D89)</f>
        <v>2761651528</v>
      </c>
      <c r="E90" s="14"/>
      <c r="F90" s="14"/>
      <c r="G90" s="14"/>
      <c r="H90" s="14"/>
      <c r="I90" s="14">
        <f>SUM(I85:I89)</f>
        <v>161355533.36484686</v>
      </c>
      <c r="J90" s="14"/>
      <c r="K90" s="18"/>
    </row>
    <row r="91" spans="1:11">
      <c r="A91" s="5"/>
      <c r="C91" s="14" t="s">
        <v>2</v>
      </c>
      <c r="E91" s="14"/>
      <c r="F91" s="14"/>
      <c r="G91" s="48"/>
      <c r="H91" s="14"/>
      <c r="J91" s="14"/>
      <c r="K91" s="49"/>
    </row>
    <row r="92" spans="1:11">
      <c r="A92" s="5"/>
      <c r="B92" s="8" t="s">
        <v>53</v>
      </c>
      <c r="C92" s="14"/>
      <c r="D92" s="14"/>
      <c r="E92" s="14"/>
      <c r="F92" s="14"/>
      <c r="G92" s="14"/>
      <c r="H92" s="14"/>
      <c r="I92" s="14"/>
      <c r="J92" s="14"/>
      <c r="K92" s="18"/>
    </row>
    <row r="93" spans="1:11">
      <c r="A93" s="5">
        <v>13</v>
      </c>
      <c r="B93" s="8" t="str">
        <f>+B85</f>
        <v xml:space="preserve">  Production</v>
      </c>
      <c r="C93" s="14" t="s">
        <v>248</v>
      </c>
      <c r="D93" s="14">
        <f>D77-D85</f>
        <v>1238239556</v>
      </c>
      <c r="E93" s="14"/>
      <c r="F93" s="14"/>
      <c r="G93" s="48"/>
      <c r="H93" s="14"/>
      <c r="I93" s="14" t="s">
        <v>2</v>
      </c>
      <c r="J93" s="14"/>
      <c r="K93" s="49"/>
    </row>
    <row r="94" spans="1:11">
      <c r="A94" s="5">
        <v>14</v>
      </c>
      <c r="B94" s="8" t="str">
        <f>+B86</f>
        <v xml:space="preserve">  Transmission</v>
      </c>
      <c r="C94" s="14" t="s">
        <v>249</v>
      </c>
      <c r="D94" s="14">
        <f>D78-D86</f>
        <v>103726744</v>
      </c>
      <c r="E94" s="14"/>
      <c r="F94" s="14"/>
      <c r="G94" s="46"/>
      <c r="H94" s="14"/>
      <c r="I94" s="14">
        <f>I78-I86</f>
        <v>103726744</v>
      </c>
      <c r="J94" s="14"/>
      <c r="K94" s="49"/>
    </row>
    <row r="95" spans="1:11">
      <c r="A95" s="5">
        <v>15</v>
      </c>
      <c r="B95" s="8" t="str">
        <f>+B87</f>
        <v xml:space="preserve">  Distribution</v>
      </c>
      <c r="C95" s="14" t="s">
        <v>250</v>
      </c>
      <c r="D95" s="14">
        <f>D79-D87</f>
        <v>245862009</v>
      </c>
      <c r="E95" s="14"/>
      <c r="F95" s="14"/>
      <c r="G95" s="48"/>
      <c r="H95" s="14"/>
      <c r="I95" s="14" t="s">
        <v>2</v>
      </c>
      <c r="J95" s="14"/>
      <c r="K95" s="49"/>
    </row>
    <row r="96" spans="1:11">
      <c r="A96" s="5">
        <v>16</v>
      </c>
      <c r="B96" s="8" t="str">
        <f>+B88</f>
        <v xml:space="preserve">  General &amp; Intangible</v>
      </c>
      <c r="C96" s="14" t="s">
        <v>251</v>
      </c>
      <c r="D96" s="14">
        <f>D80-D88</f>
        <v>134980976</v>
      </c>
      <c r="E96" s="14"/>
      <c r="F96" s="14"/>
      <c r="G96" s="48"/>
      <c r="H96" s="14"/>
      <c r="I96" s="14">
        <f>I80-I88</f>
        <v>7078705.7589197615</v>
      </c>
      <c r="J96" s="14"/>
      <c r="K96" s="49"/>
    </row>
    <row r="97" spans="1:12" ht="16.5" thickBot="1">
      <c r="A97" s="5">
        <v>17</v>
      </c>
      <c r="B97" s="8" t="str">
        <f>+B89</f>
        <v xml:space="preserve">  Common</v>
      </c>
      <c r="C97" s="14" t="s">
        <v>252</v>
      </c>
      <c r="D97" s="23">
        <f>D81-D89</f>
        <v>0</v>
      </c>
      <c r="E97" s="14"/>
      <c r="F97" s="14"/>
      <c r="G97" s="48"/>
      <c r="H97" s="14"/>
      <c r="I97" s="23">
        <f>I81-I89</f>
        <v>0</v>
      </c>
      <c r="J97" s="14"/>
      <c r="K97" s="49"/>
    </row>
    <row r="98" spans="1:12">
      <c r="A98" s="5">
        <v>18</v>
      </c>
      <c r="B98" s="8" t="s">
        <v>275</v>
      </c>
      <c r="C98" s="14"/>
      <c r="D98" s="14">
        <f>SUM(D93:D97)</f>
        <v>1722809285</v>
      </c>
      <c r="E98" s="14"/>
      <c r="F98" s="14" t="s">
        <v>54</v>
      </c>
      <c r="G98" s="48">
        <f>IF(I98&gt;0,I98/D98,0)</f>
        <v>6.4316724273354359E-2</v>
      </c>
      <c r="H98" s="14"/>
      <c r="I98" s="14">
        <f>SUM(I93:I97)</f>
        <v>110805449.75891976</v>
      </c>
      <c r="J98" s="14"/>
      <c r="K98" s="18"/>
    </row>
    <row r="99" spans="1:12">
      <c r="A99" s="5"/>
      <c r="C99" s="14"/>
      <c r="E99" s="14"/>
      <c r="H99" s="14"/>
      <c r="J99" s="14"/>
      <c r="K99" s="49"/>
    </row>
    <row r="100" spans="1:12">
      <c r="A100" s="5"/>
      <c r="B100" s="2" t="s">
        <v>253</v>
      </c>
      <c r="C100" s="14"/>
      <c r="D100" s="14"/>
      <c r="E100" s="14"/>
      <c r="F100" s="14"/>
      <c r="G100" s="14"/>
      <c r="H100" s="14"/>
      <c r="I100" s="14"/>
      <c r="J100" s="14"/>
      <c r="K100" s="18"/>
    </row>
    <row r="101" spans="1:12">
      <c r="A101" s="5">
        <v>19</v>
      </c>
      <c r="B101" s="8" t="s">
        <v>147</v>
      </c>
      <c r="C101" s="14" t="s">
        <v>55</v>
      </c>
      <c r="D101" s="22">
        <v>-29011248</v>
      </c>
      <c r="E101" s="18"/>
      <c r="F101" s="18" t="str">
        <f>+F85</f>
        <v>NA</v>
      </c>
      <c r="G101" s="50" t="s">
        <v>195</v>
      </c>
      <c r="H101" s="14"/>
      <c r="I101" s="14">
        <v>0</v>
      </c>
      <c r="J101" s="14"/>
      <c r="K101" s="49"/>
    </row>
    <row r="102" spans="1:12">
      <c r="A102" s="5">
        <v>20</v>
      </c>
      <c r="B102" s="8" t="s">
        <v>148</v>
      </c>
      <c r="C102" s="14" t="s">
        <v>57</v>
      </c>
      <c r="D102" s="22">
        <v>-271751274</v>
      </c>
      <c r="E102" s="14"/>
      <c r="F102" s="14" t="s">
        <v>56</v>
      </c>
      <c r="G102" s="46">
        <f>+G98</f>
        <v>6.4316724273354359E-2</v>
      </c>
      <c r="H102" s="14"/>
      <c r="I102" s="14">
        <f>D102*G102</f>
        <v>-17478151.760790773</v>
      </c>
      <c r="J102" s="14"/>
      <c r="K102" s="49"/>
    </row>
    <row r="103" spans="1:12">
      <c r="A103" s="5">
        <v>21</v>
      </c>
      <c r="B103" s="8" t="s">
        <v>149</v>
      </c>
      <c r="C103" s="14" t="s">
        <v>58</v>
      </c>
      <c r="D103" s="51">
        <v>-128560207</v>
      </c>
      <c r="E103" s="14"/>
      <c r="F103" s="14" t="s">
        <v>56</v>
      </c>
      <c r="G103" s="46">
        <f>+G102</f>
        <v>6.4316724273354359E-2</v>
      </c>
      <c r="H103" s="14"/>
      <c r="I103" s="14">
        <f>D103*G103</f>
        <v>-8268571.3861443605</v>
      </c>
      <c r="J103" s="14"/>
      <c r="K103" s="49"/>
    </row>
    <row r="104" spans="1:12">
      <c r="A104" s="5">
        <v>22</v>
      </c>
      <c r="B104" s="8" t="s">
        <v>151</v>
      </c>
      <c r="C104" s="14" t="s">
        <v>59</v>
      </c>
      <c r="D104" s="51">
        <v>102258140</v>
      </c>
      <c r="E104" s="14"/>
      <c r="F104" s="14" t="str">
        <f>+F103</f>
        <v>NP</v>
      </c>
      <c r="G104" s="46">
        <f>+G103</f>
        <v>6.4316724273354359E-2</v>
      </c>
      <c r="H104" s="14"/>
      <c r="I104" s="14">
        <f>D104*G104</f>
        <v>6576908.5950860679</v>
      </c>
      <c r="J104" s="14"/>
      <c r="K104" s="49"/>
    </row>
    <row r="105" spans="1:12" ht="16.5" thickBot="1">
      <c r="A105" s="5">
        <v>23</v>
      </c>
      <c r="B105" s="1" t="s">
        <v>150</v>
      </c>
      <c r="C105" s="1" t="s">
        <v>213</v>
      </c>
      <c r="D105" s="47">
        <v>-6660590</v>
      </c>
      <c r="E105" s="14"/>
      <c r="F105" s="14" t="s">
        <v>56</v>
      </c>
      <c r="G105" s="46">
        <f>+G103</f>
        <v>6.4316724273354359E-2</v>
      </c>
      <c r="H105" s="14"/>
      <c r="I105" s="23">
        <f>D105*G105</f>
        <v>-428387.33052786131</v>
      </c>
      <c r="J105" s="14"/>
      <c r="K105" s="49"/>
    </row>
    <row r="106" spans="1:12">
      <c r="A106" s="5">
        <v>24</v>
      </c>
      <c r="B106" s="8" t="s">
        <v>273</v>
      </c>
      <c r="C106" s="14"/>
      <c r="D106" s="14">
        <f>SUM(D101:D105)</f>
        <v>-333725179</v>
      </c>
      <c r="E106" s="14"/>
      <c r="F106" s="14"/>
      <c r="G106" s="14"/>
      <c r="H106" s="14"/>
      <c r="I106" s="14">
        <f>SUM(I101:I105)</f>
        <v>-19598201.882376928</v>
      </c>
      <c r="J106" s="14"/>
      <c r="K106" s="18"/>
    </row>
    <row r="107" spans="1:12">
      <c r="A107" s="5"/>
      <c r="C107" s="14"/>
      <c r="E107" s="14"/>
      <c r="F107" s="14"/>
      <c r="G107" s="48"/>
      <c r="H107" s="14"/>
      <c r="J107" s="14"/>
      <c r="K107" s="49"/>
    </row>
    <row r="108" spans="1:12">
      <c r="A108" s="5">
        <v>25</v>
      </c>
      <c r="B108" s="2" t="s">
        <v>60</v>
      </c>
      <c r="C108" s="18" t="s">
        <v>61</v>
      </c>
      <c r="D108" s="22">
        <v>0</v>
      </c>
      <c r="E108" s="14"/>
      <c r="F108" s="14" t="str">
        <f>+F86</f>
        <v>TP</v>
      </c>
      <c r="G108" s="46">
        <f>+G86</f>
        <v>1</v>
      </c>
      <c r="H108" s="14"/>
      <c r="I108" s="14">
        <f>+G108*D108</f>
        <v>0</v>
      </c>
      <c r="J108" s="14"/>
      <c r="K108" s="18"/>
      <c r="L108" s="174" t="s">
        <v>338</v>
      </c>
    </row>
    <row r="109" spans="1:12">
      <c r="A109" s="5"/>
      <c r="B109" s="8"/>
      <c r="C109" s="14"/>
      <c r="D109" s="14"/>
      <c r="E109" s="14"/>
      <c r="F109" s="14"/>
      <c r="G109" s="14"/>
      <c r="H109" s="14"/>
      <c r="I109" s="14"/>
      <c r="J109" s="14"/>
      <c r="K109" s="18"/>
    </row>
    <row r="110" spans="1:12">
      <c r="A110" s="5"/>
      <c r="B110" s="8" t="s">
        <v>186</v>
      </c>
      <c r="C110" s="14" t="s">
        <v>2</v>
      </c>
      <c r="D110" s="14"/>
      <c r="E110" s="14"/>
      <c r="F110" s="14"/>
      <c r="G110" s="14"/>
      <c r="H110" s="14"/>
      <c r="I110" s="14"/>
      <c r="J110" s="14"/>
      <c r="K110" s="18"/>
    </row>
    <row r="111" spans="1:12">
      <c r="A111" s="5">
        <v>26</v>
      </c>
      <c r="B111" s="8" t="s">
        <v>187</v>
      </c>
      <c r="C111" s="1" t="s">
        <v>183</v>
      </c>
      <c r="D111" s="14">
        <f>+D152/8</f>
        <v>18026073.125</v>
      </c>
      <c r="E111" s="14"/>
      <c r="F111" s="14"/>
      <c r="G111" s="48"/>
      <c r="H111" s="14"/>
      <c r="I111" s="14">
        <f>+I152/8</f>
        <v>1820551.4856473769</v>
      </c>
      <c r="J111" s="9"/>
      <c r="K111" s="49"/>
    </row>
    <row r="112" spans="1:12">
      <c r="A112" s="5">
        <v>27</v>
      </c>
      <c r="B112" s="8" t="s">
        <v>62</v>
      </c>
      <c r="C112" s="14" t="s">
        <v>235</v>
      </c>
      <c r="D112" s="22">
        <f>3743492+3836125</f>
        <v>7579617</v>
      </c>
      <c r="E112" s="14"/>
      <c r="F112" s="14" t="s">
        <v>63</v>
      </c>
      <c r="G112" s="46">
        <f>I221</f>
        <v>0.78590877621937583</v>
      </c>
      <c r="H112" s="14"/>
      <c r="I112" s="14">
        <f>+G112*D112</f>
        <v>5956887.5206815768</v>
      </c>
      <c r="J112" s="14" t="s">
        <v>2</v>
      </c>
      <c r="K112" s="49"/>
    </row>
    <row r="113" spans="1:11" ht="16.5" thickBot="1">
      <c r="A113" s="5">
        <v>28</v>
      </c>
      <c r="B113" s="8" t="s">
        <v>153</v>
      </c>
      <c r="C113" s="14" t="s">
        <v>218</v>
      </c>
      <c r="D113" s="47">
        <v>11419226</v>
      </c>
      <c r="E113" s="14"/>
      <c r="F113" s="14" t="s">
        <v>64</v>
      </c>
      <c r="G113" s="46">
        <f>+G82</f>
        <v>6.068978958067809E-2</v>
      </c>
      <c r="H113" s="14"/>
      <c r="I113" s="23">
        <f>+G113*D113</f>
        <v>693030.42311420839</v>
      </c>
      <c r="J113" s="14"/>
      <c r="K113" s="49"/>
    </row>
    <row r="114" spans="1:11">
      <c r="A114" s="5">
        <v>29</v>
      </c>
      <c r="B114" s="8" t="s">
        <v>274</v>
      </c>
      <c r="C114" s="9"/>
      <c r="D114" s="14">
        <f>D111+D112+D113</f>
        <v>37024916.125</v>
      </c>
      <c r="E114" s="9"/>
      <c r="F114" s="9"/>
      <c r="G114" s="9"/>
      <c r="H114" s="9"/>
      <c r="I114" s="14">
        <f>I111+I112+I113</f>
        <v>8470469.4294431619</v>
      </c>
      <c r="J114" s="9"/>
      <c r="K114" s="12"/>
    </row>
    <row r="115" spans="1:11" ht="16.5" thickBot="1">
      <c r="C115" s="14"/>
      <c r="D115" s="52"/>
      <c r="E115" s="14"/>
      <c r="F115" s="14"/>
      <c r="G115" s="14"/>
      <c r="H115" s="14"/>
      <c r="I115" s="52"/>
      <c r="J115" s="14"/>
      <c r="K115" s="18"/>
    </row>
    <row r="116" spans="1:11" ht="16.5" thickBot="1">
      <c r="A116" s="5">
        <v>30</v>
      </c>
      <c r="B116" s="8" t="s">
        <v>152</v>
      </c>
      <c r="C116" s="14"/>
      <c r="D116" s="53">
        <f>+D114+D108+D106+D98</f>
        <v>1426109022.125</v>
      </c>
      <c r="E116" s="14"/>
      <c r="F116" s="14"/>
      <c r="G116" s="48"/>
      <c r="H116" s="14"/>
      <c r="I116" s="53">
        <f>+I114+I108+I106+I98</f>
        <v>99677717.305985987</v>
      </c>
      <c r="J116" s="14"/>
      <c r="K116" s="49"/>
    </row>
    <row r="117" spans="1:11" ht="16.5" thickTop="1">
      <c r="A117" s="5"/>
      <c r="B117" s="8"/>
      <c r="C117" s="14"/>
      <c r="D117" s="54"/>
      <c r="E117" s="14"/>
      <c r="F117" s="14"/>
      <c r="G117" s="48"/>
      <c r="H117" s="14"/>
      <c r="I117" s="54"/>
      <c r="J117" s="14"/>
      <c r="K117" s="49"/>
    </row>
    <row r="118" spans="1:11">
      <c r="A118" s="5"/>
      <c r="B118" s="8"/>
      <c r="C118" s="14"/>
      <c r="D118" s="54"/>
      <c r="E118" s="14"/>
      <c r="F118" s="14"/>
      <c r="G118" s="48"/>
      <c r="H118" s="14"/>
      <c r="I118" s="54"/>
      <c r="J118" s="14"/>
      <c r="K118" s="49"/>
    </row>
    <row r="119" spans="1:11">
      <c r="A119" s="5"/>
      <c r="B119" s="8"/>
      <c r="C119" s="14"/>
      <c r="D119" s="54"/>
      <c r="E119" s="14"/>
      <c r="F119" s="14"/>
      <c r="G119" s="48"/>
      <c r="H119" s="14"/>
      <c r="I119" s="54"/>
      <c r="J119" s="14"/>
      <c r="K119" s="49"/>
    </row>
    <row r="120" spans="1:11">
      <c r="A120" s="5"/>
      <c r="B120" s="8"/>
      <c r="C120" s="14"/>
      <c r="D120" s="54"/>
      <c r="E120" s="14"/>
      <c r="F120" s="14"/>
      <c r="G120" s="48"/>
      <c r="H120" s="14"/>
      <c r="I120" s="54"/>
      <c r="J120" s="14"/>
      <c r="K120" s="49"/>
    </row>
    <row r="121" spans="1:11">
      <c r="A121" s="5"/>
      <c r="B121" s="8"/>
      <c r="C121" s="14"/>
      <c r="D121" s="54"/>
      <c r="E121" s="14"/>
      <c r="F121" s="14"/>
      <c r="G121" s="48"/>
      <c r="H121" s="14"/>
      <c r="I121" s="54"/>
      <c r="J121" s="14"/>
      <c r="K121" s="49"/>
    </row>
    <row r="122" spans="1:11">
      <c r="A122" s="5"/>
      <c r="B122" s="8"/>
      <c r="C122" s="14"/>
      <c r="D122" s="54"/>
      <c r="E122" s="14"/>
      <c r="F122" s="14"/>
      <c r="G122" s="48"/>
      <c r="H122" s="14"/>
      <c r="I122" s="54"/>
      <c r="J122" s="14"/>
      <c r="K122" s="49"/>
    </row>
    <row r="123" spans="1:11">
      <c r="A123" s="5"/>
      <c r="B123" s="8"/>
      <c r="C123" s="14"/>
      <c r="D123" s="54"/>
      <c r="E123" s="14"/>
      <c r="F123" s="14"/>
      <c r="G123" s="48"/>
      <c r="H123" s="14"/>
      <c r="I123" s="54"/>
      <c r="J123" s="14"/>
      <c r="K123" s="49"/>
    </row>
    <row r="124" spans="1:11">
      <c r="A124" s="5"/>
      <c r="B124" s="8"/>
      <c r="C124" s="14"/>
      <c r="D124" s="54"/>
      <c r="E124" s="14"/>
      <c r="F124" s="14"/>
      <c r="G124" s="48"/>
      <c r="H124" s="14"/>
      <c r="I124" s="54"/>
      <c r="J124" s="14"/>
      <c r="K124" s="49"/>
    </row>
    <row r="125" spans="1:11">
      <c r="A125" s="5"/>
      <c r="B125" s="8"/>
      <c r="C125" s="14"/>
      <c r="D125" s="54"/>
      <c r="E125" s="14"/>
      <c r="F125" s="14"/>
      <c r="G125" s="48"/>
      <c r="H125" s="14"/>
      <c r="I125" s="54"/>
      <c r="J125" s="14"/>
      <c r="K125" s="49"/>
    </row>
    <row r="126" spans="1:11">
      <c r="A126" s="5"/>
      <c r="B126" s="8"/>
      <c r="C126" s="14"/>
      <c r="D126" s="54"/>
      <c r="E126" s="14"/>
      <c r="F126" s="14"/>
      <c r="G126" s="48"/>
      <c r="H126" s="14"/>
      <c r="I126" s="54"/>
      <c r="J126" s="14"/>
      <c r="K126" s="49"/>
    </row>
    <row r="127" spans="1:11">
      <c r="A127" s="5"/>
      <c r="B127" s="8"/>
      <c r="C127" s="14"/>
      <c r="D127" s="54"/>
      <c r="E127" s="14"/>
      <c r="F127" s="14"/>
      <c r="G127" s="48"/>
      <c r="H127" s="14"/>
      <c r="I127" s="54"/>
      <c r="J127" s="14"/>
      <c r="K127" s="49"/>
    </row>
    <row r="128" spans="1:11">
      <c r="A128" s="5"/>
      <c r="B128" s="8"/>
      <c r="C128" s="14"/>
      <c r="D128" s="54"/>
      <c r="E128" s="14"/>
      <c r="F128" s="14"/>
      <c r="G128" s="48"/>
      <c r="H128" s="14"/>
      <c r="I128" s="54"/>
      <c r="J128" s="14"/>
      <c r="K128" s="49"/>
    </row>
    <row r="129" spans="1:12">
      <c r="A129" s="5"/>
      <c r="B129" s="8"/>
      <c r="C129" s="14"/>
      <c r="D129" s="54"/>
      <c r="E129" s="14"/>
      <c r="F129" s="14"/>
      <c r="G129" s="48"/>
      <c r="H129" s="14"/>
      <c r="I129" s="54"/>
      <c r="J129" s="14"/>
      <c r="K129" s="49"/>
    </row>
    <row r="130" spans="1:12">
      <c r="A130" s="5"/>
      <c r="B130" s="8"/>
      <c r="C130" s="14"/>
      <c r="D130" s="54"/>
      <c r="E130" s="14"/>
      <c r="F130" s="14"/>
      <c r="G130" s="48"/>
      <c r="H130" s="14"/>
      <c r="I130" s="54"/>
      <c r="J130" s="14"/>
      <c r="K130" s="49"/>
    </row>
    <row r="131" spans="1:12">
      <c r="A131" s="5"/>
      <c r="B131" s="8"/>
      <c r="C131" s="14"/>
      <c r="D131" s="54"/>
      <c r="E131" s="14"/>
      <c r="F131" s="14"/>
      <c r="G131" s="48"/>
      <c r="H131" s="14"/>
      <c r="I131" s="54"/>
      <c r="J131" s="14"/>
      <c r="K131" s="49"/>
    </row>
    <row r="132" spans="1:12">
      <c r="A132" s="5"/>
      <c r="B132" s="8"/>
      <c r="C132" s="14"/>
      <c r="D132" s="54"/>
      <c r="E132" s="14"/>
      <c r="F132" s="14"/>
      <c r="G132" s="48"/>
      <c r="H132" s="14"/>
      <c r="I132" s="54"/>
      <c r="J132" s="14"/>
      <c r="K132" s="49"/>
    </row>
    <row r="133" spans="1:12">
      <c r="B133" s="2"/>
      <c r="C133" s="2"/>
      <c r="D133" s="3"/>
      <c r="E133" s="2"/>
      <c r="F133" s="2"/>
      <c r="G133" s="2"/>
      <c r="H133" s="4"/>
      <c r="I133" s="4"/>
      <c r="J133" s="196" t="s">
        <v>203</v>
      </c>
      <c r="K133" s="196"/>
    </row>
    <row r="134" spans="1:12">
      <c r="B134" s="2"/>
      <c r="C134" s="2"/>
      <c r="D134" s="3"/>
      <c r="E134" s="2"/>
      <c r="F134" s="2"/>
      <c r="G134" s="2"/>
      <c r="H134" s="4"/>
      <c r="I134" s="4"/>
      <c r="J134" s="9"/>
      <c r="K134" s="37"/>
    </row>
    <row r="135" spans="1:12">
      <c r="B135" s="2" t="s">
        <v>0</v>
      </c>
      <c r="C135" s="2"/>
      <c r="D135" s="3" t="s">
        <v>1</v>
      </c>
      <c r="E135" s="2"/>
      <c r="F135" s="2"/>
      <c r="G135" s="2"/>
      <c r="H135" s="4"/>
      <c r="I135" s="4"/>
      <c r="J135" s="9"/>
      <c r="K135" s="37" t="str">
        <f>K4</f>
        <v>For the 12 months ended 12/31/2013</v>
      </c>
    </row>
    <row r="136" spans="1:12">
      <c r="B136" s="2"/>
      <c r="C136" s="14" t="s">
        <v>2</v>
      </c>
      <c r="D136" s="14" t="s">
        <v>3</v>
      </c>
      <c r="E136" s="14"/>
      <c r="F136" s="14"/>
      <c r="G136" s="14"/>
      <c r="H136" s="4"/>
      <c r="I136" s="4"/>
      <c r="J136" s="9"/>
      <c r="K136" s="12"/>
    </row>
    <row r="137" spans="1:12">
      <c r="B137" s="2"/>
      <c r="C137" s="14"/>
      <c r="D137" s="14"/>
      <c r="E137" s="14"/>
      <c r="F137" s="14"/>
      <c r="G137" s="14"/>
      <c r="H137" s="4"/>
      <c r="I137" s="4"/>
      <c r="J137" s="9"/>
      <c r="K137" s="12"/>
    </row>
    <row r="138" spans="1:12">
      <c r="A138" s="5"/>
      <c r="C138" s="1" t="str">
        <f>C7</f>
        <v>INDIANAPOLIS POWER &amp; LIGHT COMPANY</v>
      </c>
      <c r="J138" s="14"/>
      <c r="K138" s="18"/>
    </row>
    <row r="139" spans="1:12">
      <c r="A139" s="5"/>
      <c r="B139" s="38" t="s">
        <v>32</v>
      </c>
      <c r="C139" s="38" t="s">
        <v>33</v>
      </c>
      <c r="D139" s="38" t="s">
        <v>34</v>
      </c>
      <c r="E139" s="14" t="s">
        <v>2</v>
      </c>
      <c r="F139" s="14"/>
      <c r="G139" s="39" t="s">
        <v>35</v>
      </c>
      <c r="H139" s="14"/>
      <c r="I139" s="40" t="s">
        <v>36</v>
      </c>
      <c r="J139" s="14"/>
      <c r="K139" s="18"/>
    </row>
    <row r="140" spans="1:12">
      <c r="A140" s="5" t="s">
        <v>4</v>
      </c>
      <c r="B140" s="8"/>
      <c r="C140" s="41" t="s">
        <v>37</v>
      </c>
      <c r="D140" s="14"/>
      <c r="E140" s="14"/>
      <c r="F140" s="14"/>
      <c r="G140" s="5"/>
      <c r="H140" s="14"/>
      <c r="I140" s="42" t="s">
        <v>38</v>
      </c>
      <c r="J140" s="14"/>
      <c r="K140" s="56"/>
    </row>
    <row r="141" spans="1:12" ht="16.5" thickBot="1">
      <c r="A141" s="16" t="s">
        <v>6</v>
      </c>
      <c r="B141" s="8"/>
      <c r="C141" s="43" t="s">
        <v>39</v>
      </c>
      <c r="D141" s="42" t="s">
        <v>40</v>
      </c>
      <c r="E141" s="44"/>
      <c r="F141" s="42" t="s">
        <v>41</v>
      </c>
      <c r="H141" s="44"/>
      <c r="I141" s="5" t="s">
        <v>42</v>
      </c>
      <c r="J141" s="14"/>
      <c r="K141" s="56"/>
    </row>
    <row r="142" spans="1:12">
      <c r="A142" s="5"/>
      <c r="B142" s="8" t="s">
        <v>320</v>
      </c>
      <c r="C142" s="14"/>
      <c r="D142" s="14"/>
      <c r="E142" s="14"/>
      <c r="F142" s="14"/>
      <c r="G142" s="14"/>
      <c r="H142" s="14"/>
      <c r="I142" s="14"/>
      <c r="J142" s="14"/>
      <c r="K142" s="18"/>
    </row>
    <row r="143" spans="1:12">
      <c r="A143" s="5">
        <v>1</v>
      </c>
      <c r="B143" s="8" t="s">
        <v>65</v>
      </c>
      <c r="C143" s="14" t="s">
        <v>228</v>
      </c>
      <c r="D143" s="22">
        <v>11831279</v>
      </c>
      <c r="E143" s="14"/>
      <c r="F143" s="14" t="s">
        <v>63</v>
      </c>
      <c r="G143" s="46">
        <f>I221</f>
        <v>0.78590877621937583</v>
      </c>
      <c r="H143" s="14"/>
      <c r="I143" s="14">
        <f>+G143*D143</f>
        <v>9298306</v>
      </c>
      <c r="J143" s="9"/>
      <c r="K143" s="18"/>
    </row>
    <row r="144" spans="1:12">
      <c r="A144" s="115" t="s">
        <v>221</v>
      </c>
      <c r="B144" s="57" t="s">
        <v>255</v>
      </c>
      <c r="C144" s="18"/>
      <c r="D144" s="22">
        <v>0</v>
      </c>
      <c r="E144" s="14"/>
      <c r="F144" s="117"/>
      <c r="G144" s="46">
        <v>1</v>
      </c>
      <c r="H144" s="14"/>
      <c r="I144" s="14">
        <f>+G144*D144</f>
        <v>0</v>
      </c>
      <c r="J144" s="9"/>
      <c r="K144" s="18"/>
      <c r="L144" s="1" t="s">
        <v>380</v>
      </c>
    </row>
    <row r="145" spans="1:15">
      <c r="A145" s="5">
        <v>2</v>
      </c>
      <c r="B145" s="8" t="s">
        <v>66</v>
      </c>
      <c r="C145" s="14" t="s">
        <v>229</v>
      </c>
      <c r="D145" s="22">
        <v>3260827</v>
      </c>
      <c r="E145" s="14"/>
      <c r="F145" s="14" t="s">
        <v>63</v>
      </c>
      <c r="G145" s="46">
        <f>+G143</f>
        <v>0.78590877621937583</v>
      </c>
      <c r="H145" s="14"/>
      <c r="I145" s="14">
        <f t="shared" ref="I145:I151" si="2">+G145*D145</f>
        <v>2562712.5570330988</v>
      </c>
      <c r="J145" s="9"/>
      <c r="K145" s="18"/>
    </row>
    <row r="146" spans="1:15">
      <c r="A146" s="5">
        <v>3</v>
      </c>
      <c r="B146" s="8" t="s">
        <v>67</v>
      </c>
      <c r="C146" s="14" t="s">
        <v>230</v>
      </c>
      <c r="D146" s="22">
        <v>139732231</v>
      </c>
      <c r="E146" s="14"/>
      <c r="F146" s="14" t="s">
        <v>49</v>
      </c>
      <c r="G146" s="46">
        <f>+G88</f>
        <v>5.2442247557313269E-2</v>
      </c>
      <c r="H146" s="14"/>
      <c r="I146" s="14">
        <f t="shared" si="2"/>
        <v>7327872.2498376835</v>
      </c>
      <c r="J146" s="14"/>
      <c r="K146" s="18" t="s">
        <v>2</v>
      </c>
    </row>
    <row r="147" spans="1:15">
      <c r="A147" s="5">
        <v>4</v>
      </c>
      <c r="B147" s="8" t="s">
        <v>68</v>
      </c>
      <c r="C147" s="14"/>
      <c r="D147" s="22">
        <v>973576</v>
      </c>
      <c r="E147" s="14"/>
      <c r="F147" s="14" t="str">
        <f>+F146</f>
        <v>W/S</v>
      </c>
      <c r="G147" s="46">
        <f>+G146</f>
        <v>5.2442247557313269E-2</v>
      </c>
      <c r="H147" s="14"/>
      <c r="I147" s="14">
        <f t="shared" si="2"/>
        <v>51056.513607858826</v>
      </c>
      <c r="J147" s="14"/>
      <c r="K147" s="18"/>
      <c r="L147" s="174" t="s">
        <v>363</v>
      </c>
    </row>
    <row r="148" spans="1:15">
      <c r="A148" s="5">
        <v>5</v>
      </c>
      <c r="B148" s="57" t="s">
        <v>381</v>
      </c>
      <c r="C148" s="18"/>
      <c r="D148" s="22">
        <f>1680203+1440319+975709</f>
        <v>4096231</v>
      </c>
      <c r="E148" s="14"/>
      <c r="F148" s="14" t="str">
        <f>+F147</f>
        <v>W/S</v>
      </c>
      <c r="G148" s="46">
        <f>+G147</f>
        <v>5.2442247557313269E-2</v>
      </c>
      <c r="H148" s="14"/>
      <c r="I148" s="14">
        <f t="shared" si="2"/>
        <v>214815.5601539409</v>
      </c>
      <c r="J148" s="14"/>
      <c r="K148" s="18"/>
      <c r="L148" s="1" t="s">
        <v>366</v>
      </c>
    </row>
    <row r="149" spans="1:15">
      <c r="A149" s="5" t="s">
        <v>194</v>
      </c>
      <c r="B149" s="57" t="s">
        <v>256</v>
      </c>
      <c r="C149" s="18"/>
      <c r="D149" s="22">
        <v>975709</v>
      </c>
      <c r="E149" s="14"/>
      <c r="F149" s="58" t="str">
        <f>+F143</f>
        <v>TE</v>
      </c>
      <c r="G149" s="59">
        <f>+G143</f>
        <v>0.78590877621937583</v>
      </c>
      <c r="H149" s="14"/>
      <c r="I149" s="14">
        <f>+G149*D149</f>
        <v>766818.26613623102</v>
      </c>
      <c r="J149" s="14"/>
      <c r="K149" s="18"/>
    </row>
    <row r="150" spans="1:15">
      <c r="A150" s="5">
        <v>6</v>
      </c>
      <c r="B150" s="8" t="s">
        <v>50</v>
      </c>
      <c r="C150" s="14" t="str">
        <f>+C89</f>
        <v>356.1</v>
      </c>
      <c r="D150" s="22">
        <v>0</v>
      </c>
      <c r="E150" s="14"/>
      <c r="F150" s="14" t="s">
        <v>100</v>
      </c>
      <c r="G150" s="46">
        <f>+G89</f>
        <v>5.2442247557313269E-2</v>
      </c>
      <c r="H150" s="14"/>
      <c r="I150" s="14">
        <f t="shared" si="2"/>
        <v>0</v>
      </c>
      <c r="J150" s="14"/>
      <c r="K150" s="18"/>
    </row>
    <row r="151" spans="1:15" ht="16.5" thickBot="1">
      <c r="A151" s="5">
        <v>7</v>
      </c>
      <c r="B151" s="8" t="s">
        <v>69</v>
      </c>
      <c r="C151" s="14"/>
      <c r="D151" s="47">
        <v>0</v>
      </c>
      <c r="E151" s="14"/>
      <c r="F151" s="14" t="s">
        <v>2</v>
      </c>
      <c r="G151" s="46">
        <v>1</v>
      </c>
      <c r="H151" s="14"/>
      <c r="I151" s="23">
        <f t="shared" si="2"/>
        <v>0</v>
      </c>
      <c r="J151" s="14"/>
      <c r="K151" s="18"/>
    </row>
    <row r="152" spans="1:15">
      <c r="A152" s="115">
        <v>8</v>
      </c>
      <c r="B152" s="57" t="s">
        <v>304</v>
      </c>
      <c r="C152" s="18"/>
      <c r="D152" s="18">
        <f>+D143-D145+D146-D147-D148-D144+D150+D151+D149</f>
        <v>144208585</v>
      </c>
      <c r="E152" s="18"/>
      <c r="F152" s="18"/>
      <c r="G152" s="18"/>
      <c r="H152" s="18"/>
      <c r="I152" s="18">
        <f>+I143-I145+I146-I147-I148-I144+I150+I151+I149</f>
        <v>14564411.885179015</v>
      </c>
      <c r="J152" s="18"/>
      <c r="K152" s="18"/>
      <c r="L152" s="10"/>
      <c r="M152" s="10"/>
      <c r="N152" s="10"/>
      <c r="O152" s="10"/>
    </row>
    <row r="153" spans="1:15">
      <c r="A153" s="5"/>
      <c r="C153" s="14"/>
      <c r="E153" s="14"/>
      <c r="F153" s="14"/>
      <c r="G153" s="14"/>
      <c r="H153" s="14"/>
      <c r="J153" s="14"/>
      <c r="K153" s="18"/>
    </row>
    <row r="154" spans="1:15">
      <c r="A154" s="5"/>
      <c r="B154" s="8" t="s">
        <v>321</v>
      </c>
      <c r="C154" s="14"/>
      <c r="D154" s="14"/>
      <c r="E154" s="14"/>
      <c r="F154" s="14"/>
      <c r="G154" s="14"/>
      <c r="H154" s="14"/>
      <c r="I154" s="14"/>
      <c r="J154" s="14"/>
      <c r="K154" s="18"/>
    </row>
    <row r="155" spans="1:15">
      <c r="A155" s="5">
        <v>9</v>
      </c>
      <c r="B155" s="8" t="str">
        <f>+B143</f>
        <v xml:space="preserve">  Transmission </v>
      </c>
      <c r="C155" s="14" t="s">
        <v>70</v>
      </c>
      <c r="D155" s="22">
        <v>6130381</v>
      </c>
      <c r="E155" s="14"/>
      <c r="F155" s="14" t="s">
        <v>11</v>
      </c>
      <c r="G155" s="46">
        <f>+G108</f>
        <v>1</v>
      </c>
      <c r="H155" s="14"/>
      <c r="I155" s="14">
        <f>+G155*D155</f>
        <v>6130381</v>
      </c>
      <c r="J155" s="14"/>
      <c r="K155" s="49"/>
    </row>
    <row r="156" spans="1:15">
      <c r="A156" s="5">
        <v>10</v>
      </c>
      <c r="B156" s="8" t="s">
        <v>48</v>
      </c>
      <c r="C156" s="14" t="s">
        <v>322</v>
      </c>
      <c r="D156" s="22">
        <f>9166939+5390993</f>
        <v>14557932</v>
      </c>
      <c r="E156" s="14"/>
      <c r="F156" s="14" t="s">
        <v>49</v>
      </c>
      <c r="G156" s="46">
        <f>+G146</f>
        <v>5.2442247557313269E-2</v>
      </c>
      <c r="H156" s="14"/>
      <c r="I156" s="14">
        <f>+G156*D156</f>
        <v>763450.67386653263</v>
      </c>
      <c r="J156" s="14"/>
      <c r="K156" s="49"/>
    </row>
    <row r="157" spans="1:15" ht="16.5" thickBot="1">
      <c r="A157" s="5">
        <v>11</v>
      </c>
      <c r="B157" s="8" t="str">
        <f>+B150</f>
        <v xml:space="preserve">  Common</v>
      </c>
      <c r="C157" s="14" t="s">
        <v>231</v>
      </c>
      <c r="D157" s="47">
        <v>0</v>
      </c>
      <c r="E157" s="14"/>
      <c r="F157" s="14" t="s">
        <v>100</v>
      </c>
      <c r="G157" s="46">
        <f>+G150</f>
        <v>5.2442247557313269E-2</v>
      </c>
      <c r="H157" s="14"/>
      <c r="I157" s="23">
        <f>+G157*D157</f>
        <v>0</v>
      </c>
      <c r="J157" s="14"/>
      <c r="K157" s="49"/>
    </row>
    <row r="158" spans="1:15">
      <c r="A158" s="5">
        <v>12</v>
      </c>
      <c r="B158" s="8" t="s">
        <v>278</v>
      </c>
      <c r="C158" s="14"/>
      <c r="D158" s="14">
        <f>SUM(D155:D157)</f>
        <v>20688313</v>
      </c>
      <c r="E158" s="14"/>
      <c r="F158" s="14"/>
      <c r="G158" s="14"/>
      <c r="H158" s="14"/>
      <c r="I158" s="14">
        <f>SUM(I155:I157)</f>
        <v>6893831.6738665327</v>
      </c>
      <c r="J158" s="14"/>
      <c r="K158" s="18"/>
    </row>
    <row r="159" spans="1:15">
      <c r="A159" s="5"/>
      <c r="B159" s="8"/>
      <c r="C159" s="14"/>
      <c r="D159" s="14"/>
      <c r="E159" s="14"/>
      <c r="F159" s="14"/>
      <c r="G159" s="14"/>
      <c r="H159" s="14"/>
      <c r="I159" s="14"/>
      <c r="J159" s="14"/>
      <c r="K159" s="18"/>
    </row>
    <row r="160" spans="1:15">
      <c r="A160" s="5" t="s">
        <v>2</v>
      </c>
      <c r="B160" s="8" t="s">
        <v>257</v>
      </c>
      <c r="D160" s="14"/>
      <c r="E160" s="14"/>
      <c r="F160" s="14"/>
      <c r="G160" s="14"/>
      <c r="H160" s="14"/>
      <c r="I160" s="14"/>
      <c r="J160" s="14"/>
      <c r="K160" s="18"/>
    </row>
    <row r="161" spans="1:11">
      <c r="A161" s="5"/>
      <c r="B161" s="8" t="s">
        <v>71</v>
      </c>
      <c r="E161" s="14"/>
      <c r="F161" s="14"/>
      <c r="H161" s="14"/>
      <c r="J161" s="14"/>
      <c r="K161" s="49"/>
    </row>
    <row r="162" spans="1:11">
      <c r="A162" s="5">
        <v>13</v>
      </c>
      <c r="B162" s="8" t="s">
        <v>72</v>
      </c>
      <c r="C162" s="14" t="s">
        <v>368</v>
      </c>
      <c r="D162" s="22">
        <f>79951+199826+9162781</f>
        <v>9442558</v>
      </c>
      <c r="E162" s="14"/>
      <c r="F162" s="14" t="s">
        <v>49</v>
      </c>
      <c r="G162" s="20">
        <f>+G156</f>
        <v>5.2442247557313269E-2</v>
      </c>
      <c r="H162" s="14"/>
      <c r="I162" s="14">
        <f>+G162*D162</f>
        <v>495188.96421028889</v>
      </c>
      <c r="J162" s="14"/>
      <c r="K162" s="49"/>
    </row>
    <row r="163" spans="1:11">
      <c r="A163" s="5">
        <v>14</v>
      </c>
      <c r="B163" s="8" t="s">
        <v>73</v>
      </c>
      <c r="C163" s="14" t="s">
        <v>369</v>
      </c>
      <c r="D163" s="22">
        <v>0</v>
      </c>
      <c r="E163" s="14"/>
      <c r="F163" s="14" t="str">
        <f>+F162</f>
        <v>W/S</v>
      </c>
      <c r="G163" s="20">
        <f>+G162</f>
        <v>5.2442247557313269E-2</v>
      </c>
      <c r="H163" s="14"/>
      <c r="I163" s="14">
        <f>+G163*D163</f>
        <v>0</v>
      </c>
      <c r="J163" s="14"/>
      <c r="K163" s="49"/>
    </row>
    <row r="164" spans="1:11">
      <c r="A164" s="5">
        <v>15</v>
      </c>
      <c r="B164" s="8" t="s">
        <v>74</v>
      </c>
      <c r="C164" s="14" t="s">
        <v>2</v>
      </c>
      <c r="E164" s="14"/>
      <c r="F164" s="14"/>
      <c r="H164" s="14"/>
      <c r="J164" s="14"/>
      <c r="K164" s="49"/>
    </row>
    <row r="165" spans="1:11">
      <c r="A165" s="5">
        <v>16</v>
      </c>
      <c r="B165" s="8" t="s">
        <v>75</v>
      </c>
      <c r="C165" s="14" t="s">
        <v>370</v>
      </c>
      <c r="D165" s="22">
        <v>19610035</v>
      </c>
      <c r="E165" s="14"/>
      <c r="F165" s="14" t="s">
        <v>64</v>
      </c>
      <c r="G165" s="20">
        <f>+G82</f>
        <v>6.068978958067809E-2</v>
      </c>
      <c r="H165" s="14"/>
      <c r="I165" s="14">
        <f>+G165*D165</f>
        <v>1190128.8978197328</v>
      </c>
      <c r="J165" s="14"/>
      <c r="K165" s="49"/>
    </row>
    <row r="166" spans="1:11">
      <c r="A166" s="5">
        <v>17</v>
      </c>
      <c r="B166" s="8" t="s">
        <v>76</v>
      </c>
      <c r="C166" s="14" t="s">
        <v>371</v>
      </c>
      <c r="D166" s="22">
        <v>16372289</v>
      </c>
      <c r="E166" s="14"/>
      <c r="F166" s="18" t="str">
        <f>+F101</f>
        <v>NA</v>
      </c>
      <c r="G166" s="60" t="s">
        <v>195</v>
      </c>
      <c r="H166" s="14"/>
      <c r="I166" s="14">
        <v>0</v>
      </c>
      <c r="J166" s="14"/>
      <c r="K166" s="49"/>
    </row>
    <row r="167" spans="1:11">
      <c r="A167" s="5">
        <v>18</v>
      </c>
      <c r="B167" s="8" t="s">
        <v>77</v>
      </c>
      <c r="C167" s="14" t="s">
        <v>372</v>
      </c>
      <c r="D167" s="22">
        <v>191</v>
      </c>
      <c r="E167" s="14"/>
      <c r="F167" s="14" t="str">
        <f>+F165</f>
        <v>GP</v>
      </c>
      <c r="G167" s="20">
        <f>+G165</f>
        <v>6.068978958067809E-2</v>
      </c>
      <c r="H167" s="14"/>
      <c r="I167" s="14">
        <f>+G167*D167</f>
        <v>11.591749809909516</v>
      </c>
      <c r="J167" s="14"/>
      <c r="K167" s="49"/>
    </row>
    <row r="168" spans="1:11" ht="16.5" thickBot="1">
      <c r="A168" s="5">
        <v>19</v>
      </c>
      <c r="B168" s="8" t="s">
        <v>78</v>
      </c>
      <c r="C168" s="14"/>
      <c r="D168" s="47">
        <v>0</v>
      </c>
      <c r="E168" s="14"/>
      <c r="F168" s="14" t="s">
        <v>64</v>
      </c>
      <c r="G168" s="20">
        <f>+G165</f>
        <v>6.068978958067809E-2</v>
      </c>
      <c r="H168" s="14"/>
      <c r="I168" s="23">
        <f>+G168*D168</f>
        <v>0</v>
      </c>
      <c r="J168" s="14"/>
      <c r="K168" s="49"/>
    </row>
    <row r="169" spans="1:11">
      <c r="A169" s="5">
        <v>20</v>
      </c>
      <c r="B169" s="8" t="s">
        <v>79</v>
      </c>
      <c r="C169" s="14"/>
      <c r="D169" s="14">
        <f>SUM(D162:D168)</f>
        <v>45425073</v>
      </c>
      <c r="E169" s="14"/>
      <c r="F169" s="14"/>
      <c r="G169" s="20"/>
      <c r="H169" s="14"/>
      <c r="I169" s="14">
        <f>SUM(I162:I168)</f>
        <v>1685329.4537798315</v>
      </c>
      <c r="J169" s="14"/>
      <c r="K169" s="18"/>
    </row>
    <row r="170" spans="1:11">
      <c r="A170" s="5"/>
      <c r="B170" s="8"/>
      <c r="C170" s="14"/>
      <c r="D170" s="14"/>
      <c r="E170" s="14"/>
      <c r="F170" s="14"/>
      <c r="G170" s="20"/>
      <c r="H170" s="14"/>
      <c r="I170" s="14"/>
      <c r="J170" s="14"/>
      <c r="K170" s="18"/>
    </row>
    <row r="171" spans="1:11">
      <c r="A171" s="5" t="s">
        <v>2</v>
      </c>
      <c r="B171" s="8" t="s">
        <v>80</v>
      </c>
      <c r="C171" s="14" t="s">
        <v>258</v>
      </c>
      <c r="D171" s="14"/>
      <c r="E171" s="14"/>
      <c r="G171" s="61"/>
      <c r="H171" s="14"/>
      <c r="J171" s="14"/>
    </row>
    <row r="172" spans="1:11">
      <c r="A172" s="5">
        <v>21</v>
      </c>
      <c r="B172" s="62" t="s">
        <v>175</v>
      </c>
      <c r="C172" s="14"/>
      <c r="D172" s="63">
        <f>IF(D292&gt;0,1-(((1-D293)*(1-D292))/(1-D293*D292*D294)),0)</f>
        <v>0.40037500000000004</v>
      </c>
      <c r="E172" s="14"/>
      <c r="G172" s="61"/>
      <c r="H172" s="14"/>
      <c r="J172" s="14"/>
    </row>
    <row r="173" spans="1:11">
      <c r="A173" s="5">
        <v>22</v>
      </c>
      <c r="B173" s="1" t="s">
        <v>176</v>
      </c>
      <c r="C173" s="14"/>
      <c r="D173" s="63">
        <f>IF(I252&gt;0,(D172/(1-D172))*(1-I249/I252),0)</f>
        <v>0.43321987508753645</v>
      </c>
      <c r="E173" s="14"/>
      <c r="G173" s="61"/>
      <c r="H173" s="14"/>
      <c r="J173" s="14"/>
    </row>
    <row r="174" spans="1:11">
      <c r="A174" s="5"/>
      <c r="B174" s="8" t="s">
        <v>246</v>
      </c>
      <c r="C174" s="14"/>
      <c r="D174" s="14"/>
      <c r="E174" s="14"/>
      <c r="G174" s="61"/>
      <c r="H174" s="14"/>
      <c r="J174" s="14"/>
    </row>
    <row r="175" spans="1:11">
      <c r="A175" s="5"/>
      <c r="B175" s="8" t="s">
        <v>178</v>
      </c>
      <c r="C175" s="14"/>
      <c r="D175" s="14"/>
      <c r="E175" s="14"/>
      <c r="G175" s="61"/>
      <c r="H175" s="14"/>
      <c r="J175" s="14"/>
    </row>
    <row r="176" spans="1:11">
      <c r="A176" s="5">
        <v>23</v>
      </c>
      <c r="B176" s="62" t="s">
        <v>177</v>
      </c>
      <c r="C176" s="14"/>
      <c r="D176" s="64">
        <f>IF(D172&gt;0,1/(1-D172),0)</f>
        <v>1.6677089847821556</v>
      </c>
      <c r="E176" s="14"/>
      <c r="G176" s="61"/>
      <c r="H176" s="14"/>
      <c r="J176" s="14"/>
    </row>
    <row r="177" spans="1:13">
      <c r="A177" s="5">
        <v>24</v>
      </c>
      <c r="B177" s="8" t="s">
        <v>328</v>
      </c>
      <c r="C177" s="14"/>
      <c r="D177" s="22">
        <v>0</v>
      </c>
      <c r="E177" s="14"/>
      <c r="G177" s="61"/>
      <c r="H177" s="14"/>
      <c r="J177" s="14"/>
      <c r="L177" s="175" t="s">
        <v>339</v>
      </c>
      <c r="M177" s="176" t="s">
        <v>340</v>
      </c>
    </row>
    <row r="178" spans="1:13">
      <c r="A178" s="5"/>
      <c r="B178" s="8"/>
      <c r="C178" s="14"/>
      <c r="D178" s="14"/>
      <c r="E178" s="14"/>
      <c r="G178" s="61"/>
      <c r="H178" s="14"/>
      <c r="J178" s="14"/>
    </row>
    <row r="179" spans="1:13">
      <c r="A179" s="5">
        <v>25</v>
      </c>
      <c r="B179" s="62" t="s">
        <v>179</v>
      </c>
      <c r="C179" s="65"/>
      <c r="D179" s="14">
        <f>D173*D183</f>
        <v>53080562.683690593</v>
      </c>
      <c r="E179" s="14"/>
      <c r="F179" s="14" t="s">
        <v>45</v>
      </c>
      <c r="G179" s="20"/>
      <c r="H179" s="14"/>
      <c r="I179" s="14">
        <f>D173*I183</f>
        <v>3710059.4972351436</v>
      </c>
      <c r="J179" s="14"/>
      <c r="K179" s="66" t="s">
        <v>2</v>
      </c>
    </row>
    <row r="180" spans="1:13" ht="16.5" thickBot="1">
      <c r="A180" s="5">
        <v>26</v>
      </c>
      <c r="B180" s="1" t="s">
        <v>181</v>
      </c>
      <c r="C180" s="65"/>
      <c r="D180" s="23">
        <f>D176*D177</f>
        <v>0</v>
      </c>
      <c r="E180" s="14"/>
      <c r="F180" s="1" t="s">
        <v>56</v>
      </c>
      <c r="G180" s="20">
        <f>G98</f>
        <v>6.4316724273354359E-2</v>
      </c>
      <c r="H180" s="14"/>
      <c r="I180" s="23">
        <f>G180*D180</f>
        <v>0</v>
      </c>
      <c r="J180" s="14"/>
      <c r="K180" s="66"/>
    </row>
    <row r="181" spans="1:13">
      <c r="A181" s="5">
        <v>27</v>
      </c>
      <c r="B181" s="67" t="s">
        <v>162</v>
      </c>
      <c r="C181" s="1" t="s">
        <v>182</v>
      </c>
      <c r="D181" s="55">
        <f>+D179+D180</f>
        <v>53080562.683690593</v>
      </c>
      <c r="E181" s="14"/>
      <c r="F181" s="14" t="s">
        <v>2</v>
      </c>
      <c r="G181" s="20" t="s">
        <v>2</v>
      </c>
      <c r="H181" s="14"/>
      <c r="I181" s="55">
        <f>+I179+I180</f>
        <v>3710059.4972351436</v>
      </c>
      <c r="J181" s="14"/>
      <c r="K181" s="18"/>
    </row>
    <row r="182" spans="1:13">
      <c r="A182" s="5" t="s">
        <v>2</v>
      </c>
      <c r="C182" s="68"/>
      <c r="D182" s="14"/>
      <c r="E182" s="14"/>
      <c r="F182" s="14"/>
      <c r="G182" s="20"/>
      <c r="H182" s="14"/>
      <c r="I182" s="14"/>
      <c r="J182" s="14"/>
      <c r="K182" s="18"/>
    </row>
    <row r="183" spans="1:13">
      <c r="A183" s="5">
        <v>28</v>
      </c>
      <c r="B183" s="8" t="s">
        <v>81</v>
      </c>
      <c r="C183" s="48"/>
      <c r="D183" s="14">
        <f>+$I252*D116</f>
        <v>122525686.6919255</v>
      </c>
      <c r="E183" s="14"/>
      <c r="F183" s="14" t="s">
        <v>45</v>
      </c>
      <c r="G183" s="61"/>
      <c r="H183" s="14"/>
      <c r="I183" s="14">
        <f>+$I252*I116</f>
        <v>8563918.0254264381</v>
      </c>
      <c r="J183" s="14"/>
    </row>
    <row r="184" spans="1:13">
      <c r="A184" s="5"/>
      <c r="B184" s="67" t="s">
        <v>242</v>
      </c>
      <c r="D184" s="14"/>
      <c r="E184" s="14"/>
      <c r="F184" s="14"/>
      <c r="G184" s="61"/>
      <c r="H184" s="14"/>
      <c r="I184" s="14"/>
      <c r="J184" s="14"/>
      <c r="K184" s="49"/>
    </row>
    <row r="185" spans="1:13">
      <c r="A185" s="5"/>
      <c r="B185" s="8"/>
      <c r="D185" s="54"/>
      <c r="E185" s="14"/>
      <c r="F185" s="14"/>
      <c r="G185" s="61"/>
      <c r="H185" s="14"/>
      <c r="I185" s="54"/>
      <c r="J185" s="14"/>
      <c r="K185" s="49"/>
    </row>
    <row r="186" spans="1:13">
      <c r="A186" s="5">
        <v>29</v>
      </c>
      <c r="B186" s="8" t="s">
        <v>180</v>
      </c>
      <c r="C186" s="14"/>
      <c r="D186" s="54">
        <f>+D183+D181+D169+D158+D152</f>
        <v>385928220.37561607</v>
      </c>
      <c r="E186" s="14"/>
      <c r="F186" s="14"/>
      <c r="G186" s="14"/>
      <c r="H186" s="14"/>
      <c r="I186" s="54">
        <f>+I183+I181+I169+I158+I152</f>
        <v>35417550.535486959</v>
      </c>
      <c r="J186" s="9"/>
      <c r="K186" s="12"/>
    </row>
    <row r="187" spans="1:13">
      <c r="A187" s="5"/>
      <c r="B187" s="8"/>
      <c r="C187" s="14"/>
      <c r="D187" s="54"/>
      <c r="E187" s="14"/>
      <c r="F187" s="14"/>
      <c r="G187" s="14"/>
      <c r="H187" s="14"/>
      <c r="I187" s="54"/>
      <c r="J187" s="9"/>
      <c r="K187" s="12"/>
    </row>
    <row r="188" spans="1:13">
      <c r="A188" s="115">
        <v>30</v>
      </c>
      <c r="B188" s="57" t="s">
        <v>306</v>
      </c>
      <c r="C188" s="18"/>
      <c r="D188" s="54"/>
      <c r="E188" s="14"/>
      <c r="F188" s="14"/>
      <c r="G188" s="14"/>
      <c r="H188" s="14"/>
      <c r="I188" s="54"/>
      <c r="J188" s="9"/>
      <c r="K188" s="12"/>
    </row>
    <row r="189" spans="1:13">
      <c r="A189" s="115"/>
      <c r="B189" s="200" t="s">
        <v>241</v>
      </c>
      <c r="C189" s="200"/>
      <c r="J189" s="9"/>
      <c r="K189" s="12"/>
    </row>
    <row r="190" spans="1:13" ht="18.75">
      <c r="A190" s="115"/>
      <c r="B190" s="57" t="s">
        <v>240</v>
      </c>
      <c r="C190" s="18"/>
      <c r="D190" s="51">
        <v>1830319</v>
      </c>
      <c r="E190" s="14"/>
      <c r="F190" s="14"/>
      <c r="G190" s="14"/>
      <c r="H190" s="14"/>
      <c r="I190" s="51">
        <v>1830319</v>
      </c>
      <c r="J190" s="9"/>
      <c r="L190" s="187" t="s">
        <v>364</v>
      </c>
    </row>
    <row r="191" spans="1:13">
      <c r="A191" s="115"/>
      <c r="B191" s="57"/>
      <c r="C191" s="18"/>
      <c r="D191" s="18"/>
      <c r="E191" s="18"/>
      <c r="F191" s="18"/>
      <c r="G191" s="18"/>
      <c r="H191" s="18"/>
      <c r="I191" s="18"/>
      <c r="J191" s="9"/>
      <c r="K191" s="12"/>
    </row>
    <row r="192" spans="1:13" ht="15.75" customHeight="1">
      <c r="A192" s="115" t="s">
        <v>310</v>
      </c>
      <c r="B192" s="57" t="s">
        <v>332</v>
      </c>
      <c r="C192" s="18"/>
      <c r="D192" s="118"/>
      <c r="E192" s="18"/>
      <c r="F192" s="14"/>
      <c r="G192" s="14"/>
      <c r="H192" s="14"/>
      <c r="I192" s="54"/>
      <c r="J192" s="9"/>
      <c r="K192" s="12"/>
    </row>
    <row r="193" spans="1:14">
      <c r="A193" s="115"/>
      <c r="B193" s="200" t="s">
        <v>241</v>
      </c>
      <c r="C193" s="200"/>
      <c r="J193" s="9"/>
      <c r="K193" s="12"/>
    </row>
    <row r="194" spans="1:14" ht="19.5" thickBot="1">
      <c r="A194" s="115"/>
      <c r="B194" s="57" t="s">
        <v>311</v>
      </c>
      <c r="C194" s="18"/>
      <c r="D194" s="47">
        <v>0</v>
      </c>
      <c r="E194" s="14"/>
      <c r="F194" s="14"/>
      <c r="G194" s="14"/>
      <c r="H194" s="14"/>
      <c r="I194" s="47">
        <v>0</v>
      </c>
      <c r="J194" s="9"/>
      <c r="L194" s="188" t="s">
        <v>365</v>
      </c>
    </row>
    <row r="195" spans="1:14" ht="16.5" thickBot="1">
      <c r="A195" s="115">
        <v>31</v>
      </c>
      <c r="B195" s="10" t="s">
        <v>239</v>
      </c>
      <c r="C195" s="18"/>
      <c r="D195" s="167">
        <f>D186-D190-D194</f>
        <v>384097901.37561607</v>
      </c>
      <c r="E195" s="18"/>
      <c r="F195" s="18"/>
      <c r="G195" s="18"/>
      <c r="H195" s="18"/>
      <c r="I195" s="167">
        <f>I186-I190-I194</f>
        <v>33587231.535486959</v>
      </c>
      <c r="J195" s="12"/>
      <c r="K195" s="18"/>
      <c r="L195" s="10"/>
      <c r="M195" s="10"/>
      <c r="N195" s="10"/>
    </row>
    <row r="196" spans="1:14" ht="16.5" thickTop="1">
      <c r="A196" s="115"/>
      <c r="B196" s="57" t="s">
        <v>312</v>
      </c>
      <c r="C196" s="18"/>
      <c r="D196" s="54"/>
      <c r="E196" s="14"/>
      <c r="F196" s="14"/>
      <c r="G196" s="14"/>
      <c r="H196" s="14"/>
      <c r="I196" s="54"/>
      <c r="J196" s="9"/>
      <c r="K196" s="12"/>
    </row>
    <row r="197" spans="1:14">
      <c r="A197" s="5"/>
      <c r="B197" s="8"/>
      <c r="C197" s="14"/>
      <c r="D197" s="54"/>
      <c r="E197" s="14"/>
      <c r="F197" s="14"/>
      <c r="G197" s="14"/>
      <c r="H197" s="14"/>
      <c r="I197" s="54"/>
      <c r="J197" s="9"/>
      <c r="K197" s="12"/>
    </row>
    <row r="198" spans="1:14">
      <c r="A198" s="5"/>
      <c r="B198" s="8"/>
      <c r="C198" s="14"/>
      <c r="D198" s="54"/>
      <c r="E198" s="14"/>
      <c r="F198" s="14"/>
      <c r="G198" s="14"/>
      <c r="H198" s="14"/>
      <c r="I198" s="54"/>
      <c r="J198" s="9"/>
      <c r="K198" s="12"/>
    </row>
    <row r="199" spans="1:14">
      <c r="B199" s="2"/>
      <c r="C199" s="2"/>
      <c r="D199" s="3"/>
      <c r="E199" s="2"/>
      <c r="F199" s="2"/>
      <c r="G199" s="2"/>
      <c r="H199" s="4"/>
      <c r="I199" s="4"/>
      <c r="J199" s="196" t="s">
        <v>204</v>
      </c>
      <c r="K199" s="196"/>
    </row>
    <row r="200" spans="1:14">
      <c r="B200" s="2" t="s">
        <v>0</v>
      </c>
      <c r="C200" s="2"/>
      <c r="D200" s="3" t="s">
        <v>1</v>
      </c>
      <c r="E200" s="2"/>
      <c r="F200" s="2"/>
      <c r="G200" s="2"/>
      <c r="H200" s="196" t="str">
        <f>K4</f>
        <v>For the 12 months ended 12/31/2013</v>
      </c>
      <c r="I200" s="196"/>
      <c r="J200" s="196"/>
      <c r="K200" s="196"/>
    </row>
    <row r="201" spans="1:14">
      <c r="B201" s="2"/>
      <c r="C201" s="14" t="s">
        <v>2</v>
      </c>
      <c r="D201" s="14" t="s">
        <v>3</v>
      </c>
      <c r="E201" s="14"/>
      <c r="F201" s="14"/>
      <c r="G201" s="14"/>
      <c r="H201" s="4"/>
      <c r="I201" s="4"/>
      <c r="J201" s="9"/>
      <c r="K201" s="12"/>
    </row>
    <row r="202" spans="1:14" ht="9" customHeight="1">
      <c r="A202" s="5"/>
      <c r="J202" s="14"/>
      <c r="K202" s="18"/>
    </row>
    <row r="203" spans="1:14">
      <c r="A203" s="5"/>
      <c r="C203" s="1" t="str">
        <f>C7</f>
        <v>INDIANAPOLIS POWER &amp; LIGHT COMPANY</v>
      </c>
      <c r="J203" s="14"/>
      <c r="K203" s="18"/>
    </row>
    <row r="204" spans="1:14">
      <c r="A204" s="5"/>
      <c r="C204" s="45" t="s">
        <v>82</v>
      </c>
      <c r="E204" s="9"/>
      <c r="F204" s="9"/>
      <c r="G204" s="9"/>
      <c r="H204" s="9"/>
      <c r="I204" s="9"/>
      <c r="J204" s="14"/>
      <c r="K204" s="18"/>
    </row>
    <row r="205" spans="1:14">
      <c r="A205" s="5" t="s">
        <v>4</v>
      </c>
      <c r="B205" s="45"/>
      <c r="C205" s="9"/>
      <c r="D205" s="9"/>
      <c r="E205" s="9"/>
      <c r="F205" s="9"/>
      <c r="G205" s="9"/>
      <c r="H205" s="9"/>
      <c r="I205" s="9"/>
      <c r="J205" s="14"/>
      <c r="K205" s="18"/>
    </row>
    <row r="206" spans="1:14" ht="16.5" thickBot="1">
      <c r="A206" s="16" t="s">
        <v>6</v>
      </c>
      <c r="B206" s="69" t="s">
        <v>85</v>
      </c>
      <c r="C206" s="12"/>
      <c r="D206" s="12"/>
      <c r="E206" s="12"/>
      <c r="F206" s="12"/>
      <c r="G206" s="12"/>
      <c r="H206" s="10"/>
      <c r="I206" s="10"/>
      <c r="J206" s="18"/>
      <c r="K206" s="18"/>
    </row>
    <row r="207" spans="1:14">
      <c r="A207" s="5">
        <v>1</v>
      </c>
      <c r="B207" s="26" t="s">
        <v>260</v>
      </c>
      <c r="C207" s="12"/>
      <c r="D207" s="18"/>
      <c r="E207" s="18"/>
      <c r="F207" s="18"/>
      <c r="G207" s="18"/>
      <c r="H207" s="18"/>
      <c r="I207" s="18">
        <f>D78</f>
        <v>256892484</v>
      </c>
      <c r="J207" s="18"/>
      <c r="K207" s="18"/>
    </row>
    <row r="208" spans="1:14">
      <c r="A208" s="5">
        <v>2</v>
      </c>
      <c r="B208" s="26" t="s">
        <v>259</v>
      </c>
      <c r="C208" s="10"/>
      <c r="D208" s="124"/>
      <c r="E208" s="10"/>
      <c r="F208" s="10"/>
      <c r="G208" s="10"/>
      <c r="H208" s="10"/>
      <c r="I208" s="22">
        <v>0</v>
      </c>
      <c r="J208" s="18"/>
      <c r="K208" s="18"/>
    </row>
    <row r="209" spans="1:19" ht="16.5" thickBot="1">
      <c r="A209" s="5">
        <v>3</v>
      </c>
      <c r="B209" s="70" t="s">
        <v>261</v>
      </c>
      <c r="C209" s="71"/>
      <c r="D209" s="118"/>
      <c r="E209" s="18"/>
      <c r="F209" s="18"/>
      <c r="G209" s="72"/>
      <c r="H209" s="18"/>
      <c r="I209" s="47">
        <v>0</v>
      </c>
      <c r="J209" s="18"/>
      <c r="K209" s="18"/>
    </row>
    <row r="210" spans="1:19">
      <c r="A210" s="5">
        <v>4</v>
      </c>
      <c r="B210" s="26" t="s">
        <v>200</v>
      </c>
      <c r="C210" s="12"/>
      <c r="D210" s="118"/>
      <c r="E210" s="18"/>
      <c r="F210" s="18"/>
      <c r="G210" s="72"/>
      <c r="H210" s="18"/>
      <c r="I210" s="18">
        <f>I207-I208-I209</f>
        <v>256892484</v>
      </c>
      <c r="J210" s="18"/>
      <c r="K210" s="18"/>
    </row>
    <row r="211" spans="1:19" ht="9" customHeight="1">
      <c r="A211" s="5"/>
      <c r="B211" s="10"/>
      <c r="C211" s="12"/>
      <c r="D211" s="118"/>
      <c r="E211" s="18"/>
      <c r="F211" s="18"/>
      <c r="G211" s="72"/>
      <c r="H211" s="18"/>
      <c r="I211" s="10"/>
      <c r="J211" s="18"/>
      <c r="K211" s="18"/>
    </row>
    <row r="212" spans="1:19">
      <c r="A212" s="5">
        <v>5</v>
      </c>
      <c r="B212" s="26" t="s">
        <v>262</v>
      </c>
      <c r="C212" s="73"/>
      <c r="D212" s="125"/>
      <c r="E212" s="74"/>
      <c r="F212" s="74"/>
      <c r="G212" s="75"/>
      <c r="H212" s="18" t="s">
        <v>86</v>
      </c>
      <c r="I212" s="50">
        <f>IF(I207&gt;0,I210/I207,0)</f>
        <v>1</v>
      </c>
      <c r="J212" s="18"/>
      <c r="K212" s="18"/>
      <c r="N212" s="138" t="s">
        <v>293</v>
      </c>
      <c r="O212" s="138"/>
      <c r="P212" s="138"/>
    </row>
    <row r="213" spans="1:19" ht="9" customHeight="1">
      <c r="A213" s="5"/>
      <c r="B213" s="10"/>
      <c r="C213" s="10"/>
      <c r="D213" s="124"/>
      <c r="E213" s="10"/>
      <c r="F213" s="10"/>
      <c r="G213" s="10"/>
      <c r="H213" s="10"/>
      <c r="I213" s="10"/>
      <c r="J213" s="18"/>
      <c r="K213" s="18"/>
      <c r="N213" s="139"/>
      <c r="O213" s="140"/>
      <c r="P213" s="141"/>
      <c r="Q213" s="139"/>
      <c r="R213" s="140"/>
      <c r="S213" s="140"/>
    </row>
    <row r="214" spans="1:19">
      <c r="A214" s="5"/>
      <c r="B214" s="57" t="s">
        <v>83</v>
      </c>
      <c r="C214" s="10"/>
      <c r="D214" s="124"/>
      <c r="E214" s="10"/>
      <c r="F214" s="10"/>
      <c r="G214" s="10"/>
      <c r="H214" s="10"/>
      <c r="I214" s="10"/>
      <c r="J214" s="18"/>
      <c r="K214" s="18"/>
      <c r="N214" s="197" t="s">
        <v>294</v>
      </c>
      <c r="O214" s="198"/>
      <c r="P214" s="198"/>
      <c r="Q214" s="198"/>
      <c r="R214" s="198"/>
      <c r="S214" s="199"/>
    </row>
    <row r="215" spans="1:19">
      <c r="A215" s="5">
        <v>6</v>
      </c>
      <c r="B215" s="10" t="s">
        <v>263</v>
      </c>
      <c r="C215" s="10"/>
      <c r="D215" s="126"/>
      <c r="E215" s="12"/>
      <c r="F215" s="12"/>
      <c r="G215" s="11"/>
      <c r="H215" s="12"/>
      <c r="I215" s="18">
        <f>D143</f>
        <v>11831279</v>
      </c>
      <c r="J215" s="18"/>
      <c r="K215" s="18"/>
      <c r="N215" s="142"/>
      <c r="O215" s="143"/>
      <c r="P215" s="144"/>
      <c r="Q215" s="145"/>
      <c r="R215" s="143"/>
      <c r="S215" s="146"/>
    </row>
    <row r="216" spans="1:19" ht="16.5" thickBot="1">
      <c r="A216" s="5">
        <v>7</v>
      </c>
      <c r="B216" s="70" t="s">
        <v>264</v>
      </c>
      <c r="C216" s="71"/>
      <c r="D216" s="118"/>
      <c r="E216" s="118"/>
      <c r="F216" s="18"/>
      <c r="G216" s="18"/>
      <c r="H216" s="18"/>
      <c r="I216" s="47">
        <f>1062337+923321+547315</f>
        <v>2532973</v>
      </c>
      <c r="J216" s="18"/>
      <c r="K216" s="18"/>
      <c r="N216" s="149">
        <v>2532973</v>
      </c>
      <c r="O216" s="148" t="s">
        <v>295</v>
      </c>
      <c r="P216" s="144"/>
      <c r="Q216" s="145"/>
      <c r="R216" s="143"/>
      <c r="S216" s="146"/>
    </row>
    <row r="217" spans="1:19">
      <c r="A217" s="5">
        <v>8</v>
      </c>
      <c r="B217" s="26" t="s">
        <v>265</v>
      </c>
      <c r="C217" s="73"/>
      <c r="D217" s="125"/>
      <c r="E217" s="74"/>
      <c r="F217" s="74"/>
      <c r="G217" s="75"/>
      <c r="H217" s="74"/>
      <c r="I217" s="18">
        <f>+I215-I216</f>
        <v>9298306</v>
      </c>
      <c r="J217" s="10"/>
      <c r="N217" s="149">
        <v>922427</v>
      </c>
      <c r="O217" s="150" t="s">
        <v>296</v>
      </c>
      <c r="P217" s="151"/>
      <c r="Q217" s="151"/>
      <c r="R217"/>
      <c r="S217" s="152"/>
    </row>
    <row r="218" spans="1:19">
      <c r="A218" s="5"/>
      <c r="B218" s="26"/>
      <c r="C218" s="12"/>
      <c r="D218" s="118"/>
      <c r="E218" s="18"/>
      <c r="F218" s="18"/>
      <c r="G218" s="18"/>
      <c r="H218" s="10"/>
      <c r="I218" s="10"/>
      <c r="J218" s="10"/>
      <c r="N218" s="153">
        <f>N216-N217</f>
        <v>1610546</v>
      </c>
      <c r="O218" s="150" t="s">
        <v>297</v>
      </c>
      <c r="P218"/>
      <c r="Q218"/>
      <c r="R218"/>
      <c r="S218" s="152"/>
    </row>
    <row r="219" spans="1:19">
      <c r="A219" s="5">
        <v>9</v>
      </c>
      <c r="B219" s="26" t="s">
        <v>266</v>
      </c>
      <c r="C219" s="12"/>
      <c r="D219" s="118"/>
      <c r="E219" s="18"/>
      <c r="F219" s="18"/>
      <c r="G219" s="18"/>
      <c r="H219" s="18"/>
      <c r="I219" s="59">
        <f>IF(I215&gt;0,I217/I215,0)</f>
        <v>0.78590877621937583</v>
      </c>
      <c r="J219" s="10"/>
      <c r="N219" s="154"/>
      <c r="O219" s="155" t="s">
        <v>298</v>
      </c>
      <c r="P219" s="156"/>
      <c r="Q219" s="156"/>
      <c r="R219" s="143"/>
      <c r="S219" s="146"/>
    </row>
    <row r="220" spans="1:19">
      <c r="A220" s="5">
        <v>10</v>
      </c>
      <c r="B220" s="26" t="s">
        <v>267</v>
      </c>
      <c r="C220" s="12"/>
      <c r="D220" s="18"/>
      <c r="E220" s="18"/>
      <c r="F220" s="18"/>
      <c r="G220" s="18"/>
      <c r="H220" s="12" t="s">
        <v>11</v>
      </c>
      <c r="I220" s="76">
        <f>I212</f>
        <v>1</v>
      </c>
      <c r="J220" s="10"/>
      <c r="N220" s="147">
        <v>0</v>
      </c>
      <c r="O220" s="156" t="s">
        <v>299</v>
      </c>
      <c r="P220" s="157"/>
      <c r="Q220" s="156"/>
      <c r="R220" s="143"/>
      <c r="S220" s="146"/>
    </row>
    <row r="221" spans="1:19">
      <c r="A221" s="5">
        <v>11</v>
      </c>
      <c r="B221" s="26" t="s">
        <v>268</v>
      </c>
      <c r="C221" s="12"/>
      <c r="D221" s="12"/>
      <c r="E221" s="12"/>
      <c r="F221" s="12"/>
      <c r="G221" s="12"/>
      <c r="H221" s="12" t="s">
        <v>84</v>
      </c>
      <c r="I221" s="77">
        <f>+I220*I219</f>
        <v>0.78590877621937583</v>
      </c>
      <c r="J221" s="10"/>
      <c r="N221" s="147">
        <v>0</v>
      </c>
      <c r="O221" s="156" t="s">
        <v>300</v>
      </c>
      <c r="P221" s="157"/>
      <c r="Q221" s="156"/>
      <c r="R221" s="143"/>
      <c r="S221" s="146"/>
    </row>
    <row r="222" spans="1:19">
      <c r="A222" s="5"/>
      <c r="C222" s="9"/>
      <c r="D222" s="14"/>
      <c r="E222" s="14"/>
      <c r="F222" s="14"/>
      <c r="G222" s="78"/>
      <c r="H222" s="14"/>
      <c r="N222" s="166">
        <v>0</v>
      </c>
      <c r="O222" s="156" t="s">
        <v>301</v>
      </c>
      <c r="P222" s="157"/>
      <c r="Q222" s="158"/>
      <c r="R222" s="186" t="s">
        <v>362</v>
      </c>
      <c r="S222" s="146"/>
    </row>
    <row r="223" spans="1:19">
      <c r="A223" s="5" t="s">
        <v>2</v>
      </c>
      <c r="B223" s="8" t="s">
        <v>87</v>
      </c>
      <c r="C223" s="14"/>
      <c r="D223" s="14"/>
      <c r="E223" s="14"/>
      <c r="F223" s="14"/>
      <c r="G223" s="14"/>
      <c r="H223" s="14"/>
      <c r="I223" s="14"/>
      <c r="J223" s="14"/>
      <c r="K223" s="18"/>
      <c r="N223" s="153">
        <f>SUM(N220:N222)</f>
        <v>0</v>
      </c>
      <c r="O223" s="159" t="s">
        <v>302</v>
      </c>
      <c r="P223" s="144"/>
      <c r="Q223" s="145"/>
      <c r="R223" s="143"/>
      <c r="S223" s="146"/>
    </row>
    <row r="224" spans="1:19" ht="16.5" thickBot="1">
      <c r="A224" s="5" t="s">
        <v>2</v>
      </c>
      <c r="B224" s="8"/>
      <c r="C224" s="23" t="s">
        <v>88</v>
      </c>
      <c r="D224" s="79" t="s">
        <v>89</v>
      </c>
      <c r="E224" s="79" t="s">
        <v>11</v>
      </c>
      <c r="F224" s="14"/>
      <c r="G224" s="79" t="s">
        <v>90</v>
      </c>
      <c r="H224" s="14"/>
      <c r="I224" s="14"/>
      <c r="J224" s="14"/>
      <c r="K224" s="18"/>
      <c r="N224" s="160">
        <f>N218-N223</f>
        <v>1610546</v>
      </c>
      <c r="O224" s="161" t="s">
        <v>303</v>
      </c>
      <c r="P224" s="162"/>
      <c r="Q224" s="163"/>
      <c r="R224" s="164"/>
      <c r="S224" s="165"/>
    </row>
    <row r="225" spans="1:11">
      <c r="A225" s="5">
        <v>12</v>
      </c>
      <c r="B225" s="8" t="s">
        <v>44</v>
      </c>
      <c r="C225" s="14" t="s">
        <v>232</v>
      </c>
      <c r="D225" s="22">
        <v>53990184</v>
      </c>
      <c r="E225" s="80">
        <v>0</v>
      </c>
      <c r="F225" s="80"/>
      <c r="G225" s="14">
        <f>D225*E225</f>
        <v>0</v>
      </c>
      <c r="H225" s="14"/>
      <c r="I225" s="14"/>
      <c r="J225" s="14"/>
      <c r="K225" s="18"/>
    </row>
    <row r="226" spans="1:11">
      <c r="A226" s="5">
        <v>13</v>
      </c>
      <c r="B226" s="8" t="s">
        <v>46</v>
      </c>
      <c r="C226" s="14" t="s">
        <v>233</v>
      </c>
      <c r="D226" s="22">
        <v>4501804</v>
      </c>
      <c r="E226" s="80">
        <f>+I212</f>
        <v>1</v>
      </c>
      <c r="F226" s="80"/>
      <c r="G226" s="14">
        <f>D226*E226</f>
        <v>4501804</v>
      </c>
      <c r="H226" s="14"/>
      <c r="I226" s="14"/>
      <c r="J226" s="14"/>
      <c r="K226" s="18"/>
    </row>
    <row r="227" spans="1:11">
      <c r="A227" s="5">
        <v>14</v>
      </c>
      <c r="B227" s="8" t="s">
        <v>47</v>
      </c>
      <c r="C227" s="14" t="s">
        <v>234</v>
      </c>
      <c r="D227" s="22">
        <v>18878453</v>
      </c>
      <c r="E227" s="80">
        <v>0</v>
      </c>
      <c r="F227" s="80"/>
      <c r="G227" s="14">
        <f>D227*E227</f>
        <v>0</v>
      </c>
      <c r="H227" s="14"/>
      <c r="I227" s="81" t="s">
        <v>91</v>
      </c>
      <c r="J227" s="14"/>
      <c r="K227" s="18"/>
    </row>
    <row r="228" spans="1:11" ht="16.5" thickBot="1">
      <c r="A228" s="5">
        <v>15</v>
      </c>
      <c r="B228" s="8" t="s">
        <v>92</v>
      </c>
      <c r="C228" s="14" t="s">
        <v>269</v>
      </c>
      <c r="D228" s="47">
        <f>7104087+1368551</f>
        <v>8472638</v>
      </c>
      <c r="E228" s="80">
        <v>0</v>
      </c>
      <c r="F228" s="80"/>
      <c r="G228" s="23">
        <f>D228*E228</f>
        <v>0</v>
      </c>
      <c r="H228" s="14"/>
      <c r="I228" s="16" t="s">
        <v>93</v>
      </c>
      <c r="J228" s="14"/>
      <c r="K228" s="18"/>
    </row>
    <row r="229" spans="1:11">
      <c r="A229" s="5">
        <v>16</v>
      </c>
      <c r="B229" s="8" t="s">
        <v>192</v>
      </c>
      <c r="C229" s="14"/>
      <c r="D229" s="14">
        <f>SUM(D225:D228)</f>
        <v>85843079</v>
      </c>
      <c r="E229" s="14"/>
      <c r="F229" s="14"/>
      <c r="G229" s="14">
        <f>SUM(G225:G228)</f>
        <v>4501804</v>
      </c>
      <c r="H229" s="38" t="s">
        <v>94</v>
      </c>
      <c r="I229" s="46">
        <f>IF(G229&gt;0,G229/D229,0)</f>
        <v>5.2442247557313269E-2</v>
      </c>
      <c r="J229" s="78" t="s">
        <v>94</v>
      </c>
      <c r="K229" s="18" t="s">
        <v>184</v>
      </c>
    </row>
    <row r="230" spans="1:11" ht="9" customHeight="1">
      <c r="A230" s="5"/>
      <c r="B230" s="8"/>
      <c r="C230" s="14"/>
      <c r="D230" s="14"/>
      <c r="E230" s="14"/>
      <c r="F230" s="14"/>
      <c r="G230" s="14"/>
      <c r="H230" s="14"/>
      <c r="I230" s="14"/>
      <c r="J230" s="14"/>
      <c r="K230" s="18"/>
    </row>
    <row r="231" spans="1:11">
      <c r="A231" s="5"/>
      <c r="B231" s="8" t="s">
        <v>270</v>
      </c>
      <c r="C231" s="14"/>
      <c r="D231" s="41" t="s">
        <v>89</v>
      </c>
      <c r="E231" s="14"/>
      <c r="F231" s="14"/>
      <c r="G231" s="78" t="s">
        <v>95</v>
      </c>
      <c r="H231" s="61" t="s">
        <v>2</v>
      </c>
      <c r="I231" s="48" t="str">
        <f>+I227</f>
        <v>W&amp;S Allocator</v>
      </c>
      <c r="J231" s="14"/>
      <c r="K231" s="18"/>
    </row>
    <row r="232" spans="1:11">
      <c r="A232" s="5">
        <v>17</v>
      </c>
      <c r="B232" s="8" t="s">
        <v>96</v>
      </c>
      <c r="C232" s="14" t="s">
        <v>97</v>
      </c>
      <c r="D232" s="22">
        <v>4337722512</v>
      </c>
      <c r="E232" s="14"/>
      <c r="G232" s="5" t="s">
        <v>98</v>
      </c>
      <c r="H232" s="82"/>
      <c r="I232" s="5" t="s">
        <v>99</v>
      </c>
      <c r="J232" s="14"/>
      <c r="K232" s="11" t="s">
        <v>100</v>
      </c>
    </row>
    <row r="233" spans="1:11">
      <c r="A233" s="5">
        <v>18</v>
      </c>
      <c r="B233" s="8" t="s">
        <v>101</v>
      </c>
      <c r="C233" s="14" t="s">
        <v>209</v>
      </c>
      <c r="D233" s="22">
        <v>0</v>
      </c>
      <c r="E233" s="14"/>
      <c r="G233" s="20">
        <f>IF(D235&gt;0,D232/D235,0)</f>
        <v>1</v>
      </c>
      <c r="H233" s="78" t="s">
        <v>102</v>
      </c>
      <c r="I233" s="20">
        <f>I229</f>
        <v>5.2442247557313269E-2</v>
      </c>
      <c r="J233" s="61" t="s">
        <v>94</v>
      </c>
      <c r="K233" s="83">
        <f>I233*G233</f>
        <v>5.2442247557313269E-2</v>
      </c>
    </row>
    <row r="234" spans="1:11" ht="16.5" thickBot="1">
      <c r="A234" s="5">
        <v>19</v>
      </c>
      <c r="B234" s="84" t="s">
        <v>103</v>
      </c>
      <c r="C234" s="23" t="s">
        <v>210</v>
      </c>
      <c r="D234" s="47">
        <v>0</v>
      </c>
      <c r="E234" s="14"/>
      <c r="F234" s="14"/>
      <c r="G234" s="14" t="s">
        <v>2</v>
      </c>
      <c r="H234" s="14"/>
      <c r="I234" s="14"/>
      <c r="J234" s="14"/>
      <c r="K234" s="18"/>
    </row>
    <row r="235" spans="1:11">
      <c r="A235" s="5">
        <v>20</v>
      </c>
      <c r="B235" s="8" t="s">
        <v>163</v>
      </c>
      <c r="C235" s="14"/>
      <c r="D235" s="14">
        <f>D232+D233+D234</f>
        <v>4337722512</v>
      </c>
      <c r="E235" s="14"/>
      <c r="F235" s="14"/>
      <c r="G235" s="14"/>
      <c r="H235" s="14"/>
      <c r="I235" s="14"/>
      <c r="J235" s="14"/>
      <c r="K235" s="18"/>
    </row>
    <row r="236" spans="1:11" ht="9" customHeight="1">
      <c r="A236" s="5"/>
      <c r="B236" s="8"/>
      <c r="C236" s="14"/>
      <c r="E236" s="14"/>
      <c r="F236" s="14"/>
      <c r="G236" s="14"/>
      <c r="H236" s="14"/>
      <c r="I236" s="14"/>
      <c r="J236" s="14"/>
      <c r="K236" s="18"/>
    </row>
    <row r="237" spans="1:11" ht="16.5" thickBot="1">
      <c r="A237" s="5"/>
      <c r="B237" s="2" t="s">
        <v>104</v>
      </c>
      <c r="C237" s="14"/>
      <c r="D237" s="14"/>
      <c r="E237" s="14"/>
      <c r="F237" s="14"/>
      <c r="G237" s="14"/>
      <c r="H237" s="14"/>
      <c r="I237" s="79" t="s">
        <v>89</v>
      </c>
      <c r="J237" s="14"/>
      <c r="K237" s="18"/>
    </row>
    <row r="238" spans="1:11">
      <c r="A238" s="5">
        <v>21</v>
      </c>
      <c r="B238" s="4"/>
      <c r="C238" s="14" t="s">
        <v>214</v>
      </c>
      <c r="D238" s="14"/>
      <c r="E238" s="14"/>
      <c r="F238" s="14"/>
      <c r="G238" s="14"/>
      <c r="H238" s="14"/>
      <c r="I238" s="85">
        <f>55602333+876813+1616624</f>
        <v>58095770</v>
      </c>
      <c r="J238" s="14"/>
      <c r="K238" s="18"/>
    </row>
    <row r="239" spans="1:11" ht="9" customHeight="1">
      <c r="A239" s="5"/>
      <c r="B239" s="8"/>
      <c r="C239" s="14"/>
      <c r="D239" s="14"/>
      <c r="E239" s="14"/>
      <c r="F239" s="14"/>
      <c r="G239" s="14"/>
      <c r="H239" s="14"/>
      <c r="I239" s="14"/>
      <c r="J239" s="14"/>
      <c r="K239" s="18"/>
    </row>
    <row r="240" spans="1:11">
      <c r="A240" s="5">
        <v>22</v>
      </c>
      <c r="B240" s="2"/>
      <c r="C240" s="14" t="s">
        <v>105</v>
      </c>
      <c r="D240" s="14"/>
      <c r="E240" s="14"/>
      <c r="F240" s="14"/>
      <c r="G240" s="14"/>
      <c r="H240" s="18"/>
      <c r="I240" s="86">
        <v>3213311</v>
      </c>
      <c r="J240" s="14"/>
      <c r="K240" s="18"/>
    </row>
    <row r="241" spans="1:19" ht="9" customHeight="1">
      <c r="A241" s="5"/>
      <c r="B241" s="2"/>
      <c r="C241" s="14"/>
      <c r="D241" s="14"/>
      <c r="E241" s="14"/>
      <c r="F241" s="14"/>
      <c r="G241" s="14"/>
      <c r="H241" s="14"/>
      <c r="I241" s="14"/>
      <c r="J241" s="14"/>
      <c r="K241" s="18"/>
    </row>
    <row r="242" spans="1:19">
      <c r="A242" s="5"/>
      <c r="B242" s="2" t="s">
        <v>106</v>
      </c>
      <c r="C242" s="14"/>
      <c r="D242" s="14"/>
      <c r="E242" s="14"/>
      <c r="F242" s="14"/>
      <c r="G242" s="14"/>
      <c r="H242" s="14"/>
      <c r="I242" s="14"/>
      <c r="J242" s="14"/>
      <c r="K242" s="18"/>
    </row>
    <row r="243" spans="1:19">
      <c r="A243" s="5">
        <v>23</v>
      </c>
      <c r="B243" s="2"/>
      <c r="C243" s="14" t="s">
        <v>215</v>
      </c>
      <c r="D243" s="4"/>
      <c r="E243" s="14"/>
      <c r="F243" s="14"/>
      <c r="G243" s="14"/>
      <c r="H243" s="14"/>
      <c r="I243" s="22">
        <v>898865674</v>
      </c>
      <c r="J243" s="14"/>
      <c r="K243" s="18"/>
    </row>
    <row r="244" spans="1:19">
      <c r="A244" s="5">
        <v>24</v>
      </c>
      <c r="B244" s="2"/>
      <c r="C244" s="14" t="s">
        <v>193</v>
      </c>
      <c r="D244" s="14"/>
      <c r="E244" s="14"/>
      <c r="F244" s="14"/>
      <c r="G244" s="14"/>
      <c r="H244" s="14"/>
      <c r="I244" s="87">
        <f>-D250</f>
        <v>-59135300</v>
      </c>
      <c r="J244" s="14"/>
      <c r="K244" s="18"/>
    </row>
    <row r="245" spans="1:19" ht="16.5" thickBot="1">
      <c r="A245" s="5">
        <v>25</v>
      </c>
      <c r="B245" s="2"/>
      <c r="C245" s="14" t="s">
        <v>216</v>
      </c>
      <c r="D245" s="14"/>
      <c r="E245" s="14"/>
      <c r="F245" s="14"/>
      <c r="G245" s="14"/>
      <c r="H245" s="14"/>
      <c r="I245" s="47">
        <v>1294929</v>
      </c>
      <c r="J245" s="14"/>
      <c r="K245" s="18"/>
    </row>
    <row r="246" spans="1:19">
      <c r="A246" s="5">
        <v>26</v>
      </c>
      <c r="B246" s="4"/>
      <c r="C246" s="14" t="s">
        <v>107</v>
      </c>
      <c r="D246" s="4" t="s">
        <v>108</v>
      </c>
      <c r="E246" s="4"/>
      <c r="F246" s="4"/>
      <c r="G246" s="4"/>
      <c r="H246" s="4"/>
      <c r="I246" s="14">
        <f>+I243+I244+I245</f>
        <v>841025303</v>
      </c>
      <c r="J246" s="14"/>
      <c r="K246" s="18"/>
    </row>
    <row r="247" spans="1:19">
      <c r="A247" s="5"/>
      <c r="B247" s="8"/>
      <c r="C247" s="14"/>
      <c r="D247" s="14"/>
      <c r="E247" s="14"/>
      <c r="F247" s="14"/>
      <c r="G247" s="78" t="s">
        <v>109</v>
      </c>
      <c r="H247" s="14"/>
      <c r="I247" s="14"/>
      <c r="J247" s="14"/>
      <c r="K247" s="18"/>
    </row>
    <row r="248" spans="1:19" ht="16.5" thickBot="1">
      <c r="A248" s="5"/>
      <c r="B248" s="8"/>
      <c r="C248" s="14"/>
      <c r="D248" s="16" t="s">
        <v>89</v>
      </c>
      <c r="E248" s="16" t="s">
        <v>110</v>
      </c>
      <c r="F248" s="14"/>
      <c r="G248" s="16" t="s">
        <v>111</v>
      </c>
      <c r="H248" s="14"/>
      <c r="I248" s="16" t="s">
        <v>112</v>
      </c>
      <c r="J248" s="14"/>
      <c r="K248" s="18"/>
    </row>
    <row r="249" spans="1:19">
      <c r="A249" s="5">
        <v>27</v>
      </c>
      <c r="B249" s="2" t="s">
        <v>217</v>
      </c>
      <c r="D249" s="22">
        <f>1025300000</f>
        <v>1025300000</v>
      </c>
      <c r="E249" s="88">
        <f>IF($D$252&gt;0,D249/$D$252,0)</f>
        <v>0.53249596403193711</v>
      </c>
      <c r="F249" s="89"/>
      <c r="G249" s="89">
        <f>IF(D249&gt;0,I238/D249,0)</f>
        <v>5.6662215936798987E-2</v>
      </c>
      <c r="I249" s="89">
        <f>G249*E249</f>
        <v>3.0172401299451566E-2</v>
      </c>
      <c r="J249" s="90" t="s">
        <v>113</v>
      </c>
      <c r="L249" s="191"/>
      <c r="M249" s="191"/>
      <c r="N249" s="191"/>
      <c r="O249" s="191"/>
      <c r="P249" s="191"/>
      <c r="Q249" s="191"/>
      <c r="R249" s="191"/>
      <c r="S249" s="191"/>
    </row>
    <row r="250" spans="1:19">
      <c r="A250" s="5">
        <v>28</v>
      </c>
      <c r="B250" s="2" t="s">
        <v>271</v>
      </c>
      <c r="D250" s="22">
        <v>59135300</v>
      </c>
      <c r="E250" s="88">
        <f>IF($D$252&gt;0,D250/$D$252,0)</f>
        <v>3.0712287702933591E-2</v>
      </c>
      <c r="F250" s="89"/>
      <c r="G250" s="89">
        <f>IF(D250&gt;0,I240/D250,0)</f>
        <v>5.4338288636398224E-2</v>
      </c>
      <c r="I250" s="89">
        <f>G250*E250</f>
        <v>1.6688531538861092E-3</v>
      </c>
      <c r="J250" s="14"/>
      <c r="L250" s="191"/>
      <c r="M250" s="191"/>
      <c r="N250" s="191"/>
      <c r="O250" s="191"/>
      <c r="P250" s="191"/>
      <c r="Q250" s="191"/>
      <c r="R250" s="191"/>
      <c r="S250" s="191"/>
    </row>
    <row r="251" spans="1:19" ht="16.5" thickBot="1">
      <c r="A251" s="5">
        <v>29</v>
      </c>
      <c r="B251" s="2" t="s">
        <v>114</v>
      </c>
      <c r="D251" s="23">
        <f>I246</f>
        <v>841025303</v>
      </c>
      <c r="E251" s="88">
        <f>IF($D$252&gt;0,D251/$D$252,0)</f>
        <v>0.43679174826512929</v>
      </c>
      <c r="F251" s="89"/>
      <c r="G251" s="91">
        <v>0.12379999999999999</v>
      </c>
      <c r="I251" s="92">
        <f>G251*E251</f>
        <v>5.4074818435223E-2</v>
      </c>
      <c r="J251" s="14"/>
      <c r="L251" s="191"/>
      <c r="M251" s="191" t="s">
        <v>341</v>
      </c>
      <c r="N251" s="191"/>
      <c r="O251" s="191"/>
      <c r="P251" s="191"/>
      <c r="Q251" s="191"/>
      <c r="R251" s="191"/>
      <c r="S251" s="191"/>
    </row>
    <row r="252" spans="1:19">
      <c r="A252" s="5">
        <v>30</v>
      </c>
      <c r="B252" s="8" t="s">
        <v>188</v>
      </c>
      <c r="D252" s="14">
        <f>D251+D250+D249</f>
        <v>1925460603</v>
      </c>
      <c r="E252" s="14" t="s">
        <v>2</v>
      </c>
      <c r="F252" s="14"/>
      <c r="G252" s="14"/>
      <c r="H252" s="14"/>
      <c r="I252" s="89">
        <f>SUM(I249:I251)</f>
        <v>8.5916072888560679E-2</v>
      </c>
      <c r="J252" s="90" t="s">
        <v>115</v>
      </c>
      <c r="L252" s="191"/>
      <c r="M252" s="192" t="s">
        <v>342</v>
      </c>
      <c r="N252" s="191"/>
      <c r="O252" s="191"/>
      <c r="P252" s="191"/>
      <c r="Q252" s="191"/>
      <c r="R252" s="191"/>
      <c r="S252" s="191"/>
    </row>
    <row r="253" spans="1:19" ht="9" customHeight="1">
      <c r="E253" s="14"/>
      <c r="F253" s="14"/>
      <c r="G253" s="14"/>
      <c r="H253" s="14"/>
      <c r="L253" s="191"/>
      <c r="M253" s="191"/>
      <c r="N253" s="191"/>
      <c r="O253" s="191"/>
      <c r="P253" s="191"/>
      <c r="Q253" s="191"/>
      <c r="R253" s="191"/>
      <c r="S253" s="191"/>
    </row>
    <row r="254" spans="1:19">
      <c r="A254" s="5"/>
      <c r="B254" s="2" t="s">
        <v>116</v>
      </c>
      <c r="C254" s="4"/>
      <c r="D254" s="4"/>
      <c r="E254" s="4"/>
      <c r="F254" s="4"/>
      <c r="G254" s="4"/>
      <c r="H254" s="4"/>
      <c r="I254" s="4"/>
      <c r="J254" s="4"/>
      <c r="K254" s="26"/>
      <c r="L254" s="191"/>
      <c r="M254" s="191"/>
      <c r="N254" s="191"/>
      <c r="O254" s="191"/>
      <c r="P254" s="191"/>
      <c r="Q254" s="191"/>
      <c r="R254" s="191"/>
      <c r="S254" s="191"/>
    </row>
    <row r="255" spans="1:19" ht="9" customHeight="1">
      <c r="A255" s="5"/>
      <c r="B255" s="2"/>
      <c r="C255" s="2"/>
      <c r="D255" s="2"/>
      <c r="E255" s="2"/>
      <c r="F255" s="2"/>
      <c r="G255" s="2"/>
      <c r="H255" s="2"/>
      <c r="J255" s="93"/>
      <c r="L255" s="191"/>
      <c r="M255" s="191"/>
      <c r="N255" s="191"/>
      <c r="O255" s="191"/>
      <c r="P255" s="191"/>
      <c r="Q255" s="191"/>
      <c r="R255" s="191"/>
      <c r="S255" s="191"/>
    </row>
    <row r="256" spans="1:19" ht="16.5" thickBot="1">
      <c r="A256" s="5"/>
      <c r="B256" s="2" t="s">
        <v>117</v>
      </c>
      <c r="C256" s="4"/>
      <c r="D256" s="4" t="s">
        <v>118</v>
      </c>
      <c r="E256" s="4" t="s">
        <v>119</v>
      </c>
      <c r="F256" s="4"/>
      <c r="G256" s="94" t="s">
        <v>2</v>
      </c>
      <c r="H256" s="95"/>
      <c r="I256" s="16" t="s">
        <v>164</v>
      </c>
      <c r="J256" s="96"/>
      <c r="L256" s="191"/>
      <c r="M256" s="191"/>
      <c r="N256" s="191"/>
      <c r="O256" s="191"/>
      <c r="P256" s="191"/>
      <c r="Q256" s="191"/>
      <c r="R256" s="191"/>
      <c r="S256" s="191"/>
    </row>
    <row r="257" spans="1:19">
      <c r="A257" s="5">
        <v>31</v>
      </c>
      <c r="B257" s="1" t="s">
        <v>154</v>
      </c>
      <c r="C257" s="4"/>
      <c r="D257" s="4"/>
      <c r="F257" s="4"/>
      <c r="H257" s="95"/>
      <c r="I257" s="97">
        <v>0</v>
      </c>
      <c r="J257" s="98"/>
      <c r="L257" s="191"/>
      <c r="M257" s="193" t="s">
        <v>343</v>
      </c>
      <c r="N257" s="191"/>
      <c r="O257" s="191"/>
      <c r="P257" s="191"/>
      <c r="Q257" s="191"/>
      <c r="R257" s="191"/>
      <c r="S257" s="191"/>
    </row>
    <row r="258" spans="1:19" ht="16.5" thickBot="1">
      <c r="A258" s="5">
        <v>32</v>
      </c>
      <c r="B258" s="52" t="s">
        <v>190</v>
      </c>
      <c r="C258" s="99"/>
      <c r="D258" s="127"/>
      <c r="E258" s="119"/>
      <c r="F258" s="119"/>
      <c r="G258" s="119"/>
      <c r="H258" s="4"/>
      <c r="I258" s="100">
        <v>0</v>
      </c>
      <c r="J258" s="101"/>
      <c r="L258" s="191"/>
      <c r="M258" s="193" t="s">
        <v>343</v>
      </c>
      <c r="N258" s="191"/>
      <c r="O258" s="191"/>
      <c r="P258" s="191"/>
      <c r="Q258" s="191"/>
      <c r="R258" s="191"/>
      <c r="S258" s="191"/>
    </row>
    <row r="259" spans="1:19">
      <c r="A259" s="5">
        <v>33</v>
      </c>
      <c r="B259" s="1" t="s">
        <v>120</v>
      </c>
      <c r="C259" s="9"/>
      <c r="E259" s="4"/>
      <c r="F259" s="4"/>
      <c r="G259" s="4"/>
      <c r="H259" s="4"/>
      <c r="I259" s="102">
        <f>+I257-I258</f>
        <v>0</v>
      </c>
      <c r="J259" s="98"/>
      <c r="L259" s="191"/>
      <c r="M259" s="191"/>
      <c r="N259" s="191"/>
      <c r="O259" s="191"/>
      <c r="P259" s="191"/>
      <c r="Q259" s="191"/>
      <c r="R259" s="191"/>
      <c r="S259" s="191"/>
    </row>
    <row r="260" spans="1:19" ht="9" customHeight="1">
      <c r="A260" s="5"/>
      <c r="B260" s="1" t="s">
        <v>2</v>
      </c>
      <c r="C260" s="9"/>
      <c r="E260" s="4"/>
      <c r="F260" s="4"/>
      <c r="G260" s="36"/>
      <c r="H260" s="4"/>
      <c r="I260" s="103" t="s">
        <v>2</v>
      </c>
      <c r="J260" s="96"/>
      <c r="K260" s="104"/>
      <c r="L260" s="191"/>
      <c r="M260" s="191"/>
      <c r="N260" s="191"/>
      <c r="O260" s="191"/>
      <c r="P260" s="191"/>
      <c r="Q260" s="191"/>
      <c r="R260" s="191"/>
      <c r="S260" s="191"/>
    </row>
    <row r="261" spans="1:19">
      <c r="A261" s="5">
        <v>34</v>
      </c>
      <c r="B261" s="2" t="s">
        <v>374</v>
      </c>
      <c r="C261" s="9"/>
      <c r="E261" s="4"/>
      <c r="F261" s="4"/>
      <c r="G261" s="105"/>
      <c r="H261" s="4"/>
      <c r="I261" s="106">
        <v>5345754</v>
      </c>
      <c r="J261" s="96"/>
      <c r="K261" s="104"/>
      <c r="L261" s="191"/>
      <c r="M261" s="191"/>
      <c r="N261" s="191"/>
      <c r="O261" s="191"/>
      <c r="P261" s="191"/>
      <c r="Q261" s="191"/>
      <c r="R261" s="191"/>
      <c r="S261" s="191"/>
    </row>
    <row r="262" spans="1:19" ht="9" customHeight="1">
      <c r="A262" s="5"/>
      <c r="C262" s="4"/>
      <c r="D262" s="4"/>
      <c r="E262" s="4"/>
      <c r="F262" s="4"/>
      <c r="G262" s="4"/>
      <c r="H262" s="4"/>
      <c r="I262" s="103"/>
      <c r="J262" s="96"/>
      <c r="K262" s="104"/>
      <c r="L262" s="191"/>
      <c r="M262" s="191"/>
      <c r="N262" s="191"/>
      <c r="O262" s="191"/>
      <c r="P262" s="191"/>
      <c r="Q262" s="191"/>
      <c r="R262" s="191"/>
      <c r="S262" s="191"/>
    </row>
    <row r="263" spans="1:19">
      <c r="B263" s="2" t="s">
        <v>272</v>
      </c>
      <c r="C263" s="4"/>
      <c r="D263" s="4" t="s">
        <v>211</v>
      </c>
      <c r="E263" s="4"/>
      <c r="F263" s="4"/>
      <c r="G263" s="4"/>
      <c r="H263" s="4"/>
      <c r="K263" s="107"/>
      <c r="L263" s="191"/>
      <c r="M263" s="191"/>
      <c r="N263" s="191"/>
      <c r="O263" s="191"/>
      <c r="P263" s="191"/>
      <c r="Q263" s="191"/>
      <c r="R263" s="191"/>
      <c r="S263" s="191"/>
    </row>
    <row r="264" spans="1:19">
      <c r="A264" s="5">
        <v>35</v>
      </c>
      <c r="B264" s="2" t="s">
        <v>121</v>
      </c>
      <c r="C264" s="14"/>
      <c r="D264" s="14"/>
      <c r="E264" s="14"/>
      <c r="F264" s="14"/>
      <c r="G264" s="14"/>
      <c r="H264" s="14"/>
      <c r="I264" s="108">
        <v>6005223</v>
      </c>
      <c r="J264" s="109"/>
      <c r="L264" s="191"/>
      <c r="M264" s="191" t="s">
        <v>344</v>
      </c>
      <c r="N264" s="191">
        <v>6005223</v>
      </c>
      <c r="O264" s="193" t="s">
        <v>345</v>
      </c>
      <c r="P264" s="191"/>
      <c r="Q264" s="191"/>
      <c r="R264" s="191"/>
      <c r="S264" s="191"/>
    </row>
    <row r="265" spans="1:19">
      <c r="A265" s="5">
        <v>36</v>
      </c>
      <c r="B265" s="120" t="s">
        <v>189</v>
      </c>
      <c r="C265" s="119"/>
      <c r="D265" s="119"/>
      <c r="E265" s="119"/>
      <c r="F265" s="119"/>
      <c r="G265" s="119"/>
      <c r="H265" s="4"/>
      <c r="I265" s="108">
        <v>0</v>
      </c>
      <c r="L265" s="191"/>
      <c r="M265" s="191" t="s">
        <v>344</v>
      </c>
      <c r="N265" s="191">
        <v>5973780</v>
      </c>
      <c r="O265" s="193" t="s">
        <v>373</v>
      </c>
      <c r="P265" s="191"/>
      <c r="Q265" s="191"/>
      <c r="R265" s="191"/>
      <c r="S265" s="191"/>
    </row>
    <row r="266" spans="1:19">
      <c r="A266" s="115" t="s">
        <v>236</v>
      </c>
      <c r="B266" s="170" t="s">
        <v>333</v>
      </c>
      <c r="C266" s="171"/>
      <c r="D266" s="119"/>
      <c r="E266" s="119"/>
      <c r="F266" s="119"/>
      <c r="G266" s="119"/>
      <c r="H266" s="4"/>
      <c r="I266" s="108">
        <v>0</v>
      </c>
      <c r="K266" s="110"/>
      <c r="L266" s="191"/>
      <c r="M266" s="191"/>
      <c r="N266" s="191"/>
      <c r="O266" s="191"/>
      <c r="P266" s="191"/>
      <c r="Q266" s="191"/>
      <c r="R266" s="191"/>
      <c r="S266" s="191"/>
    </row>
    <row r="267" spans="1:19" ht="16.5" thickBot="1">
      <c r="A267" s="115" t="s">
        <v>313</v>
      </c>
      <c r="B267" s="172" t="s">
        <v>334</v>
      </c>
      <c r="C267" s="70"/>
      <c r="D267" s="119"/>
      <c r="E267" s="119"/>
      <c r="F267" s="119"/>
      <c r="G267" s="119"/>
      <c r="H267" s="4"/>
      <c r="I267" s="134">
        <v>0</v>
      </c>
      <c r="K267" s="110"/>
      <c r="L267" s="191"/>
      <c r="M267" s="191"/>
      <c r="N267" s="191"/>
      <c r="O267" s="191"/>
      <c r="P267" s="191"/>
      <c r="Q267" s="191"/>
      <c r="R267" s="191"/>
      <c r="S267" s="191"/>
    </row>
    <row r="268" spans="1:19">
      <c r="A268" s="5">
        <v>37</v>
      </c>
      <c r="B268" s="111" t="s">
        <v>314</v>
      </c>
      <c r="C268" s="5"/>
      <c r="D268" s="14"/>
      <c r="E268" s="14"/>
      <c r="F268" s="14"/>
      <c r="G268" s="14"/>
      <c r="H268" s="4"/>
      <c r="I268" s="112">
        <f>+I264-I265-I266-I267</f>
        <v>6005223</v>
      </c>
      <c r="J268" s="109"/>
      <c r="K268" s="113"/>
      <c r="L268" s="191"/>
      <c r="M268" s="191"/>
      <c r="N268" s="191"/>
      <c r="O268" s="191"/>
      <c r="P268" s="191"/>
      <c r="Q268" s="191"/>
      <c r="R268" s="191"/>
      <c r="S268" s="191"/>
    </row>
    <row r="269" spans="1:19">
      <c r="A269" s="5"/>
      <c r="B269" s="111"/>
      <c r="C269" s="5"/>
      <c r="D269" s="14"/>
      <c r="E269" s="14"/>
      <c r="F269" s="14"/>
      <c r="G269" s="14"/>
      <c r="H269" s="4"/>
      <c r="I269" s="112"/>
      <c r="J269" s="109"/>
      <c r="K269" s="113"/>
    </row>
    <row r="270" spans="1:19">
      <c r="B270" s="2"/>
      <c r="C270" s="2"/>
      <c r="D270" s="3"/>
      <c r="E270" s="2"/>
      <c r="F270" s="2"/>
      <c r="G270" s="2"/>
      <c r="H270" s="4"/>
      <c r="I270" s="4"/>
      <c r="J270" s="196" t="s">
        <v>205</v>
      </c>
      <c r="K270" s="196"/>
    </row>
    <row r="271" spans="1:19">
      <c r="B271" s="2"/>
      <c r="C271" s="2"/>
      <c r="D271" s="3"/>
      <c r="E271" s="2"/>
      <c r="F271" s="2"/>
      <c r="G271" s="2"/>
      <c r="H271" s="4"/>
      <c r="I271" s="4"/>
      <c r="J271" s="9"/>
      <c r="K271" s="37"/>
    </row>
    <row r="272" spans="1:19">
      <c r="B272" s="2" t="s">
        <v>0</v>
      </c>
      <c r="C272" s="2"/>
      <c r="D272" s="3" t="s">
        <v>1</v>
      </c>
      <c r="E272" s="2"/>
      <c r="F272" s="2"/>
      <c r="G272" s="2"/>
      <c r="H272" s="4"/>
      <c r="I272" s="4"/>
      <c r="J272" s="9"/>
      <c r="K272" s="37" t="str">
        <f>K4</f>
        <v>For the 12 months ended 12/31/2013</v>
      </c>
    </row>
    <row r="273" spans="1:11">
      <c r="B273" s="2"/>
      <c r="C273" s="14" t="s">
        <v>2</v>
      </c>
      <c r="D273" s="14" t="s">
        <v>3</v>
      </c>
      <c r="E273" s="14"/>
      <c r="F273" s="14"/>
      <c r="G273" s="14"/>
      <c r="H273" s="4"/>
      <c r="I273" s="4"/>
      <c r="J273" s="9"/>
      <c r="K273" s="12"/>
    </row>
    <row r="274" spans="1:11">
      <c r="A274" s="5"/>
      <c r="B274" s="111"/>
      <c r="C274" s="5"/>
      <c r="D274" s="14"/>
      <c r="E274" s="14"/>
      <c r="F274" s="14"/>
      <c r="G274" s="14"/>
      <c r="H274" s="4"/>
      <c r="I274" s="114"/>
      <c r="J274" s="96"/>
      <c r="K274" s="113"/>
    </row>
    <row r="275" spans="1:11">
      <c r="A275" s="5"/>
      <c r="B275" s="111"/>
      <c r="C275" s="14" t="str">
        <f>C7</f>
        <v>INDIANAPOLIS POWER &amp; LIGHT COMPANY</v>
      </c>
      <c r="E275" s="14"/>
      <c r="F275" s="14"/>
      <c r="G275" s="14"/>
      <c r="H275" s="4"/>
      <c r="I275" s="114"/>
      <c r="J275" s="96"/>
      <c r="K275" s="113"/>
    </row>
    <row r="276" spans="1:11">
      <c r="A276" s="5"/>
      <c r="B276" s="111"/>
      <c r="C276" s="5"/>
      <c r="D276" s="14"/>
      <c r="E276" s="14"/>
      <c r="F276" s="14"/>
      <c r="G276" s="14"/>
      <c r="H276" s="4"/>
      <c r="I276" s="114"/>
      <c r="J276" s="96"/>
      <c r="K276" s="113"/>
    </row>
    <row r="277" spans="1:11">
      <c r="A277" s="5"/>
      <c r="B277" s="2" t="s">
        <v>244</v>
      </c>
      <c r="C277" s="5"/>
      <c r="D277" s="14"/>
      <c r="E277" s="14"/>
      <c r="F277" s="14"/>
      <c r="G277" s="14"/>
      <c r="H277" s="4"/>
      <c r="I277" s="14"/>
      <c r="J277" s="4"/>
      <c r="K277" s="18"/>
    </row>
    <row r="278" spans="1:11">
      <c r="A278" s="5"/>
      <c r="B278" s="122" t="s">
        <v>243</v>
      </c>
      <c r="C278" s="5"/>
      <c r="D278" s="14"/>
      <c r="E278" s="14"/>
      <c r="F278" s="14"/>
      <c r="G278" s="14"/>
      <c r="H278" s="4"/>
      <c r="I278" s="14"/>
      <c r="J278" s="4"/>
      <c r="K278" s="18"/>
    </row>
    <row r="279" spans="1:11">
      <c r="A279" s="5" t="s">
        <v>122</v>
      </c>
      <c r="B279" s="2"/>
      <c r="C279" s="4"/>
      <c r="D279" s="14"/>
      <c r="E279" s="14"/>
      <c r="F279" s="14"/>
      <c r="G279" s="14"/>
      <c r="H279" s="4"/>
      <c r="I279" s="14"/>
      <c r="J279" s="4"/>
      <c r="K279" s="18"/>
    </row>
    <row r="280" spans="1:11" ht="16.5" thickBot="1">
      <c r="A280" s="16" t="s">
        <v>123</v>
      </c>
      <c r="B280" s="2"/>
      <c r="C280" s="4"/>
      <c r="D280" s="14"/>
      <c r="E280" s="14"/>
      <c r="F280" s="14"/>
      <c r="G280" s="14"/>
      <c r="H280" s="4"/>
      <c r="I280" s="14"/>
      <c r="J280" s="4"/>
      <c r="K280" s="18"/>
    </row>
    <row r="281" spans="1:11">
      <c r="A281" s="128" t="s">
        <v>124</v>
      </c>
      <c r="B281" s="195" t="s">
        <v>308</v>
      </c>
      <c r="C281" s="195"/>
      <c r="D281" s="195"/>
      <c r="E281" s="195"/>
      <c r="F281" s="195"/>
      <c r="G281" s="195"/>
      <c r="H281" s="195"/>
      <c r="I281" s="195"/>
      <c r="J281" s="195"/>
      <c r="K281" s="195"/>
    </row>
    <row r="282" spans="1:11">
      <c r="A282" s="128" t="s">
        <v>125</v>
      </c>
      <c r="B282" s="195" t="s">
        <v>329</v>
      </c>
      <c r="C282" s="195"/>
      <c r="D282" s="195"/>
      <c r="E282" s="195"/>
      <c r="F282" s="195"/>
      <c r="G282" s="195"/>
      <c r="H282" s="195"/>
      <c r="I282" s="195"/>
      <c r="J282" s="195"/>
      <c r="K282" s="195"/>
    </row>
    <row r="283" spans="1:11">
      <c r="A283" s="128" t="s">
        <v>126</v>
      </c>
      <c r="B283" s="195" t="s">
        <v>309</v>
      </c>
      <c r="C283" s="195"/>
      <c r="D283" s="195"/>
      <c r="E283" s="195"/>
      <c r="F283" s="195"/>
      <c r="G283" s="195"/>
      <c r="H283" s="195"/>
      <c r="I283" s="195"/>
      <c r="J283" s="195"/>
      <c r="K283" s="195"/>
    </row>
    <row r="284" spans="1:11">
      <c r="A284" s="128" t="s">
        <v>127</v>
      </c>
      <c r="B284" s="195" t="s">
        <v>309</v>
      </c>
      <c r="C284" s="195"/>
      <c r="D284" s="195"/>
      <c r="E284" s="195"/>
      <c r="F284" s="195"/>
      <c r="G284" s="195"/>
      <c r="H284" s="195"/>
      <c r="I284" s="195"/>
      <c r="J284" s="195"/>
      <c r="K284" s="195"/>
    </row>
    <row r="285" spans="1:11">
      <c r="A285" s="128" t="s">
        <v>128</v>
      </c>
      <c r="B285" s="195" t="s">
        <v>196</v>
      </c>
      <c r="C285" s="195"/>
      <c r="D285" s="195"/>
      <c r="E285" s="195"/>
      <c r="F285" s="195"/>
      <c r="G285" s="195"/>
      <c r="H285" s="195"/>
      <c r="I285" s="195"/>
      <c r="J285" s="195"/>
      <c r="K285" s="195"/>
    </row>
    <row r="286" spans="1:11" ht="47.25" customHeight="1">
      <c r="A286" s="128" t="s">
        <v>129</v>
      </c>
      <c r="B286" s="195" t="s">
        <v>305</v>
      </c>
      <c r="C286" s="195"/>
      <c r="D286" s="195"/>
      <c r="E286" s="195"/>
      <c r="F286" s="195"/>
      <c r="G286" s="195"/>
      <c r="H286" s="195"/>
      <c r="I286" s="195"/>
      <c r="J286" s="195"/>
      <c r="K286" s="195"/>
    </row>
    <row r="287" spans="1:11">
      <c r="A287" s="128" t="s">
        <v>130</v>
      </c>
      <c r="B287" s="195" t="s">
        <v>131</v>
      </c>
      <c r="C287" s="195"/>
      <c r="D287" s="195"/>
      <c r="E287" s="195"/>
      <c r="F287" s="195"/>
      <c r="G287" s="195"/>
      <c r="H287" s="195"/>
      <c r="I287" s="195"/>
      <c r="J287" s="195"/>
      <c r="K287" s="195"/>
    </row>
    <row r="288" spans="1:11" ht="32.25" customHeight="1">
      <c r="A288" s="128" t="s">
        <v>132</v>
      </c>
      <c r="B288" s="195" t="s">
        <v>282</v>
      </c>
      <c r="C288" s="195"/>
      <c r="D288" s="195"/>
      <c r="E288" s="195"/>
      <c r="F288" s="195"/>
      <c r="G288" s="195"/>
      <c r="H288" s="195"/>
      <c r="I288" s="195"/>
      <c r="J288" s="195"/>
      <c r="K288" s="195"/>
    </row>
    <row r="289" spans="1:11" ht="51" customHeight="1">
      <c r="A289" s="128" t="s">
        <v>133</v>
      </c>
      <c r="B289" s="195" t="s">
        <v>283</v>
      </c>
      <c r="C289" s="195"/>
      <c r="D289" s="195"/>
      <c r="E289" s="195"/>
      <c r="F289" s="195"/>
      <c r="G289" s="195"/>
      <c r="H289" s="195"/>
      <c r="I289" s="195"/>
      <c r="J289" s="195"/>
      <c r="K289" s="195"/>
    </row>
    <row r="290" spans="1:11" ht="32.25" customHeight="1">
      <c r="A290" s="128" t="s">
        <v>134</v>
      </c>
      <c r="B290" s="195" t="s">
        <v>284</v>
      </c>
      <c r="C290" s="195"/>
      <c r="D290" s="195"/>
      <c r="E290" s="195"/>
      <c r="F290" s="195"/>
      <c r="G290" s="195"/>
      <c r="H290" s="195"/>
      <c r="I290" s="195"/>
      <c r="J290" s="195"/>
      <c r="K290" s="195"/>
    </row>
    <row r="291" spans="1:11" ht="82.5" customHeight="1">
      <c r="A291" s="128" t="s">
        <v>135</v>
      </c>
      <c r="B291" s="195" t="s">
        <v>285</v>
      </c>
      <c r="C291" s="195"/>
      <c r="D291" s="195"/>
      <c r="E291" s="195"/>
      <c r="F291" s="195"/>
      <c r="G291" s="195"/>
      <c r="H291" s="195"/>
      <c r="I291" s="195"/>
      <c r="J291" s="195"/>
      <c r="K291" s="195"/>
    </row>
    <row r="292" spans="1:11">
      <c r="A292" s="128" t="s">
        <v>2</v>
      </c>
      <c r="B292" s="133" t="s">
        <v>281</v>
      </c>
      <c r="C292" s="129" t="s">
        <v>170</v>
      </c>
      <c r="D292" s="130">
        <v>0.35</v>
      </c>
      <c r="E292" s="129"/>
      <c r="F292" s="129"/>
      <c r="G292" s="129"/>
      <c r="H292" s="129"/>
      <c r="I292" s="129"/>
      <c r="J292" s="129"/>
      <c r="K292" s="129"/>
    </row>
    <row r="293" spans="1:11">
      <c r="A293" s="128"/>
      <c r="B293" s="129"/>
      <c r="C293" s="129" t="s">
        <v>171</v>
      </c>
      <c r="D293" s="130">
        <v>7.7499999999999999E-2</v>
      </c>
      <c r="E293" s="195" t="s">
        <v>172</v>
      </c>
      <c r="F293" s="195"/>
      <c r="G293" s="195"/>
      <c r="H293" s="195"/>
      <c r="I293" s="195"/>
      <c r="J293" s="195"/>
      <c r="K293" s="195"/>
    </row>
    <row r="294" spans="1:11">
      <c r="A294" s="128"/>
      <c r="B294" s="129"/>
      <c r="C294" s="129" t="s">
        <v>173</v>
      </c>
      <c r="D294" s="130">
        <v>0</v>
      </c>
      <c r="E294" s="195" t="s">
        <v>174</v>
      </c>
      <c r="F294" s="195"/>
      <c r="G294" s="195"/>
      <c r="H294" s="195"/>
      <c r="I294" s="195"/>
      <c r="J294" s="195"/>
      <c r="K294" s="195"/>
    </row>
    <row r="295" spans="1:11">
      <c r="A295" s="128" t="s">
        <v>136</v>
      </c>
      <c r="B295" s="195" t="s">
        <v>223</v>
      </c>
      <c r="C295" s="195"/>
      <c r="D295" s="195"/>
      <c r="E295" s="195"/>
      <c r="F295" s="195"/>
      <c r="G295" s="195"/>
      <c r="H295" s="195"/>
      <c r="I295" s="195"/>
      <c r="J295" s="195"/>
      <c r="K295" s="195"/>
    </row>
    <row r="296" spans="1:11" ht="32.25" customHeight="1">
      <c r="A296" s="128" t="s">
        <v>137</v>
      </c>
      <c r="B296" s="195" t="s">
        <v>286</v>
      </c>
      <c r="C296" s="195"/>
      <c r="D296" s="195"/>
      <c r="E296" s="195"/>
      <c r="F296" s="195"/>
      <c r="G296" s="195"/>
      <c r="H296" s="195"/>
      <c r="I296" s="195"/>
      <c r="J296" s="195"/>
      <c r="K296" s="195"/>
    </row>
    <row r="297" spans="1:11" ht="48" customHeight="1">
      <c r="A297" s="128" t="s">
        <v>138</v>
      </c>
      <c r="B297" s="195" t="s">
        <v>292</v>
      </c>
      <c r="C297" s="195"/>
      <c r="D297" s="195"/>
      <c r="E297" s="195"/>
      <c r="F297" s="195"/>
      <c r="G297" s="195"/>
      <c r="H297" s="195"/>
      <c r="I297" s="195"/>
      <c r="J297" s="195"/>
      <c r="K297" s="195"/>
    </row>
    <row r="298" spans="1:11">
      <c r="A298" s="128" t="s">
        <v>139</v>
      </c>
      <c r="B298" s="195" t="s">
        <v>191</v>
      </c>
      <c r="C298" s="195"/>
      <c r="D298" s="195"/>
      <c r="E298" s="195"/>
      <c r="F298" s="195"/>
      <c r="G298" s="195"/>
      <c r="H298" s="195"/>
      <c r="I298" s="195"/>
      <c r="J298" s="195"/>
      <c r="K298" s="195"/>
    </row>
    <row r="299" spans="1:11" ht="32.25" customHeight="1">
      <c r="A299" s="128" t="s">
        <v>140</v>
      </c>
      <c r="B299" s="195" t="s">
        <v>287</v>
      </c>
      <c r="C299" s="195"/>
      <c r="D299" s="195"/>
      <c r="E299" s="195"/>
      <c r="F299" s="195"/>
      <c r="G299" s="195"/>
      <c r="H299" s="195"/>
      <c r="I299" s="195"/>
      <c r="J299" s="195"/>
      <c r="K299" s="195"/>
    </row>
    <row r="300" spans="1:11" ht="32.25" customHeight="1">
      <c r="A300" s="128" t="s">
        <v>141</v>
      </c>
      <c r="B300" s="195" t="s">
        <v>288</v>
      </c>
      <c r="C300" s="195"/>
      <c r="D300" s="195"/>
      <c r="E300" s="195"/>
      <c r="F300" s="195"/>
      <c r="G300" s="195"/>
      <c r="H300" s="195"/>
      <c r="I300" s="195"/>
      <c r="J300" s="195"/>
      <c r="K300" s="195"/>
    </row>
    <row r="301" spans="1:11">
      <c r="A301" s="128" t="s">
        <v>142</v>
      </c>
      <c r="B301" s="195" t="s">
        <v>143</v>
      </c>
      <c r="C301" s="195"/>
      <c r="D301" s="195"/>
      <c r="E301" s="195"/>
      <c r="F301" s="195"/>
      <c r="G301" s="195"/>
      <c r="H301" s="195"/>
      <c r="I301" s="195"/>
      <c r="J301" s="195"/>
      <c r="K301" s="195"/>
    </row>
    <row r="302" spans="1:11" ht="48" customHeight="1">
      <c r="A302" s="128" t="s">
        <v>197</v>
      </c>
      <c r="B302" s="195" t="s">
        <v>307</v>
      </c>
      <c r="C302" s="195"/>
      <c r="D302" s="195"/>
      <c r="E302" s="195"/>
      <c r="F302" s="195"/>
      <c r="G302" s="195"/>
      <c r="H302" s="195"/>
      <c r="I302" s="195"/>
      <c r="J302" s="195"/>
      <c r="K302" s="195"/>
    </row>
    <row r="303" spans="1:11" ht="51.75" customHeight="1">
      <c r="A303" s="131" t="s">
        <v>199</v>
      </c>
      <c r="B303" s="194" t="s">
        <v>2</v>
      </c>
      <c r="C303" s="194"/>
      <c r="D303" s="194"/>
      <c r="E303" s="194"/>
      <c r="F303" s="194"/>
      <c r="G303" s="194"/>
      <c r="H303" s="194"/>
      <c r="I303" s="194"/>
      <c r="J303" s="194"/>
      <c r="K303" s="194"/>
    </row>
    <row r="304" spans="1:11">
      <c r="A304" s="131" t="s">
        <v>212</v>
      </c>
      <c r="B304" s="194" t="s">
        <v>224</v>
      </c>
      <c r="C304" s="194"/>
      <c r="D304" s="194"/>
      <c r="E304" s="194"/>
      <c r="F304" s="194"/>
      <c r="G304" s="194"/>
      <c r="H304" s="194"/>
      <c r="I304" s="194"/>
      <c r="J304" s="194"/>
      <c r="K304" s="194"/>
    </row>
    <row r="305" spans="1:12">
      <c r="A305" s="132" t="s">
        <v>225</v>
      </c>
      <c r="B305" s="194" t="s">
        <v>323</v>
      </c>
      <c r="C305" s="194"/>
      <c r="D305" s="194"/>
      <c r="E305" s="194"/>
      <c r="F305" s="194"/>
      <c r="G305" s="194"/>
      <c r="H305" s="194"/>
      <c r="I305" s="194"/>
      <c r="J305" s="194"/>
      <c r="K305" s="194"/>
      <c r="L305" s="10"/>
    </row>
    <row r="306" spans="1:12" s="10" customFormat="1">
      <c r="A306" s="132" t="s">
        <v>237</v>
      </c>
      <c r="B306" s="194" t="s">
        <v>330</v>
      </c>
      <c r="C306" s="194"/>
      <c r="D306" s="194"/>
      <c r="E306" s="194"/>
      <c r="F306" s="194"/>
      <c r="G306" s="194"/>
      <c r="H306" s="194"/>
      <c r="I306" s="194"/>
      <c r="J306" s="194"/>
      <c r="K306" s="194"/>
      <c r="L306" s="1"/>
    </row>
    <row r="307" spans="1:12" ht="32.25" customHeight="1">
      <c r="A307" s="132" t="s">
        <v>238</v>
      </c>
      <c r="B307" s="194" t="s">
        <v>335</v>
      </c>
      <c r="C307" s="194"/>
      <c r="D307" s="194"/>
      <c r="E307" s="194"/>
      <c r="F307" s="194"/>
      <c r="G307" s="194"/>
      <c r="H307" s="194"/>
      <c r="I307" s="194"/>
      <c r="J307" s="194"/>
      <c r="K307" s="194"/>
    </row>
    <row r="308" spans="1:12">
      <c r="A308" s="132" t="s">
        <v>315</v>
      </c>
      <c r="B308" s="194" t="s">
        <v>331</v>
      </c>
      <c r="C308" s="194"/>
      <c r="D308" s="194"/>
      <c r="E308" s="194"/>
      <c r="F308" s="194"/>
      <c r="G308" s="194"/>
      <c r="H308" s="194"/>
      <c r="I308" s="194"/>
      <c r="J308" s="194"/>
      <c r="K308" s="194"/>
    </row>
    <row r="309" spans="1:12" ht="37.5" customHeight="1">
      <c r="A309" s="132" t="s">
        <v>316</v>
      </c>
      <c r="B309" s="194" t="s">
        <v>336</v>
      </c>
      <c r="C309" s="194"/>
      <c r="D309" s="194"/>
      <c r="E309" s="194"/>
      <c r="F309" s="194"/>
      <c r="G309" s="194"/>
      <c r="H309" s="194"/>
      <c r="I309" s="194"/>
      <c r="J309" s="194"/>
      <c r="K309" s="194"/>
    </row>
    <row r="310" spans="1:12">
      <c r="A310" s="32" t="s">
        <v>324</v>
      </c>
      <c r="B310" s="168" t="s">
        <v>325</v>
      </c>
      <c r="C310" s="9"/>
      <c r="D310" s="9"/>
      <c r="E310" s="9"/>
      <c r="F310" s="9"/>
      <c r="G310" s="9"/>
      <c r="H310" s="9"/>
      <c r="I310" s="12"/>
      <c r="J310" s="12"/>
      <c r="K310" s="12"/>
    </row>
    <row r="311" spans="1:12">
      <c r="A311" s="32" t="s">
        <v>327</v>
      </c>
      <c r="B311" s="169" t="s">
        <v>326</v>
      </c>
      <c r="C311" s="9"/>
      <c r="D311" s="9"/>
      <c r="E311" s="9"/>
      <c r="F311" s="9"/>
      <c r="G311" s="9"/>
      <c r="H311" s="9"/>
      <c r="I311" s="12"/>
      <c r="J311" s="12"/>
      <c r="K311" s="12"/>
    </row>
    <row r="312" spans="1:12">
      <c r="A312" s="32"/>
      <c r="B312" s="12"/>
      <c r="C312" s="9"/>
      <c r="D312" s="9"/>
      <c r="E312" s="9"/>
      <c r="F312" s="9"/>
      <c r="G312" s="9"/>
      <c r="H312" s="9"/>
      <c r="I312" s="12"/>
      <c r="J312" s="12"/>
      <c r="K312" s="12"/>
    </row>
  </sheetData>
  <mergeCells count="36">
    <mergeCell ref="J270:K270"/>
    <mergeCell ref="J133:K133"/>
    <mergeCell ref="J66:K66"/>
    <mergeCell ref="N214:S214"/>
    <mergeCell ref="B193:C193"/>
    <mergeCell ref="H200:K200"/>
    <mergeCell ref="J199:K199"/>
    <mergeCell ref="B189:C189"/>
    <mergeCell ref="B291:K291"/>
    <mergeCell ref="E293:K293"/>
    <mergeCell ref="B295:K295"/>
    <mergeCell ref="B306:K306"/>
    <mergeCell ref="B305:K305"/>
    <mergeCell ref="B304:K304"/>
    <mergeCell ref="B296:K296"/>
    <mergeCell ref="B290:K290"/>
    <mergeCell ref="B289:K289"/>
    <mergeCell ref="B288:K288"/>
    <mergeCell ref="B287:K287"/>
    <mergeCell ref="B286:K286"/>
    <mergeCell ref="B308:K308"/>
    <mergeCell ref="B309:K309"/>
    <mergeCell ref="B281:K281"/>
    <mergeCell ref="B302:K302"/>
    <mergeCell ref="B301:K301"/>
    <mergeCell ref="B300:K300"/>
    <mergeCell ref="B299:K299"/>
    <mergeCell ref="B298:K298"/>
    <mergeCell ref="B297:K297"/>
    <mergeCell ref="E294:K294"/>
    <mergeCell ref="B285:K285"/>
    <mergeCell ref="B303:K303"/>
    <mergeCell ref="B284:K284"/>
    <mergeCell ref="B307:K307"/>
    <mergeCell ref="B282:K282"/>
    <mergeCell ref="B283:K283"/>
  </mergeCells>
  <phoneticPr fontId="0" type="noConversion"/>
  <pageMargins left="0.5" right="0.5" top="0.75" bottom="0.75" header="0.5" footer="0.5"/>
  <pageSetup scale="60" fitToHeight="6" orientation="portrait" horizontalDpi="300" verticalDpi="300" r:id="rId1"/>
  <headerFooter alignWithMargins="0"/>
  <rowBreaks count="4" manualBreakCount="4">
    <brk id="65" max="10" man="1"/>
    <brk id="125" max="10" man="1"/>
    <brk id="198" max="10" man="1"/>
    <brk id="269" max="10" man="1"/>
  </rowBreaks>
  <colBreaks count="1" manualBreakCount="1">
    <brk id="11" max="31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view="pageLayout" zoomScaleNormal="100" workbookViewId="0">
      <selection activeCell="E10" sqref="E10"/>
    </sheetView>
  </sheetViews>
  <sheetFormatPr defaultRowHeight="15"/>
  <cols>
    <col min="1" max="1" width="7.21875" style="177" bestFit="1" customWidth="1"/>
    <col min="2" max="2" width="7.6640625" style="177" bestFit="1" customWidth="1"/>
    <col min="3" max="3" width="20.5546875" style="177" bestFit="1" customWidth="1"/>
    <col min="4" max="4" width="10.77734375" style="177" customWidth="1"/>
    <col min="5" max="6" width="17.77734375" style="177" customWidth="1"/>
    <col min="7" max="7" width="10.77734375" style="178" customWidth="1"/>
    <col min="8" max="255" width="8.88671875" style="178"/>
    <col min="256" max="256" width="7.21875" style="178" bestFit="1" customWidth="1"/>
    <col min="257" max="257" width="7.6640625" style="178" bestFit="1" customWidth="1"/>
    <col min="258" max="258" width="20.5546875" style="178" bestFit="1" customWidth="1"/>
    <col min="259" max="259" width="10.77734375" style="178" customWidth="1"/>
    <col min="260" max="261" width="17.77734375" style="178" customWidth="1"/>
    <col min="262" max="262" width="10.77734375" style="178" customWidth="1"/>
    <col min="263" max="511" width="8.88671875" style="178"/>
    <col min="512" max="512" width="7.21875" style="178" bestFit="1" customWidth="1"/>
    <col min="513" max="513" width="7.6640625" style="178" bestFit="1" customWidth="1"/>
    <col min="514" max="514" width="20.5546875" style="178" bestFit="1" customWidth="1"/>
    <col min="515" max="515" width="10.77734375" style="178" customWidth="1"/>
    <col min="516" max="517" width="17.77734375" style="178" customWidth="1"/>
    <col min="518" max="518" width="10.77734375" style="178" customWidth="1"/>
    <col min="519" max="767" width="8.88671875" style="178"/>
    <col min="768" max="768" width="7.21875" style="178" bestFit="1" customWidth="1"/>
    <col min="769" max="769" width="7.6640625" style="178" bestFit="1" customWidth="1"/>
    <col min="770" max="770" width="20.5546875" style="178" bestFit="1" customWidth="1"/>
    <col min="771" max="771" width="10.77734375" style="178" customWidth="1"/>
    <col min="772" max="773" width="17.77734375" style="178" customWidth="1"/>
    <col min="774" max="774" width="10.77734375" style="178" customWidth="1"/>
    <col min="775" max="1023" width="8.88671875" style="178"/>
    <col min="1024" max="1024" width="7.21875" style="178" bestFit="1" customWidth="1"/>
    <col min="1025" max="1025" width="7.6640625" style="178" bestFit="1" customWidth="1"/>
    <col min="1026" max="1026" width="20.5546875" style="178" bestFit="1" customWidth="1"/>
    <col min="1027" max="1027" width="10.77734375" style="178" customWidth="1"/>
    <col min="1028" max="1029" width="17.77734375" style="178" customWidth="1"/>
    <col min="1030" max="1030" width="10.77734375" style="178" customWidth="1"/>
    <col min="1031" max="1279" width="8.88671875" style="178"/>
    <col min="1280" max="1280" width="7.21875" style="178" bestFit="1" customWidth="1"/>
    <col min="1281" max="1281" width="7.6640625" style="178" bestFit="1" customWidth="1"/>
    <col min="1282" max="1282" width="20.5546875" style="178" bestFit="1" customWidth="1"/>
    <col min="1283" max="1283" width="10.77734375" style="178" customWidth="1"/>
    <col min="1284" max="1285" width="17.77734375" style="178" customWidth="1"/>
    <col min="1286" max="1286" width="10.77734375" style="178" customWidth="1"/>
    <col min="1287" max="1535" width="8.88671875" style="178"/>
    <col min="1536" max="1536" width="7.21875" style="178" bestFit="1" customWidth="1"/>
    <col min="1537" max="1537" width="7.6640625" style="178" bestFit="1" customWidth="1"/>
    <col min="1538" max="1538" width="20.5546875" style="178" bestFit="1" customWidth="1"/>
    <col min="1539" max="1539" width="10.77734375" style="178" customWidth="1"/>
    <col min="1540" max="1541" width="17.77734375" style="178" customWidth="1"/>
    <col min="1542" max="1542" width="10.77734375" style="178" customWidth="1"/>
    <col min="1543" max="1791" width="8.88671875" style="178"/>
    <col min="1792" max="1792" width="7.21875" style="178" bestFit="1" customWidth="1"/>
    <col min="1793" max="1793" width="7.6640625" style="178" bestFit="1" customWidth="1"/>
    <col min="1794" max="1794" width="20.5546875" style="178" bestFit="1" customWidth="1"/>
    <col min="1795" max="1795" width="10.77734375" style="178" customWidth="1"/>
    <col min="1796" max="1797" width="17.77734375" style="178" customWidth="1"/>
    <col min="1798" max="1798" width="10.77734375" style="178" customWidth="1"/>
    <col min="1799" max="2047" width="8.88671875" style="178"/>
    <col min="2048" max="2048" width="7.21875" style="178" bestFit="1" customWidth="1"/>
    <col min="2049" max="2049" width="7.6640625" style="178" bestFit="1" customWidth="1"/>
    <col min="2050" max="2050" width="20.5546875" style="178" bestFit="1" customWidth="1"/>
    <col min="2051" max="2051" width="10.77734375" style="178" customWidth="1"/>
    <col min="2052" max="2053" width="17.77734375" style="178" customWidth="1"/>
    <col min="2054" max="2054" width="10.77734375" style="178" customWidth="1"/>
    <col min="2055" max="2303" width="8.88671875" style="178"/>
    <col min="2304" max="2304" width="7.21875" style="178" bestFit="1" customWidth="1"/>
    <col min="2305" max="2305" width="7.6640625" style="178" bestFit="1" customWidth="1"/>
    <col min="2306" max="2306" width="20.5546875" style="178" bestFit="1" customWidth="1"/>
    <col min="2307" max="2307" width="10.77734375" style="178" customWidth="1"/>
    <col min="2308" max="2309" width="17.77734375" style="178" customWidth="1"/>
    <col min="2310" max="2310" width="10.77734375" style="178" customWidth="1"/>
    <col min="2311" max="2559" width="8.88671875" style="178"/>
    <col min="2560" max="2560" width="7.21875" style="178" bestFit="1" customWidth="1"/>
    <col min="2561" max="2561" width="7.6640625" style="178" bestFit="1" customWidth="1"/>
    <col min="2562" max="2562" width="20.5546875" style="178" bestFit="1" customWidth="1"/>
    <col min="2563" max="2563" width="10.77734375" style="178" customWidth="1"/>
    <col min="2564" max="2565" width="17.77734375" style="178" customWidth="1"/>
    <col min="2566" max="2566" width="10.77734375" style="178" customWidth="1"/>
    <col min="2567" max="2815" width="8.88671875" style="178"/>
    <col min="2816" max="2816" width="7.21875" style="178" bestFit="1" customWidth="1"/>
    <col min="2817" max="2817" width="7.6640625" style="178" bestFit="1" customWidth="1"/>
    <col min="2818" max="2818" width="20.5546875" style="178" bestFit="1" customWidth="1"/>
    <col min="2819" max="2819" width="10.77734375" style="178" customWidth="1"/>
    <col min="2820" max="2821" width="17.77734375" style="178" customWidth="1"/>
    <col min="2822" max="2822" width="10.77734375" style="178" customWidth="1"/>
    <col min="2823" max="3071" width="8.88671875" style="178"/>
    <col min="3072" max="3072" width="7.21875" style="178" bestFit="1" customWidth="1"/>
    <col min="3073" max="3073" width="7.6640625" style="178" bestFit="1" customWidth="1"/>
    <col min="3074" max="3074" width="20.5546875" style="178" bestFit="1" customWidth="1"/>
    <col min="3075" max="3075" width="10.77734375" style="178" customWidth="1"/>
    <col min="3076" max="3077" width="17.77734375" style="178" customWidth="1"/>
    <col min="3078" max="3078" width="10.77734375" style="178" customWidth="1"/>
    <col min="3079" max="3327" width="8.88671875" style="178"/>
    <col min="3328" max="3328" width="7.21875" style="178" bestFit="1" customWidth="1"/>
    <col min="3329" max="3329" width="7.6640625" style="178" bestFit="1" customWidth="1"/>
    <col min="3330" max="3330" width="20.5546875" style="178" bestFit="1" customWidth="1"/>
    <col min="3331" max="3331" width="10.77734375" style="178" customWidth="1"/>
    <col min="3332" max="3333" width="17.77734375" style="178" customWidth="1"/>
    <col min="3334" max="3334" width="10.77734375" style="178" customWidth="1"/>
    <col min="3335" max="3583" width="8.88671875" style="178"/>
    <col min="3584" max="3584" width="7.21875" style="178" bestFit="1" customWidth="1"/>
    <col min="3585" max="3585" width="7.6640625" style="178" bestFit="1" customWidth="1"/>
    <col min="3586" max="3586" width="20.5546875" style="178" bestFit="1" customWidth="1"/>
    <col min="3587" max="3587" width="10.77734375" style="178" customWidth="1"/>
    <col min="3588" max="3589" width="17.77734375" style="178" customWidth="1"/>
    <col min="3590" max="3590" width="10.77734375" style="178" customWidth="1"/>
    <col min="3591" max="3839" width="8.88671875" style="178"/>
    <col min="3840" max="3840" width="7.21875" style="178" bestFit="1" customWidth="1"/>
    <col min="3841" max="3841" width="7.6640625" style="178" bestFit="1" customWidth="1"/>
    <col min="3842" max="3842" width="20.5546875" style="178" bestFit="1" customWidth="1"/>
    <col min="3843" max="3843" width="10.77734375" style="178" customWidth="1"/>
    <col min="3844" max="3845" width="17.77734375" style="178" customWidth="1"/>
    <col min="3846" max="3846" width="10.77734375" style="178" customWidth="1"/>
    <col min="3847" max="4095" width="8.88671875" style="178"/>
    <col min="4096" max="4096" width="7.21875" style="178" bestFit="1" customWidth="1"/>
    <col min="4097" max="4097" width="7.6640625" style="178" bestFit="1" customWidth="1"/>
    <col min="4098" max="4098" width="20.5546875" style="178" bestFit="1" customWidth="1"/>
    <col min="4099" max="4099" width="10.77734375" style="178" customWidth="1"/>
    <col min="4100" max="4101" width="17.77734375" style="178" customWidth="1"/>
    <col min="4102" max="4102" width="10.77734375" style="178" customWidth="1"/>
    <col min="4103" max="4351" width="8.88671875" style="178"/>
    <col min="4352" max="4352" width="7.21875" style="178" bestFit="1" customWidth="1"/>
    <col min="4353" max="4353" width="7.6640625" style="178" bestFit="1" customWidth="1"/>
    <col min="4354" max="4354" width="20.5546875" style="178" bestFit="1" customWidth="1"/>
    <col min="4355" max="4355" width="10.77734375" style="178" customWidth="1"/>
    <col min="4356" max="4357" width="17.77734375" style="178" customWidth="1"/>
    <col min="4358" max="4358" width="10.77734375" style="178" customWidth="1"/>
    <col min="4359" max="4607" width="8.88671875" style="178"/>
    <col min="4608" max="4608" width="7.21875" style="178" bestFit="1" customWidth="1"/>
    <col min="4609" max="4609" width="7.6640625" style="178" bestFit="1" customWidth="1"/>
    <col min="4610" max="4610" width="20.5546875" style="178" bestFit="1" customWidth="1"/>
    <col min="4611" max="4611" width="10.77734375" style="178" customWidth="1"/>
    <col min="4612" max="4613" width="17.77734375" style="178" customWidth="1"/>
    <col min="4614" max="4614" width="10.77734375" style="178" customWidth="1"/>
    <col min="4615" max="4863" width="8.88671875" style="178"/>
    <col min="4864" max="4864" width="7.21875" style="178" bestFit="1" customWidth="1"/>
    <col min="4865" max="4865" width="7.6640625" style="178" bestFit="1" customWidth="1"/>
    <col min="4866" max="4866" width="20.5546875" style="178" bestFit="1" customWidth="1"/>
    <col min="4867" max="4867" width="10.77734375" style="178" customWidth="1"/>
    <col min="4868" max="4869" width="17.77734375" style="178" customWidth="1"/>
    <col min="4870" max="4870" width="10.77734375" style="178" customWidth="1"/>
    <col min="4871" max="5119" width="8.88671875" style="178"/>
    <col min="5120" max="5120" width="7.21875" style="178" bestFit="1" customWidth="1"/>
    <col min="5121" max="5121" width="7.6640625" style="178" bestFit="1" customWidth="1"/>
    <col min="5122" max="5122" width="20.5546875" style="178" bestFit="1" customWidth="1"/>
    <col min="5123" max="5123" width="10.77734375" style="178" customWidth="1"/>
    <col min="5124" max="5125" width="17.77734375" style="178" customWidth="1"/>
    <col min="5126" max="5126" width="10.77734375" style="178" customWidth="1"/>
    <col min="5127" max="5375" width="8.88671875" style="178"/>
    <col min="5376" max="5376" width="7.21875" style="178" bestFit="1" customWidth="1"/>
    <col min="5377" max="5377" width="7.6640625" style="178" bestFit="1" customWidth="1"/>
    <col min="5378" max="5378" width="20.5546875" style="178" bestFit="1" customWidth="1"/>
    <col min="5379" max="5379" width="10.77734375" style="178" customWidth="1"/>
    <col min="5380" max="5381" width="17.77734375" style="178" customWidth="1"/>
    <col min="5382" max="5382" width="10.77734375" style="178" customWidth="1"/>
    <col min="5383" max="5631" width="8.88671875" style="178"/>
    <col min="5632" max="5632" width="7.21875" style="178" bestFit="1" customWidth="1"/>
    <col min="5633" max="5633" width="7.6640625" style="178" bestFit="1" customWidth="1"/>
    <col min="5634" max="5634" width="20.5546875" style="178" bestFit="1" customWidth="1"/>
    <col min="5635" max="5635" width="10.77734375" style="178" customWidth="1"/>
    <col min="5636" max="5637" width="17.77734375" style="178" customWidth="1"/>
    <col min="5638" max="5638" width="10.77734375" style="178" customWidth="1"/>
    <col min="5639" max="5887" width="8.88671875" style="178"/>
    <col min="5888" max="5888" width="7.21875" style="178" bestFit="1" customWidth="1"/>
    <col min="5889" max="5889" width="7.6640625" style="178" bestFit="1" customWidth="1"/>
    <col min="5890" max="5890" width="20.5546875" style="178" bestFit="1" customWidth="1"/>
    <col min="5891" max="5891" width="10.77734375" style="178" customWidth="1"/>
    <col min="5892" max="5893" width="17.77734375" style="178" customWidth="1"/>
    <col min="5894" max="5894" width="10.77734375" style="178" customWidth="1"/>
    <col min="5895" max="6143" width="8.88671875" style="178"/>
    <col min="6144" max="6144" width="7.21875" style="178" bestFit="1" customWidth="1"/>
    <col min="6145" max="6145" width="7.6640625" style="178" bestFit="1" customWidth="1"/>
    <col min="6146" max="6146" width="20.5546875" style="178" bestFit="1" customWidth="1"/>
    <col min="6147" max="6147" width="10.77734375" style="178" customWidth="1"/>
    <col min="6148" max="6149" width="17.77734375" style="178" customWidth="1"/>
    <col min="6150" max="6150" width="10.77734375" style="178" customWidth="1"/>
    <col min="6151" max="6399" width="8.88671875" style="178"/>
    <col min="6400" max="6400" width="7.21875" style="178" bestFit="1" customWidth="1"/>
    <col min="6401" max="6401" width="7.6640625" style="178" bestFit="1" customWidth="1"/>
    <col min="6402" max="6402" width="20.5546875" style="178" bestFit="1" customWidth="1"/>
    <col min="6403" max="6403" width="10.77734375" style="178" customWidth="1"/>
    <col min="6404" max="6405" width="17.77734375" style="178" customWidth="1"/>
    <col min="6406" max="6406" width="10.77734375" style="178" customWidth="1"/>
    <col min="6407" max="6655" width="8.88671875" style="178"/>
    <col min="6656" max="6656" width="7.21875" style="178" bestFit="1" customWidth="1"/>
    <col min="6657" max="6657" width="7.6640625" style="178" bestFit="1" customWidth="1"/>
    <col min="6658" max="6658" width="20.5546875" style="178" bestFit="1" customWidth="1"/>
    <col min="6659" max="6659" width="10.77734375" style="178" customWidth="1"/>
    <col min="6660" max="6661" width="17.77734375" style="178" customWidth="1"/>
    <col min="6662" max="6662" width="10.77734375" style="178" customWidth="1"/>
    <col min="6663" max="6911" width="8.88671875" style="178"/>
    <col min="6912" max="6912" width="7.21875" style="178" bestFit="1" customWidth="1"/>
    <col min="6913" max="6913" width="7.6640625" style="178" bestFit="1" customWidth="1"/>
    <col min="6914" max="6914" width="20.5546875" style="178" bestFit="1" customWidth="1"/>
    <col min="6915" max="6915" width="10.77734375" style="178" customWidth="1"/>
    <col min="6916" max="6917" width="17.77734375" style="178" customWidth="1"/>
    <col min="6918" max="6918" width="10.77734375" style="178" customWidth="1"/>
    <col min="6919" max="7167" width="8.88671875" style="178"/>
    <col min="7168" max="7168" width="7.21875" style="178" bestFit="1" customWidth="1"/>
    <col min="7169" max="7169" width="7.6640625" style="178" bestFit="1" customWidth="1"/>
    <col min="7170" max="7170" width="20.5546875" style="178" bestFit="1" customWidth="1"/>
    <col min="7171" max="7171" width="10.77734375" style="178" customWidth="1"/>
    <col min="7172" max="7173" width="17.77734375" style="178" customWidth="1"/>
    <col min="7174" max="7174" width="10.77734375" style="178" customWidth="1"/>
    <col min="7175" max="7423" width="8.88671875" style="178"/>
    <col min="7424" max="7424" width="7.21875" style="178" bestFit="1" customWidth="1"/>
    <col min="7425" max="7425" width="7.6640625" style="178" bestFit="1" customWidth="1"/>
    <col min="7426" max="7426" width="20.5546875" style="178" bestFit="1" customWidth="1"/>
    <col min="7427" max="7427" width="10.77734375" style="178" customWidth="1"/>
    <col min="7428" max="7429" width="17.77734375" style="178" customWidth="1"/>
    <col min="7430" max="7430" width="10.77734375" style="178" customWidth="1"/>
    <col min="7431" max="7679" width="8.88671875" style="178"/>
    <col min="7680" max="7680" width="7.21875" style="178" bestFit="1" customWidth="1"/>
    <col min="7681" max="7681" width="7.6640625" style="178" bestFit="1" customWidth="1"/>
    <col min="7682" max="7682" width="20.5546875" style="178" bestFit="1" customWidth="1"/>
    <col min="7683" max="7683" width="10.77734375" style="178" customWidth="1"/>
    <col min="7684" max="7685" width="17.77734375" style="178" customWidth="1"/>
    <col min="7686" max="7686" width="10.77734375" style="178" customWidth="1"/>
    <col min="7687" max="7935" width="8.88671875" style="178"/>
    <col min="7936" max="7936" width="7.21875" style="178" bestFit="1" customWidth="1"/>
    <col min="7937" max="7937" width="7.6640625" style="178" bestFit="1" customWidth="1"/>
    <col min="7938" max="7938" width="20.5546875" style="178" bestFit="1" customWidth="1"/>
    <col min="7939" max="7939" width="10.77734375" style="178" customWidth="1"/>
    <col min="7940" max="7941" width="17.77734375" style="178" customWidth="1"/>
    <col min="7942" max="7942" width="10.77734375" style="178" customWidth="1"/>
    <col min="7943" max="8191" width="8.88671875" style="178"/>
    <col min="8192" max="8192" width="7.21875" style="178" bestFit="1" customWidth="1"/>
    <col min="8193" max="8193" width="7.6640625" style="178" bestFit="1" customWidth="1"/>
    <col min="8194" max="8194" width="20.5546875" style="178" bestFit="1" customWidth="1"/>
    <col min="8195" max="8195" width="10.77734375" style="178" customWidth="1"/>
    <col min="8196" max="8197" width="17.77734375" style="178" customWidth="1"/>
    <col min="8198" max="8198" width="10.77734375" style="178" customWidth="1"/>
    <col min="8199" max="8447" width="8.88671875" style="178"/>
    <col min="8448" max="8448" width="7.21875" style="178" bestFit="1" customWidth="1"/>
    <col min="8449" max="8449" width="7.6640625" style="178" bestFit="1" customWidth="1"/>
    <col min="8450" max="8450" width="20.5546875" style="178" bestFit="1" customWidth="1"/>
    <col min="8451" max="8451" width="10.77734375" style="178" customWidth="1"/>
    <col min="8452" max="8453" width="17.77734375" style="178" customWidth="1"/>
    <col min="8454" max="8454" width="10.77734375" style="178" customWidth="1"/>
    <col min="8455" max="8703" width="8.88671875" style="178"/>
    <col min="8704" max="8704" width="7.21875" style="178" bestFit="1" customWidth="1"/>
    <col min="8705" max="8705" width="7.6640625" style="178" bestFit="1" customWidth="1"/>
    <col min="8706" max="8706" width="20.5546875" style="178" bestFit="1" customWidth="1"/>
    <col min="8707" max="8707" width="10.77734375" style="178" customWidth="1"/>
    <col min="8708" max="8709" width="17.77734375" style="178" customWidth="1"/>
    <col min="8710" max="8710" width="10.77734375" style="178" customWidth="1"/>
    <col min="8711" max="8959" width="8.88671875" style="178"/>
    <col min="8960" max="8960" width="7.21875" style="178" bestFit="1" customWidth="1"/>
    <col min="8961" max="8961" width="7.6640625" style="178" bestFit="1" customWidth="1"/>
    <col min="8962" max="8962" width="20.5546875" style="178" bestFit="1" customWidth="1"/>
    <col min="8963" max="8963" width="10.77734375" style="178" customWidth="1"/>
    <col min="8964" max="8965" width="17.77734375" style="178" customWidth="1"/>
    <col min="8966" max="8966" width="10.77734375" style="178" customWidth="1"/>
    <col min="8967" max="9215" width="8.88671875" style="178"/>
    <col min="9216" max="9216" width="7.21875" style="178" bestFit="1" customWidth="1"/>
    <col min="9217" max="9217" width="7.6640625" style="178" bestFit="1" customWidth="1"/>
    <col min="9218" max="9218" width="20.5546875" style="178" bestFit="1" customWidth="1"/>
    <col min="9219" max="9219" width="10.77734375" style="178" customWidth="1"/>
    <col min="9220" max="9221" width="17.77734375" style="178" customWidth="1"/>
    <col min="9222" max="9222" width="10.77734375" style="178" customWidth="1"/>
    <col min="9223" max="9471" width="8.88671875" style="178"/>
    <col min="9472" max="9472" width="7.21875" style="178" bestFit="1" customWidth="1"/>
    <col min="9473" max="9473" width="7.6640625" style="178" bestFit="1" customWidth="1"/>
    <col min="9474" max="9474" width="20.5546875" style="178" bestFit="1" customWidth="1"/>
    <col min="9475" max="9475" width="10.77734375" style="178" customWidth="1"/>
    <col min="9476" max="9477" width="17.77734375" style="178" customWidth="1"/>
    <col min="9478" max="9478" width="10.77734375" style="178" customWidth="1"/>
    <col min="9479" max="9727" width="8.88671875" style="178"/>
    <col min="9728" max="9728" width="7.21875" style="178" bestFit="1" customWidth="1"/>
    <col min="9729" max="9729" width="7.6640625" style="178" bestFit="1" customWidth="1"/>
    <col min="9730" max="9730" width="20.5546875" style="178" bestFit="1" customWidth="1"/>
    <col min="9731" max="9731" width="10.77734375" style="178" customWidth="1"/>
    <col min="9732" max="9733" width="17.77734375" style="178" customWidth="1"/>
    <col min="9734" max="9734" width="10.77734375" style="178" customWidth="1"/>
    <col min="9735" max="9983" width="8.88671875" style="178"/>
    <col min="9984" max="9984" width="7.21875" style="178" bestFit="1" customWidth="1"/>
    <col min="9985" max="9985" width="7.6640625" style="178" bestFit="1" customWidth="1"/>
    <col min="9986" max="9986" width="20.5546875" style="178" bestFit="1" customWidth="1"/>
    <col min="9987" max="9987" width="10.77734375" style="178" customWidth="1"/>
    <col min="9988" max="9989" width="17.77734375" style="178" customWidth="1"/>
    <col min="9990" max="9990" width="10.77734375" style="178" customWidth="1"/>
    <col min="9991" max="10239" width="8.88671875" style="178"/>
    <col min="10240" max="10240" width="7.21875" style="178" bestFit="1" customWidth="1"/>
    <col min="10241" max="10241" width="7.6640625" style="178" bestFit="1" customWidth="1"/>
    <col min="10242" max="10242" width="20.5546875" style="178" bestFit="1" customWidth="1"/>
    <col min="10243" max="10243" width="10.77734375" style="178" customWidth="1"/>
    <col min="10244" max="10245" width="17.77734375" style="178" customWidth="1"/>
    <col min="10246" max="10246" width="10.77734375" style="178" customWidth="1"/>
    <col min="10247" max="10495" width="8.88671875" style="178"/>
    <col min="10496" max="10496" width="7.21875" style="178" bestFit="1" customWidth="1"/>
    <col min="10497" max="10497" width="7.6640625" style="178" bestFit="1" customWidth="1"/>
    <col min="10498" max="10498" width="20.5546875" style="178" bestFit="1" customWidth="1"/>
    <col min="10499" max="10499" width="10.77734375" style="178" customWidth="1"/>
    <col min="10500" max="10501" width="17.77734375" style="178" customWidth="1"/>
    <col min="10502" max="10502" width="10.77734375" style="178" customWidth="1"/>
    <col min="10503" max="10751" width="8.88671875" style="178"/>
    <col min="10752" max="10752" width="7.21875" style="178" bestFit="1" customWidth="1"/>
    <col min="10753" max="10753" width="7.6640625" style="178" bestFit="1" customWidth="1"/>
    <col min="10754" max="10754" width="20.5546875" style="178" bestFit="1" customWidth="1"/>
    <col min="10755" max="10755" width="10.77734375" style="178" customWidth="1"/>
    <col min="10756" max="10757" width="17.77734375" style="178" customWidth="1"/>
    <col min="10758" max="10758" width="10.77734375" style="178" customWidth="1"/>
    <col min="10759" max="11007" width="8.88671875" style="178"/>
    <col min="11008" max="11008" width="7.21875" style="178" bestFit="1" customWidth="1"/>
    <col min="11009" max="11009" width="7.6640625" style="178" bestFit="1" customWidth="1"/>
    <col min="11010" max="11010" width="20.5546875" style="178" bestFit="1" customWidth="1"/>
    <col min="11011" max="11011" width="10.77734375" style="178" customWidth="1"/>
    <col min="11012" max="11013" width="17.77734375" style="178" customWidth="1"/>
    <col min="11014" max="11014" width="10.77734375" style="178" customWidth="1"/>
    <col min="11015" max="11263" width="8.88671875" style="178"/>
    <col min="11264" max="11264" width="7.21875" style="178" bestFit="1" customWidth="1"/>
    <col min="11265" max="11265" width="7.6640625" style="178" bestFit="1" customWidth="1"/>
    <col min="11266" max="11266" width="20.5546875" style="178" bestFit="1" customWidth="1"/>
    <col min="11267" max="11267" width="10.77734375" style="178" customWidth="1"/>
    <col min="11268" max="11269" width="17.77734375" style="178" customWidth="1"/>
    <col min="11270" max="11270" width="10.77734375" style="178" customWidth="1"/>
    <col min="11271" max="11519" width="8.88671875" style="178"/>
    <col min="11520" max="11520" width="7.21875" style="178" bestFit="1" customWidth="1"/>
    <col min="11521" max="11521" width="7.6640625" style="178" bestFit="1" customWidth="1"/>
    <col min="11522" max="11522" width="20.5546875" style="178" bestFit="1" customWidth="1"/>
    <col min="11523" max="11523" width="10.77734375" style="178" customWidth="1"/>
    <col min="11524" max="11525" width="17.77734375" style="178" customWidth="1"/>
    <col min="11526" max="11526" width="10.77734375" style="178" customWidth="1"/>
    <col min="11527" max="11775" width="8.88671875" style="178"/>
    <col min="11776" max="11776" width="7.21875" style="178" bestFit="1" customWidth="1"/>
    <col min="11777" max="11777" width="7.6640625" style="178" bestFit="1" customWidth="1"/>
    <col min="11778" max="11778" width="20.5546875" style="178" bestFit="1" customWidth="1"/>
    <col min="11779" max="11779" width="10.77734375" style="178" customWidth="1"/>
    <col min="11780" max="11781" width="17.77734375" style="178" customWidth="1"/>
    <col min="11782" max="11782" width="10.77734375" style="178" customWidth="1"/>
    <col min="11783" max="12031" width="8.88671875" style="178"/>
    <col min="12032" max="12032" width="7.21875" style="178" bestFit="1" customWidth="1"/>
    <col min="12033" max="12033" width="7.6640625" style="178" bestFit="1" customWidth="1"/>
    <col min="12034" max="12034" width="20.5546875" style="178" bestFit="1" customWidth="1"/>
    <col min="12035" max="12035" width="10.77734375" style="178" customWidth="1"/>
    <col min="12036" max="12037" width="17.77734375" style="178" customWidth="1"/>
    <col min="12038" max="12038" width="10.77734375" style="178" customWidth="1"/>
    <col min="12039" max="12287" width="8.88671875" style="178"/>
    <col min="12288" max="12288" width="7.21875" style="178" bestFit="1" customWidth="1"/>
    <col min="12289" max="12289" width="7.6640625" style="178" bestFit="1" customWidth="1"/>
    <col min="12290" max="12290" width="20.5546875" style="178" bestFit="1" customWidth="1"/>
    <col min="12291" max="12291" width="10.77734375" style="178" customWidth="1"/>
    <col min="12292" max="12293" width="17.77734375" style="178" customWidth="1"/>
    <col min="12294" max="12294" width="10.77734375" style="178" customWidth="1"/>
    <col min="12295" max="12543" width="8.88671875" style="178"/>
    <col min="12544" max="12544" width="7.21875" style="178" bestFit="1" customWidth="1"/>
    <col min="12545" max="12545" width="7.6640625" style="178" bestFit="1" customWidth="1"/>
    <col min="12546" max="12546" width="20.5546875" style="178" bestFit="1" customWidth="1"/>
    <col min="12547" max="12547" width="10.77734375" style="178" customWidth="1"/>
    <col min="12548" max="12549" width="17.77734375" style="178" customWidth="1"/>
    <col min="12550" max="12550" width="10.77734375" style="178" customWidth="1"/>
    <col min="12551" max="12799" width="8.88671875" style="178"/>
    <col min="12800" max="12800" width="7.21875" style="178" bestFit="1" customWidth="1"/>
    <col min="12801" max="12801" width="7.6640625" style="178" bestFit="1" customWidth="1"/>
    <col min="12802" max="12802" width="20.5546875" style="178" bestFit="1" customWidth="1"/>
    <col min="12803" max="12803" width="10.77734375" style="178" customWidth="1"/>
    <col min="12804" max="12805" width="17.77734375" style="178" customWidth="1"/>
    <col min="12806" max="12806" width="10.77734375" style="178" customWidth="1"/>
    <col min="12807" max="13055" width="8.88671875" style="178"/>
    <col min="13056" max="13056" width="7.21875" style="178" bestFit="1" customWidth="1"/>
    <col min="13057" max="13057" width="7.6640625" style="178" bestFit="1" customWidth="1"/>
    <col min="13058" max="13058" width="20.5546875" style="178" bestFit="1" customWidth="1"/>
    <col min="13059" max="13059" width="10.77734375" style="178" customWidth="1"/>
    <col min="13060" max="13061" width="17.77734375" style="178" customWidth="1"/>
    <col min="13062" max="13062" width="10.77734375" style="178" customWidth="1"/>
    <col min="13063" max="13311" width="8.88671875" style="178"/>
    <col min="13312" max="13312" width="7.21875" style="178" bestFit="1" customWidth="1"/>
    <col min="13313" max="13313" width="7.6640625" style="178" bestFit="1" customWidth="1"/>
    <col min="13314" max="13314" width="20.5546875" style="178" bestFit="1" customWidth="1"/>
    <col min="13315" max="13315" width="10.77734375" style="178" customWidth="1"/>
    <col min="13316" max="13317" width="17.77734375" style="178" customWidth="1"/>
    <col min="13318" max="13318" width="10.77734375" style="178" customWidth="1"/>
    <col min="13319" max="13567" width="8.88671875" style="178"/>
    <col min="13568" max="13568" width="7.21875" style="178" bestFit="1" customWidth="1"/>
    <col min="13569" max="13569" width="7.6640625" style="178" bestFit="1" customWidth="1"/>
    <col min="13570" max="13570" width="20.5546875" style="178" bestFit="1" customWidth="1"/>
    <col min="13571" max="13571" width="10.77734375" style="178" customWidth="1"/>
    <col min="13572" max="13573" width="17.77734375" style="178" customWidth="1"/>
    <col min="13574" max="13574" width="10.77734375" style="178" customWidth="1"/>
    <col min="13575" max="13823" width="8.88671875" style="178"/>
    <col min="13824" max="13824" width="7.21875" style="178" bestFit="1" customWidth="1"/>
    <col min="13825" max="13825" width="7.6640625" style="178" bestFit="1" customWidth="1"/>
    <col min="13826" max="13826" width="20.5546875" style="178" bestFit="1" customWidth="1"/>
    <col min="13827" max="13827" width="10.77734375" style="178" customWidth="1"/>
    <col min="13828" max="13829" width="17.77734375" style="178" customWidth="1"/>
    <col min="13830" max="13830" width="10.77734375" style="178" customWidth="1"/>
    <col min="13831" max="14079" width="8.88671875" style="178"/>
    <col min="14080" max="14080" width="7.21875" style="178" bestFit="1" customWidth="1"/>
    <col min="14081" max="14081" width="7.6640625" style="178" bestFit="1" customWidth="1"/>
    <col min="14082" max="14082" width="20.5546875" style="178" bestFit="1" customWidth="1"/>
    <col min="14083" max="14083" width="10.77734375" style="178" customWidth="1"/>
    <col min="14084" max="14085" width="17.77734375" style="178" customWidth="1"/>
    <col min="14086" max="14086" width="10.77734375" style="178" customWidth="1"/>
    <col min="14087" max="14335" width="8.88671875" style="178"/>
    <col min="14336" max="14336" width="7.21875" style="178" bestFit="1" customWidth="1"/>
    <col min="14337" max="14337" width="7.6640625" style="178" bestFit="1" customWidth="1"/>
    <col min="14338" max="14338" width="20.5546875" style="178" bestFit="1" customWidth="1"/>
    <col min="14339" max="14339" width="10.77734375" style="178" customWidth="1"/>
    <col min="14340" max="14341" width="17.77734375" style="178" customWidth="1"/>
    <col min="14342" max="14342" width="10.77734375" style="178" customWidth="1"/>
    <col min="14343" max="14591" width="8.88671875" style="178"/>
    <col min="14592" max="14592" width="7.21875" style="178" bestFit="1" customWidth="1"/>
    <col min="14593" max="14593" width="7.6640625" style="178" bestFit="1" customWidth="1"/>
    <col min="14594" max="14594" width="20.5546875" style="178" bestFit="1" customWidth="1"/>
    <col min="14595" max="14595" width="10.77734375" style="178" customWidth="1"/>
    <col min="14596" max="14597" width="17.77734375" style="178" customWidth="1"/>
    <col min="14598" max="14598" width="10.77734375" style="178" customWidth="1"/>
    <col min="14599" max="14847" width="8.88671875" style="178"/>
    <col min="14848" max="14848" width="7.21875" style="178" bestFit="1" customWidth="1"/>
    <col min="14849" max="14849" width="7.6640625" style="178" bestFit="1" customWidth="1"/>
    <col min="14850" max="14850" width="20.5546875" style="178" bestFit="1" customWidth="1"/>
    <col min="14851" max="14851" width="10.77734375" style="178" customWidth="1"/>
    <col min="14852" max="14853" width="17.77734375" style="178" customWidth="1"/>
    <col min="14854" max="14854" width="10.77734375" style="178" customWidth="1"/>
    <col min="14855" max="15103" width="8.88671875" style="178"/>
    <col min="15104" max="15104" width="7.21875" style="178" bestFit="1" customWidth="1"/>
    <col min="15105" max="15105" width="7.6640625" style="178" bestFit="1" customWidth="1"/>
    <col min="15106" max="15106" width="20.5546875" style="178" bestFit="1" customWidth="1"/>
    <col min="15107" max="15107" width="10.77734375" style="178" customWidth="1"/>
    <col min="15108" max="15109" width="17.77734375" style="178" customWidth="1"/>
    <col min="15110" max="15110" width="10.77734375" style="178" customWidth="1"/>
    <col min="15111" max="15359" width="8.88671875" style="178"/>
    <col min="15360" max="15360" width="7.21875" style="178" bestFit="1" customWidth="1"/>
    <col min="15361" max="15361" width="7.6640625" style="178" bestFit="1" customWidth="1"/>
    <col min="15362" max="15362" width="20.5546875" style="178" bestFit="1" customWidth="1"/>
    <col min="15363" max="15363" width="10.77734375" style="178" customWidth="1"/>
    <col min="15364" max="15365" width="17.77734375" style="178" customWidth="1"/>
    <col min="15366" max="15366" width="10.77734375" style="178" customWidth="1"/>
    <col min="15367" max="15615" width="8.88671875" style="178"/>
    <col min="15616" max="15616" width="7.21875" style="178" bestFit="1" customWidth="1"/>
    <col min="15617" max="15617" width="7.6640625" style="178" bestFit="1" customWidth="1"/>
    <col min="15618" max="15618" width="20.5546875" style="178" bestFit="1" customWidth="1"/>
    <col min="15619" max="15619" width="10.77734375" style="178" customWidth="1"/>
    <col min="15620" max="15621" width="17.77734375" style="178" customWidth="1"/>
    <col min="15622" max="15622" width="10.77734375" style="178" customWidth="1"/>
    <col min="15623" max="15871" width="8.88671875" style="178"/>
    <col min="15872" max="15872" width="7.21875" style="178" bestFit="1" customWidth="1"/>
    <col min="15873" max="15873" width="7.6640625" style="178" bestFit="1" customWidth="1"/>
    <col min="15874" max="15874" width="20.5546875" style="178" bestFit="1" customWidth="1"/>
    <col min="15875" max="15875" width="10.77734375" style="178" customWidth="1"/>
    <col min="15876" max="15877" width="17.77734375" style="178" customWidth="1"/>
    <col min="15878" max="15878" width="10.77734375" style="178" customWidth="1"/>
    <col min="15879" max="16127" width="8.88671875" style="178"/>
    <col min="16128" max="16128" width="7.21875" style="178" bestFit="1" customWidth="1"/>
    <col min="16129" max="16129" width="7.6640625" style="178" bestFit="1" customWidth="1"/>
    <col min="16130" max="16130" width="20.5546875" style="178" bestFit="1" customWidth="1"/>
    <col min="16131" max="16131" width="10.77734375" style="178" customWidth="1"/>
    <col min="16132" max="16133" width="17.77734375" style="178" customWidth="1"/>
    <col min="16134" max="16134" width="10.77734375" style="178" customWidth="1"/>
    <col min="16135" max="16384" width="8.88671875" style="178"/>
  </cols>
  <sheetData>
    <row r="1" spans="1:7">
      <c r="A1" s="177" t="s">
        <v>346</v>
      </c>
      <c r="B1" s="177" t="s">
        <v>347</v>
      </c>
      <c r="C1" s="177" t="s">
        <v>347</v>
      </c>
      <c r="D1" s="177" t="s">
        <v>9</v>
      </c>
      <c r="E1" s="177" t="s">
        <v>348</v>
      </c>
      <c r="F1" s="201" t="s">
        <v>349</v>
      </c>
      <c r="G1" s="178" t="s">
        <v>350</v>
      </c>
    </row>
    <row r="2" spans="1:7" s="180" customFormat="1">
      <c r="A2" s="179" t="s">
        <v>351</v>
      </c>
      <c r="B2" s="179" t="s">
        <v>352</v>
      </c>
      <c r="C2" s="179" t="s">
        <v>353</v>
      </c>
      <c r="D2" s="179" t="s">
        <v>354</v>
      </c>
      <c r="E2" s="179" t="s">
        <v>355</v>
      </c>
      <c r="F2" s="202" t="s">
        <v>356</v>
      </c>
      <c r="G2" s="179" t="s">
        <v>357</v>
      </c>
    </row>
    <row r="3" spans="1:7">
      <c r="A3" s="177">
        <v>561.1</v>
      </c>
      <c r="B3" s="177">
        <v>101</v>
      </c>
      <c r="C3" s="177" t="s">
        <v>358</v>
      </c>
      <c r="D3" s="181">
        <v>41988</v>
      </c>
      <c r="E3" s="181">
        <v>0</v>
      </c>
      <c r="F3" s="203">
        <f>0.2+E5/(E4+E5)</f>
        <v>0.561407216168337</v>
      </c>
      <c r="G3" s="182">
        <f>E3*F3</f>
        <v>0</v>
      </c>
    </row>
    <row r="4" spans="1:7">
      <c r="A4" s="177">
        <v>561.20000000000005</v>
      </c>
      <c r="B4" s="177">
        <v>101</v>
      </c>
      <c r="C4" s="177" t="s">
        <v>358</v>
      </c>
      <c r="D4" s="181">
        <v>949253</v>
      </c>
      <c r="E4" s="181">
        <v>730308.68</v>
      </c>
      <c r="F4" s="203">
        <f>1/3</f>
        <v>0.33333333333333331</v>
      </c>
      <c r="G4" s="182">
        <f>E4*F4</f>
        <v>243436.22666666668</v>
      </c>
    </row>
    <row r="5" spans="1:7">
      <c r="A5" s="177">
        <v>561.29999999999995</v>
      </c>
      <c r="B5" s="177">
        <v>101</v>
      </c>
      <c r="C5" s="177" t="s">
        <v>358</v>
      </c>
      <c r="D5" s="181">
        <v>519045.88</v>
      </c>
      <c r="E5" s="181">
        <v>413313.19999999995</v>
      </c>
      <c r="F5" s="204">
        <v>1</v>
      </c>
      <c r="G5" s="182">
        <f>E5*F5</f>
        <v>413313.19999999995</v>
      </c>
    </row>
    <row r="6" spans="1:7">
      <c r="A6" s="177">
        <v>556</v>
      </c>
      <c r="B6" s="177">
        <v>585</v>
      </c>
      <c r="C6" s="177" t="s">
        <v>359</v>
      </c>
      <c r="D6" s="181">
        <v>0</v>
      </c>
      <c r="E6" s="181">
        <v>0</v>
      </c>
      <c r="F6" s="204">
        <v>1</v>
      </c>
      <c r="G6" s="182">
        <f>E6*F6</f>
        <v>0</v>
      </c>
    </row>
    <row r="7" spans="1:7">
      <c r="F7" s="201"/>
    </row>
    <row r="8" spans="1:7">
      <c r="A8" s="177" t="s">
        <v>9</v>
      </c>
      <c r="C8" s="177" t="s">
        <v>360</v>
      </c>
      <c r="D8" s="183">
        <f>SUM(D3:D6)</f>
        <v>1510286.88</v>
      </c>
      <c r="F8" s="177" t="s">
        <v>361</v>
      </c>
      <c r="G8" s="183">
        <f>SUM(G3:G6)</f>
        <v>656749.42666666664</v>
      </c>
    </row>
    <row r="10" spans="1:7">
      <c r="D10" s="184"/>
      <c r="E10" s="184"/>
      <c r="F10" s="184"/>
    </row>
    <row r="11" spans="1:7">
      <c r="D11" s="184"/>
      <c r="E11" s="184"/>
      <c r="F11" s="185"/>
    </row>
  </sheetData>
  <conditionalFormatting sqref="F3:F6">
    <cfRule type="cellIs" dxfId="0" priority="1" stopIfTrue="1" operator="greaterThan">
      <formula>1</formula>
    </cfRule>
  </conditionalFormatting>
  <printOptions horizontalCentered="1" gridLines="1"/>
  <pageMargins left="0.5" right="0.5" top="1" bottom="1" header="0.75" footer="0.5"/>
  <pageSetup orientation="landscape" r:id="rId1"/>
  <headerFooter alignWithMargins="0">
    <oddHeader xml:space="preserve">&amp;C
</oddHeader>
    <oddFooter xml:space="preserve">&amp;L&amp;D  &amp;T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Nonlevelized-IOU</vt:lpstr>
      <vt:lpstr>Balancing Authority Charges</vt:lpstr>
      <vt:lpstr>'Balancing Authority Charges'!Print_Area</vt:lpstr>
      <vt:lpstr>'Nonlevelized-IOU'!Print_Area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E Hawn II</dc:creator>
  <cp:lastModifiedBy>ABRA1AM</cp:lastModifiedBy>
  <cp:lastPrinted>2016-04-20T18:57:58Z</cp:lastPrinted>
  <dcterms:created xsi:type="dcterms:W3CDTF">2008-03-20T17:17:47Z</dcterms:created>
  <dcterms:modified xsi:type="dcterms:W3CDTF">2016-04-22T18:38:10Z</dcterms:modified>
</cp:coreProperties>
</file>